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tori\"/>
    </mc:Choice>
  </mc:AlternateContent>
  <xr:revisionPtr revIDLastSave="0" documentId="13_ncr:1_{60DA710A-A4F3-489D-9871-CDB136E4B4FF}" xr6:coauthVersionLast="47" xr6:coauthVersionMax="47" xr10:uidLastSave="{00000000-0000-0000-0000-000000000000}"/>
  <bookViews>
    <workbookView xWindow="-108" yWindow="-108" windowWidth="23256" windowHeight="12456" xr2:uid="{4F9FAD61-6BBE-498B-A1D9-B53A431B2023}"/>
  </bookViews>
  <sheets>
    <sheet name="SATORI H1" sheetId="3" r:id="rId1"/>
    <sheet name="SATORI H4" sheetId="1" r:id="rId2"/>
    <sheet name="SATORI (D)" sheetId="2" r:id="rId3"/>
  </sheets>
  <externalReferences>
    <externalReference r:id="rId4"/>
  </externalReferences>
  <definedNames>
    <definedName name="AUDCAD" localSheetId="2">#REF!</definedName>
    <definedName name="AUDCAD" localSheetId="0">#REF!</definedName>
    <definedName name="AUDCAD" localSheetId="1">#REF!</definedName>
    <definedName name="AUDCAD">#REF!</definedName>
    <definedName name="AUDCHF" localSheetId="2">#REF!</definedName>
    <definedName name="AUDCHF" localSheetId="0">#REF!</definedName>
    <definedName name="AUDCHF" localSheetId="1">#REF!</definedName>
    <definedName name="AUDCHF">#REF!</definedName>
    <definedName name="AUDJPY">#REF!</definedName>
    <definedName name="AUDNZD">#REF!</definedName>
    <definedName name="AUDUSD">#REF!</definedName>
    <definedName name="CADCHF">#REF!</definedName>
    <definedName name="CADJPY">#REF!</definedName>
    <definedName name="CHFJPY">#REF!</definedName>
    <definedName name="EURAUD">#REF!</definedName>
    <definedName name="EURCAD">#REF!</definedName>
    <definedName name="EURCHF">#REF!</definedName>
    <definedName name="EURGBP">#REF!</definedName>
    <definedName name="EURJPY">#REF!</definedName>
    <definedName name="EURNZD">#REF!</definedName>
    <definedName name="EURUSD">#REF!</definedName>
    <definedName name="GBPAUD">#REF!</definedName>
    <definedName name="GBPCAD">#REF!</definedName>
    <definedName name="GBPCHF">#REF!</definedName>
    <definedName name="GBPJPY">#REF!</definedName>
    <definedName name="GBPNZD">#REF!</definedName>
    <definedName name="GBPUSD">#REF!</definedName>
    <definedName name="NZDCAD">#REF!</definedName>
    <definedName name="NZDCHF">#REF!</definedName>
    <definedName name="NZDJPY">#REF!</definedName>
    <definedName name="NZDUSD">#REF!</definedName>
    <definedName name="Trend" localSheetId="2">[1]!CheckList_tbl[#Data]</definedName>
    <definedName name="Trend" localSheetId="0">[1]!CheckList_tbl[#Data]</definedName>
    <definedName name="Trend" localSheetId="1">[1]!CheckList_tbl[#Data]</definedName>
    <definedName name="Trend">[1]!CheckList_tbl[#Data]</definedName>
    <definedName name="USDCAD" localSheetId="2">#REF!</definedName>
    <definedName name="USDCAD" localSheetId="0">#REF!</definedName>
    <definedName name="USDCAD" localSheetId="1">#REF!</definedName>
    <definedName name="USDCAD">#REF!</definedName>
    <definedName name="USDCHF" localSheetId="2">#REF!</definedName>
    <definedName name="USDCHF" localSheetId="0">#REF!</definedName>
    <definedName name="USDCHF" localSheetId="1">#REF!</definedName>
    <definedName name="USDCHF">#REF!</definedName>
    <definedName name="USDJPY" localSheetId="2">#REF!</definedName>
    <definedName name="USDJPY" localSheetId="0">#REF!</definedName>
    <definedName name="USDJPY" localSheetId="1">#REF!</definedName>
    <definedName name="USDJPY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9" i="3" l="1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AD28" i="3"/>
  <c r="AC28" i="3"/>
  <c r="AB28" i="3"/>
  <c r="AA28" i="3"/>
  <c r="Z28" i="3"/>
  <c r="Y28" i="3"/>
  <c r="X28" i="3"/>
  <c r="W28" i="3"/>
  <c r="V28" i="3"/>
  <c r="U28" i="3"/>
  <c r="BA28" i="3" s="1"/>
  <c r="T28" i="3"/>
  <c r="S28" i="3"/>
  <c r="R28" i="3"/>
  <c r="Q28" i="3"/>
  <c r="P28" i="3"/>
  <c r="O28" i="3"/>
  <c r="N28" i="3"/>
  <c r="M28" i="3"/>
  <c r="AS28" i="3" s="1"/>
  <c r="L28" i="3"/>
  <c r="K28" i="3"/>
  <c r="J28" i="3"/>
  <c r="I28" i="3"/>
  <c r="H28" i="3"/>
  <c r="G28" i="3"/>
  <c r="F28" i="3"/>
  <c r="E28" i="3"/>
  <c r="D28" i="3"/>
  <c r="C28" i="3"/>
  <c r="AD27" i="3"/>
  <c r="AC27" i="3"/>
  <c r="AB27" i="3"/>
  <c r="AA27" i="3"/>
  <c r="Z27" i="3"/>
  <c r="Y27" i="3"/>
  <c r="BE27" i="3" s="1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C26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AS22" i="3" s="1"/>
  <c r="L22" i="3"/>
  <c r="K22" i="3"/>
  <c r="J22" i="3"/>
  <c r="I22" i="3"/>
  <c r="H22" i="3"/>
  <c r="G22" i="3"/>
  <c r="F22" i="3"/>
  <c r="E22" i="3"/>
  <c r="AK22" i="3" s="1"/>
  <c r="D22" i="3"/>
  <c r="C22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AN19" i="3" s="1"/>
  <c r="G19" i="3"/>
  <c r="F19" i="3"/>
  <c r="E19" i="3"/>
  <c r="D19" i="3"/>
  <c r="C19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AO15" i="3" s="1"/>
  <c r="H15" i="3"/>
  <c r="G15" i="3"/>
  <c r="F15" i="3"/>
  <c r="E15" i="3"/>
  <c r="D15" i="3"/>
  <c r="C15" i="3"/>
  <c r="AD14" i="3"/>
  <c r="AC14" i="3"/>
  <c r="BI14" i="3" s="1"/>
  <c r="AB14" i="3"/>
  <c r="AA14" i="3"/>
  <c r="Z14" i="3"/>
  <c r="Y14" i="3"/>
  <c r="X14" i="3"/>
  <c r="W14" i="3"/>
  <c r="V14" i="3"/>
  <c r="U14" i="3"/>
  <c r="BA14" i="3" s="1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AO11" i="3" s="1"/>
  <c r="H11" i="3"/>
  <c r="G11" i="3"/>
  <c r="F11" i="3"/>
  <c r="E11" i="3"/>
  <c r="D11" i="3"/>
  <c r="C11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AJ10" i="3" s="1"/>
  <c r="C10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AR8" i="3" s="1"/>
  <c r="K8" i="3"/>
  <c r="J8" i="3"/>
  <c r="I8" i="3"/>
  <c r="H8" i="3"/>
  <c r="G8" i="3"/>
  <c r="F8" i="3"/>
  <c r="E8" i="3"/>
  <c r="D8" i="3"/>
  <c r="C8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AW7" i="3" s="1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AD6" i="3"/>
  <c r="AC6" i="3"/>
  <c r="BI6" i="3" s="1"/>
  <c r="AB6" i="3"/>
  <c r="BH6" i="3" s="1"/>
  <c r="AA6" i="3"/>
  <c r="Z6" i="3"/>
  <c r="Y6" i="3"/>
  <c r="X6" i="3"/>
  <c r="W6" i="3"/>
  <c r="V6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AK6" i="3" s="1"/>
  <c r="D6" i="3"/>
  <c r="AJ6" i="3" s="1"/>
  <c r="C6" i="3"/>
  <c r="AD5" i="3"/>
  <c r="AC5" i="3"/>
  <c r="AB5" i="3"/>
  <c r="AA5" i="3"/>
  <c r="Z5" i="3"/>
  <c r="Y5" i="3"/>
  <c r="BE5" i="3" s="1"/>
  <c r="X5" i="3"/>
  <c r="W5" i="3"/>
  <c r="V5" i="3"/>
  <c r="U5" i="3"/>
  <c r="T5" i="3"/>
  <c r="S5" i="3"/>
  <c r="R5" i="3"/>
  <c r="Q5" i="3"/>
  <c r="P5" i="3"/>
  <c r="AV4" i="3" s="1"/>
  <c r="O5" i="3"/>
  <c r="N5" i="3"/>
  <c r="M5" i="3"/>
  <c r="L5" i="3"/>
  <c r="K5" i="3"/>
  <c r="J5" i="3"/>
  <c r="I5" i="3"/>
  <c r="H5" i="3"/>
  <c r="G5" i="3"/>
  <c r="F5" i="3"/>
  <c r="E5" i="3"/>
  <c r="D5" i="3"/>
  <c r="C5" i="3"/>
  <c r="AD4" i="3"/>
  <c r="AC4" i="3"/>
  <c r="AB4" i="3"/>
  <c r="BH4" i="3" s="1"/>
  <c r="AA4" i="3"/>
  <c r="Z4" i="3"/>
  <c r="Y4" i="3"/>
  <c r="X4" i="3"/>
  <c r="W4" i="3"/>
  <c r="V4" i="3"/>
  <c r="U4" i="3"/>
  <c r="T4" i="3"/>
  <c r="AZ4" i="3" s="1"/>
  <c r="S4" i="3"/>
  <c r="R4" i="3"/>
  <c r="Q4" i="3"/>
  <c r="P4" i="3"/>
  <c r="O4" i="3"/>
  <c r="N4" i="3"/>
  <c r="M4" i="3"/>
  <c r="L4" i="3"/>
  <c r="AR4" i="3" s="1"/>
  <c r="K4" i="3"/>
  <c r="J4" i="3"/>
  <c r="I4" i="3"/>
  <c r="H4" i="3"/>
  <c r="G4" i="3"/>
  <c r="F4" i="3"/>
  <c r="E4" i="3"/>
  <c r="D4" i="3"/>
  <c r="AJ4" i="3" s="1"/>
  <c r="C4" i="3"/>
  <c r="AD3" i="3"/>
  <c r="AC3" i="3"/>
  <c r="AB3" i="3"/>
  <c r="AA3" i="3"/>
  <c r="Z3" i="3"/>
  <c r="Y3" i="3"/>
  <c r="X3" i="3"/>
  <c r="BD3" i="3" s="1"/>
  <c r="W3" i="3"/>
  <c r="V3" i="3"/>
  <c r="U3" i="3"/>
  <c r="T3" i="3"/>
  <c r="S3" i="3"/>
  <c r="R3" i="3"/>
  <c r="Q3" i="3"/>
  <c r="P3" i="3"/>
  <c r="O3" i="3"/>
  <c r="N3" i="3"/>
  <c r="M3" i="3"/>
  <c r="L3" i="3"/>
  <c r="K3" i="3"/>
  <c r="J3" i="3"/>
  <c r="I3" i="3"/>
  <c r="H3" i="3"/>
  <c r="G3" i="3"/>
  <c r="F3" i="3"/>
  <c r="E3" i="3"/>
  <c r="D3" i="3"/>
  <c r="C3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D2" i="3"/>
  <c r="C2" i="3"/>
  <c r="CC37" i="3"/>
  <c r="BJ37" i="3"/>
  <c r="CP37" i="3" s="1"/>
  <c r="BI37" i="3"/>
  <c r="BH37" i="3"/>
  <c r="CN37" i="3" s="1"/>
  <c r="BG37" i="3"/>
  <c r="CM37" i="3" s="1"/>
  <c r="BF37" i="3"/>
  <c r="CL37" i="3" s="1"/>
  <c r="BE37" i="3"/>
  <c r="CK37" i="3" s="1"/>
  <c r="BD37" i="3"/>
  <c r="CJ37" i="3" s="1"/>
  <c r="BC37" i="3"/>
  <c r="CI37" i="3" s="1"/>
  <c r="DO37" i="3" s="1"/>
  <c r="BB37" i="3"/>
  <c r="CH37" i="3" s="1"/>
  <c r="BA37" i="3"/>
  <c r="AZ37" i="3"/>
  <c r="CF37" i="3" s="1"/>
  <c r="AY37" i="3"/>
  <c r="CE37" i="3" s="1"/>
  <c r="AX37" i="3"/>
  <c r="CD37" i="3" s="1"/>
  <c r="AW37" i="3"/>
  <c r="AV37" i="3"/>
  <c r="CB37" i="3" s="1"/>
  <c r="AU37" i="3"/>
  <c r="CA37" i="3" s="1"/>
  <c r="DK37" i="3" s="1"/>
  <c r="AT37" i="3"/>
  <c r="AS37" i="3"/>
  <c r="AR37" i="3"/>
  <c r="BX37" i="3" s="1"/>
  <c r="DR37" i="3" s="1"/>
  <c r="AQ37" i="3"/>
  <c r="BW37" i="3" s="1"/>
  <c r="DJ37" i="3" s="1"/>
  <c r="AP37" i="3"/>
  <c r="BV37" i="3" s="1"/>
  <c r="DL37" i="3" s="1"/>
  <c r="AO37" i="3"/>
  <c r="BU37" i="3" s="1"/>
  <c r="DH37" i="3" s="1"/>
  <c r="AN37" i="3"/>
  <c r="BT37" i="3" s="1"/>
  <c r="AM37" i="3"/>
  <c r="BS37" i="3" s="1"/>
  <c r="AL37" i="3"/>
  <c r="AK37" i="3"/>
  <c r="AJ37" i="3"/>
  <c r="BP37" i="3" s="1"/>
  <c r="AI37" i="3"/>
  <c r="BO37" i="3" s="1"/>
  <c r="DH36" i="3"/>
  <c r="CI36" i="3"/>
  <c r="DO36" i="3" s="1"/>
  <c r="BU36" i="3"/>
  <c r="BJ36" i="3"/>
  <c r="CP36" i="3" s="1"/>
  <c r="BI36" i="3"/>
  <c r="BH36" i="3"/>
  <c r="BG36" i="3"/>
  <c r="BF36" i="3"/>
  <c r="CL36" i="3" s="1"/>
  <c r="BE36" i="3"/>
  <c r="CK36" i="3" s="1"/>
  <c r="BD36" i="3"/>
  <c r="BC36" i="3"/>
  <c r="BB36" i="3"/>
  <c r="CH36" i="3" s="1"/>
  <c r="BA36" i="3"/>
  <c r="AZ36" i="3"/>
  <c r="AY36" i="3"/>
  <c r="AX36" i="3"/>
  <c r="CD36" i="3" s="1"/>
  <c r="AW36" i="3"/>
  <c r="CC36" i="3" s="1"/>
  <c r="AV36" i="3"/>
  <c r="AU36" i="3"/>
  <c r="CA36" i="3" s="1"/>
  <c r="AT36" i="3"/>
  <c r="AS36" i="3"/>
  <c r="AR36" i="3"/>
  <c r="AQ36" i="3"/>
  <c r="AP36" i="3"/>
  <c r="BV36" i="3" s="1"/>
  <c r="DL36" i="3" s="1"/>
  <c r="AO36" i="3"/>
  <c r="AN36" i="3"/>
  <c r="AM36" i="3"/>
  <c r="BS36" i="3" s="1"/>
  <c r="AL36" i="3"/>
  <c r="AK36" i="3"/>
  <c r="AJ36" i="3"/>
  <c r="AI36" i="3"/>
  <c r="CI35" i="3"/>
  <c r="DO35" i="3" s="1"/>
  <c r="BJ35" i="3"/>
  <c r="BI35" i="3"/>
  <c r="BH35" i="3"/>
  <c r="BG35" i="3"/>
  <c r="BF35" i="3"/>
  <c r="BE35" i="3"/>
  <c r="CK35" i="3" s="1"/>
  <c r="BD35" i="3"/>
  <c r="BC35" i="3"/>
  <c r="BB35" i="3"/>
  <c r="BA35" i="3"/>
  <c r="CG33" i="3" s="1"/>
  <c r="AZ35" i="3"/>
  <c r="AY35" i="3"/>
  <c r="AX35" i="3"/>
  <c r="AW35" i="3"/>
  <c r="CC35" i="3" s="1"/>
  <c r="AV35" i="3"/>
  <c r="AU35" i="3"/>
  <c r="AT35" i="3"/>
  <c r="BZ35" i="3" s="1"/>
  <c r="DP35" i="3" s="1"/>
  <c r="AS35" i="3"/>
  <c r="BY34" i="3" s="1"/>
  <c r="DN34" i="3" s="1"/>
  <c r="AR35" i="3"/>
  <c r="AQ35" i="3"/>
  <c r="AP35" i="3"/>
  <c r="AO35" i="3"/>
  <c r="BU35" i="3" s="1"/>
  <c r="DH35" i="3" s="1"/>
  <c r="AN35" i="3"/>
  <c r="AM35" i="3"/>
  <c r="AL35" i="3"/>
  <c r="BR35" i="3" s="1"/>
  <c r="AK35" i="3"/>
  <c r="BQ34" i="3" s="1"/>
  <c r="AJ35" i="3"/>
  <c r="AI35" i="3"/>
  <c r="BJ34" i="3"/>
  <c r="BI34" i="3"/>
  <c r="BH34" i="3"/>
  <c r="BG34" i="3"/>
  <c r="BF34" i="3"/>
  <c r="BE34" i="3"/>
  <c r="BD34" i="3"/>
  <c r="BC34" i="3"/>
  <c r="BB34" i="3"/>
  <c r="BA34" i="3"/>
  <c r="AZ34" i="3"/>
  <c r="AY34" i="3"/>
  <c r="AX34" i="3"/>
  <c r="AW34" i="3"/>
  <c r="AV34" i="3"/>
  <c r="AU34" i="3"/>
  <c r="CA34" i="3" s="1"/>
  <c r="AT34" i="3"/>
  <c r="AS34" i="3"/>
  <c r="AR34" i="3"/>
  <c r="AQ34" i="3"/>
  <c r="AP34" i="3"/>
  <c r="AO34" i="3"/>
  <c r="AN34" i="3"/>
  <c r="AM34" i="3"/>
  <c r="AL34" i="3"/>
  <c r="AK34" i="3"/>
  <c r="AJ34" i="3"/>
  <c r="AI34" i="3"/>
  <c r="BZ33" i="3"/>
  <c r="DP33" i="3" s="1"/>
  <c r="BJ33" i="3"/>
  <c r="BI33" i="3"/>
  <c r="BH33" i="3"/>
  <c r="BG33" i="3"/>
  <c r="BF33" i="3"/>
  <c r="BE33" i="3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BJ32" i="3"/>
  <c r="BI32" i="3"/>
  <c r="BH32" i="3"/>
  <c r="BG32" i="3"/>
  <c r="BF32" i="3"/>
  <c r="BE32" i="3"/>
  <c r="BD32" i="3"/>
  <c r="BC32" i="3"/>
  <c r="BB32" i="3"/>
  <c r="BA32" i="3"/>
  <c r="AZ32" i="3"/>
  <c r="CF32" i="3" s="1"/>
  <c r="AY32" i="3"/>
  <c r="AX32" i="3"/>
  <c r="AW32" i="3"/>
  <c r="AV32" i="3"/>
  <c r="AU32" i="3"/>
  <c r="AT32" i="3"/>
  <c r="AS32" i="3"/>
  <c r="AR32" i="3"/>
  <c r="AQ32" i="3"/>
  <c r="AP32" i="3"/>
  <c r="AO32" i="3"/>
  <c r="AN32" i="3"/>
  <c r="AM32" i="3"/>
  <c r="AL32" i="3"/>
  <c r="AK32" i="3"/>
  <c r="AJ32" i="3"/>
  <c r="AI32" i="3"/>
  <c r="BJ31" i="3"/>
  <c r="BI31" i="3"/>
  <c r="BH31" i="3"/>
  <c r="BG31" i="3"/>
  <c r="BF31" i="3"/>
  <c r="BE31" i="3"/>
  <c r="BD31" i="3"/>
  <c r="BC31" i="3"/>
  <c r="BB31" i="3"/>
  <c r="BA31" i="3"/>
  <c r="AZ31" i="3"/>
  <c r="AY31" i="3"/>
  <c r="AX31" i="3"/>
  <c r="AW31" i="3"/>
  <c r="AV31" i="3"/>
  <c r="AU31" i="3"/>
  <c r="AT31" i="3"/>
  <c r="AS31" i="3"/>
  <c r="AR31" i="3"/>
  <c r="AQ31" i="3"/>
  <c r="AP31" i="3"/>
  <c r="AO31" i="3"/>
  <c r="AN31" i="3"/>
  <c r="AM31" i="3"/>
  <c r="AL31" i="3"/>
  <c r="AK31" i="3"/>
  <c r="AJ31" i="3"/>
  <c r="AI31" i="3"/>
  <c r="BJ30" i="3"/>
  <c r="BI30" i="3"/>
  <c r="BH30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U30" i="3"/>
  <c r="AT30" i="3"/>
  <c r="AS30" i="3"/>
  <c r="AR30" i="3"/>
  <c r="AQ30" i="3"/>
  <c r="AP30" i="3"/>
  <c r="AO30" i="3"/>
  <c r="AN30" i="3"/>
  <c r="AM30" i="3"/>
  <c r="AL30" i="3"/>
  <c r="AK30" i="3"/>
  <c r="AJ30" i="3"/>
  <c r="AI30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BU29" i="3" s="1"/>
  <c r="DH29" i="3" s="1"/>
  <c r="AN29" i="3"/>
  <c r="AM29" i="3"/>
  <c r="AL29" i="3"/>
  <c r="AK29" i="3"/>
  <c r="AJ29" i="3"/>
  <c r="AI29" i="3"/>
  <c r="EJ4" i="3"/>
  <c r="A2" i="3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AK17" i="2" s="1"/>
  <c r="D17" i="2"/>
  <c r="C17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AD15" i="2"/>
  <c r="AC15" i="2"/>
  <c r="BI15" i="2" s="1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AS11" i="2" s="1"/>
  <c r="L11" i="2"/>
  <c r="K11" i="2"/>
  <c r="J11" i="2"/>
  <c r="I11" i="2"/>
  <c r="H11" i="2"/>
  <c r="G11" i="2"/>
  <c r="F11" i="2"/>
  <c r="E11" i="2"/>
  <c r="D11" i="2"/>
  <c r="C11" i="2"/>
  <c r="AD10" i="2"/>
  <c r="AC10" i="2"/>
  <c r="AB10" i="2"/>
  <c r="AA10" i="2"/>
  <c r="Z10" i="2"/>
  <c r="BF10" i="2" s="1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AS4" i="2" s="1"/>
  <c r="L5" i="2"/>
  <c r="K5" i="2"/>
  <c r="J5" i="2"/>
  <c r="I5" i="2"/>
  <c r="H5" i="2"/>
  <c r="G5" i="2"/>
  <c r="F5" i="2"/>
  <c r="E5" i="2"/>
  <c r="D5" i="2"/>
  <c r="C5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AD3" i="2"/>
  <c r="AC3" i="2"/>
  <c r="BI3" i="2" s="1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DN37" i="2"/>
  <c r="CP37" i="2"/>
  <c r="DQ37" i="2" s="1"/>
  <c r="CO37" i="2"/>
  <c r="DI37" i="2" s="1"/>
  <c r="CI37" i="2"/>
  <c r="DO37" i="2" s="1"/>
  <c r="CH37" i="2"/>
  <c r="CG37" i="2"/>
  <c r="DB37" i="2" s="1"/>
  <c r="CA37" i="2"/>
  <c r="DK37" i="2" s="1"/>
  <c r="BZ37" i="2"/>
  <c r="DP37" i="2" s="1"/>
  <c r="BY37" i="2"/>
  <c r="BS37" i="2"/>
  <c r="BR37" i="2"/>
  <c r="BQ37" i="2"/>
  <c r="EU37" i="2" s="1"/>
  <c r="BJ37" i="2"/>
  <c r="BI37" i="2"/>
  <c r="BH37" i="2"/>
  <c r="CN37" i="2" s="1"/>
  <c r="BG37" i="2"/>
  <c r="CM37" i="2" s="1"/>
  <c r="BF37" i="2"/>
  <c r="BE37" i="2"/>
  <c r="CK37" i="2" s="1"/>
  <c r="BD37" i="2"/>
  <c r="CJ37" i="2" s="1"/>
  <c r="BC37" i="2"/>
  <c r="BB37" i="2"/>
  <c r="BA37" i="2"/>
  <c r="AZ37" i="2"/>
  <c r="CF37" i="2" s="1"/>
  <c r="AY37" i="2"/>
  <c r="CE37" i="2" s="1"/>
  <c r="AX37" i="2"/>
  <c r="AW37" i="2"/>
  <c r="CC37" i="2" s="1"/>
  <c r="AV37" i="2"/>
  <c r="CB37" i="2" s="1"/>
  <c r="AU37" i="2"/>
  <c r="AT37" i="2"/>
  <c r="AS37" i="2"/>
  <c r="AR37" i="2"/>
  <c r="BX37" i="2" s="1"/>
  <c r="DR37" i="2" s="1"/>
  <c r="AQ37" i="2"/>
  <c r="BW37" i="2" s="1"/>
  <c r="DJ37" i="2" s="1"/>
  <c r="AP37" i="2"/>
  <c r="AO37" i="2"/>
  <c r="BU37" i="2" s="1"/>
  <c r="DH37" i="2" s="1"/>
  <c r="AN37" i="2"/>
  <c r="BT37" i="2" s="1"/>
  <c r="AM37" i="2"/>
  <c r="AL37" i="2"/>
  <c r="AK37" i="2"/>
  <c r="AJ37" i="2"/>
  <c r="BP37" i="2" s="1"/>
  <c r="AI37" i="2"/>
  <c r="BO37" i="2" s="1"/>
  <c r="DM36" i="2"/>
  <c r="CP36" i="2"/>
  <c r="DQ36" i="2" s="1"/>
  <c r="CO36" i="2"/>
  <c r="DI36" i="2" s="1"/>
  <c r="CN36" i="2"/>
  <c r="CI36" i="2"/>
  <c r="DO36" i="2" s="1"/>
  <c r="CH36" i="2"/>
  <c r="CG36" i="2"/>
  <c r="CF36" i="2"/>
  <c r="CA36" i="2"/>
  <c r="DK36" i="2" s="1"/>
  <c r="BZ36" i="2"/>
  <c r="DP36" i="2" s="1"/>
  <c r="BY36" i="2"/>
  <c r="DN36" i="2" s="1"/>
  <c r="BX36" i="2"/>
  <c r="DR36" i="2" s="1"/>
  <c r="BS36" i="2"/>
  <c r="BR36" i="2"/>
  <c r="BQ36" i="2"/>
  <c r="BP36" i="2"/>
  <c r="BJ36" i="2"/>
  <c r="BI36" i="2"/>
  <c r="BH36" i="2"/>
  <c r="BG36" i="2"/>
  <c r="CM36" i="2" s="1"/>
  <c r="BF36" i="2"/>
  <c r="CL36" i="2" s="1"/>
  <c r="BE36" i="2"/>
  <c r="BD36" i="2"/>
  <c r="CJ36" i="2" s="1"/>
  <c r="BC36" i="2"/>
  <c r="BB36" i="2"/>
  <c r="BA36" i="2"/>
  <c r="AZ36" i="2"/>
  <c r="AY36" i="2"/>
  <c r="CE36" i="2" s="1"/>
  <c r="AX36" i="2"/>
  <c r="CD36" i="2" s="1"/>
  <c r="AW36" i="2"/>
  <c r="AV36" i="2"/>
  <c r="CB36" i="2" s="1"/>
  <c r="AU36" i="2"/>
  <c r="AT36" i="2"/>
  <c r="AS36" i="2"/>
  <c r="AR36" i="2"/>
  <c r="AQ36" i="2"/>
  <c r="BW36" i="2" s="1"/>
  <c r="DJ36" i="2" s="1"/>
  <c r="AP36" i="2"/>
  <c r="BV36" i="2" s="1"/>
  <c r="DL36" i="2" s="1"/>
  <c r="AO36" i="2"/>
  <c r="AN36" i="2"/>
  <c r="BT36" i="2" s="1"/>
  <c r="AM36" i="2"/>
  <c r="AL36" i="2"/>
  <c r="AK36" i="2"/>
  <c r="AJ36" i="2"/>
  <c r="AI36" i="2"/>
  <c r="BO36" i="2" s="1"/>
  <c r="DL35" i="2"/>
  <c r="CP35" i="2"/>
  <c r="DQ35" i="2" s="1"/>
  <c r="CO35" i="2"/>
  <c r="DI35" i="2" s="1"/>
  <c r="CN35" i="2"/>
  <c r="CM35" i="2"/>
  <c r="CY35" i="2" s="1"/>
  <c r="CH35" i="2"/>
  <c r="CG35" i="2"/>
  <c r="CF35" i="2"/>
  <c r="CE35" i="2"/>
  <c r="BZ35" i="2"/>
  <c r="DP35" i="2" s="1"/>
  <c r="BY35" i="2"/>
  <c r="DN35" i="2" s="1"/>
  <c r="BX35" i="2"/>
  <c r="DR35" i="2" s="1"/>
  <c r="BW35" i="2"/>
  <c r="DJ35" i="2" s="1"/>
  <c r="BR35" i="2"/>
  <c r="BQ35" i="2"/>
  <c r="BP35" i="2"/>
  <c r="BO35" i="2"/>
  <c r="BJ35" i="2"/>
  <c r="BI35" i="2"/>
  <c r="BH35" i="2"/>
  <c r="BG35" i="2"/>
  <c r="BF35" i="2"/>
  <c r="CL35" i="2" s="1"/>
  <c r="BE35" i="2"/>
  <c r="CK35" i="2" s="1"/>
  <c r="BD35" i="2"/>
  <c r="BC35" i="2"/>
  <c r="CI35" i="2" s="1"/>
  <c r="DO35" i="2" s="1"/>
  <c r="BB35" i="2"/>
  <c r="BA35" i="2"/>
  <c r="AZ35" i="2"/>
  <c r="AY35" i="2"/>
  <c r="AX35" i="2"/>
  <c r="CD35" i="2" s="1"/>
  <c r="AW35" i="2"/>
  <c r="CC35" i="2" s="1"/>
  <c r="AV35" i="2"/>
  <c r="AU35" i="2"/>
  <c r="CA35" i="2" s="1"/>
  <c r="AT35" i="2"/>
  <c r="AS35" i="2"/>
  <c r="AR35" i="2"/>
  <c r="AQ35" i="2"/>
  <c r="AP35" i="2"/>
  <c r="BV35" i="2" s="1"/>
  <c r="AO35" i="2"/>
  <c r="BU35" i="2" s="1"/>
  <c r="DH35" i="2" s="1"/>
  <c r="AN35" i="2"/>
  <c r="AM35" i="2"/>
  <c r="BS35" i="2" s="1"/>
  <c r="AL35" i="2"/>
  <c r="AK35" i="2"/>
  <c r="AJ35" i="2"/>
  <c r="AI35" i="2"/>
  <c r="DR34" i="2"/>
  <c r="CO34" i="2"/>
  <c r="DI34" i="2" s="1"/>
  <c r="CN34" i="2"/>
  <c r="CM34" i="2"/>
  <c r="CG34" i="2"/>
  <c r="CF34" i="2"/>
  <c r="CE34" i="2"/>
  <c r="BY34" i="2"/>
  <c r="DN34" i="2" s="1"/>
  <c r="BX34" i="2"/>
  <c r="BW34" i="2"/>
  <c r="DJ34" i="2" s="1"/>
  <c r="BQ34" i="2"/>
  <c r="BP34" i="2"/>
  <c r="BO34" i="2"/>
  <c r="BJ34" i="2"/>
  <c r="CP34" i="2" s="1"/>
  <c r="DQ34" i="2" s="1"/>
  <c r="BI34" i="2"/>
  <c r="BH34" i="2"/>
  <c r="BG34" i="2"/>
  <c r="BF34" i="2"/>
  <c r="BE34" i="2"/>
  <c r="CK34" i="2" s="1"/>
  <c r="BD34" i="2"/>
  <c r="BC34" i="2"/>
  <c r="BB34" i="2"/>
  <c r="CH34" i="2" s="1"/>
  <c r="BA34" i="2"/>
  <c r="AZ34" i="2"/>
  <c r="AY34" i="2"/>
  <c r="AX34" i="2"/>
  <c r="AW34" i="2"/>
  <c r="CC34" i="2" s="1"/>
  <c r="AV34" i="2"/>
  <c r="AU34" i="2"/>
  <c r="AT34" i="2"/>
  <c r="BZ34" i="2" s="1"/>
  <c r="DP34" i="2" s="1"/>
  <c r="AS34" i="2"/>
  <c r="AR34" i="2"/>
  <c r="AQ34" i="2"/>
  <c r="AP34" i="2"/>
  <c r="AO34" i="2"/>
  <c r="BU34" i="2" s="1"/>
  <c r="DH34" i="2" s="1"/>
  <c r="AN34" i="2"/>
  <c r="AM34" i="2"/>
  <c r="AL34" i="2"/>
  <c r="BR34" i="2" s="1"/>
  <c r="AK34" i="2"/>
  <c r="AJ34" i="2"/>
  <c r="AI34" i="2"/>
  <c r="DR33" i="2"/>
  <c r="DJ33" i="2"/>
  <c r="CN33" i="2"/>
  <c r="CM33" i="2"/>
  <c r="CL33" i="2"/>
  <c r="CF33" i="2"/>
  <c r="CE33" i="2"/>
  <c r="CD33" i="2"/>
  <c r="BX33" i="2"/>
  <c r="BW33" i="2"/>
  <c r="BV33" i="2"/>
  <c r="DL33" i="2" s="1"/>
  <c r="BP33" i="2"/>
  <c r="BO33" i="2"/>
  <c r="DM33" i="2" s="1"/>
  <c r="BJ33" i="2"/>
  <c r="BI33" i="2"/>
  <c r="CO33" i="2" s="1"/>
  <c r="BH33" i="2"/>
  <c r="BG33" i="2"/>
  <c r="BF33" i="2"/>
  <c r="BE33" i="2"/>
  <c r="BD33" i="2"/>
  <c r="CJ33" i="2" s="1"/>
  <c r="BC33" i="2"/>
  <c r="BB33" i="2"/>
  <c r="BA33" i="2"/>
  <c r="CG33" i="2" s="1"/>
  <c r="AZ33" i="2"/>
  <c r="AY33" i="2"/>
  <c r="AX33" i="2"/>
  <c r="AW33" i="2"/>
  <c r="AV33" i="2"/>
  <c r="CB33" i="2" s="1"/>
  <c r="AU33" i="2"/>
  <c r="AT33" i="2"/>
  <c r="AS33" i="2"/>
  <c r="BY33" i="2" s="1"/>
  <c r="DN33" i="2" s="1"/>
  <c r="AR33" i="2"/>
  <c r="AQ33" i="2"/>
  <c r="AP33" i="2"/>
  <c r="AO33" i="2"/>
  <c r="AN33" i="2"/>
  <c r="BT33" i="2" s="1"/>
  <c r="AM33" i="2"/>
  <c r="AL33" i="2"/>
  <c r="AK33" i="2"/>
  <c r="BQ33" i="2" s="1"/>
  <c r="AJ33" i="2"/>
  <c r="AI33" i="2"/>
  <c r="DJ32" i="2"/>
  <c r="CM32" i="2"/>
  <c r="CK32" i="2"/>
  <c r="CE32" i="2"/>
  <c r="CC32" i="2"/>
  <c r="BW32" i="2"/>
  <c r="BU32" i="2"/>
  <c r="DH32" i="2" s="1"/>
  <c r="BO32" i="2"/>
  <c r="DM32" i="2" s="1"/>
  <c r="BJ32" i="2"/>
  <c r="CP32" i="2" s="1"/>
  <c r="DQ32" i="2" s="1"/>
  <c r="BI32" i="2"/>
  <c r="BH32" i="2"/>
  <c r="CN32" i="2" s="1"/>
  <c r="BG32" i="2"/>
  <c r="BF32" i="2"/>
  <c r="BE32" i="2"/>
  <c r="BD32" i="2"/>
  <c r="BC32" i="2"/>
  <c r="CI32" i="2" s="1"/>
  <c r="DO32" i="2" s="1"/>
  <c r="BB32" i="2"/>
  <c r="CH32" i="2" s="1"/>
  <c r="BA32" i="2"/>
  <c r="AZ32" i="2"/>
  <c r="CF32" i="2" s="1"/>
  <c r="AY32" i="2"/>
  <c r="AX32" i="2"/>
  <c r="AW32" i="2"/>
  <c r="AV32" i="2"/>
  <c r="AU32" i="2"/>
  <c r="CA32" i="2" s="1"/>
  <c r="AT32" i="2"/>
  <c r="BZ32" i="2" s="1"/>
  <c r="DP32" i="2" s="1"/>
  <c r="AS32" i="2"/>
  <c r="AR32" i="2"/>
  <c r="BX32" i="2" s="1"/>
  <c r="DR32" i="2" s="1"/>
  <c r="AQ32" i="2"/>
  <c r="AP32" i="2"/>
  <c r="AO32" i="2"/>
  <c r="AN32" i="2"/>
  <c r="AM32" i="2"/>
  <c r="BS32" i="2" s="1"/>
  <c r="AL32" i="2"/>
  <c r="BR32" i="2" s="1"/>
  <c r="AK32" i="2"/>
  <c r="AJ32" i="2"/>
  <c r="BP32" i="2" s="1"/>
  <c r="AI32" i="2"/>
  <c r="CJ31" i="2"/>
  <c r="CB31" i="2"/>
  <c r="BT31" i="2"/>
  <c r="BJ31" i="2"/>
  <c r="BI31" i="2"/>
  <c r="BH31" i="2"/>
  <c r="CN31" i="2" s="1"/>
  <c r="BG31" i="2"/>
  <c r="CM31" i="2" s="1"/>
  <c r="BF31" i="2"/>
  <c r="BE31" i="2"/>
  <c r="BD31" i="2"/>
  <c r="BC31" i="2"/>
  <c r="BB31" i="2"/>
  <c r="BA31" i="2"/>
  <c r="AZ31" i="2"/>
  <c r="CF31" i="2" s="1"/>
  <c r="AY31" i="2"/>
  <c r="CE31" i="2" s="1"/>
  <c r="AX31" i="2"/>
  <c r="AW31" i="2"/>
  <c r="AV31" i="2"/>
  <c r="AU31" i="2"/>
  <c r="AT31" i="2"/>
  <c r="AS31" i="2"/>
  <c r="AR31" i="2"/>
  <c r="BX31" i="2" s="1"/>
  <c r="DR31" i="2" s="1"/>
  <c r="AQ31" i="2"/>
  <c r="BW31" i="2" s="1"/>
  <c r="DJ31" i="2" s="1"/>
  <c r="AP31" i="2"/>
  <c r="AO31" i="2"/>
  <c r="AN31" i="2"/>
  <c r="AM31" i="2"/>
  <c r="AL31" i="2"/>
  <c r="AK31" i="2"/>
  <c r="AJ31" i="2"/>
  <c r="BP31" i="2" s="1"/>
  <c r="AI31" i="2"/>
  <c r="BO31" i="2" s="1"/>
  <c r="DG30" i="2"/>
  <c r="CA30" i="2"/>
  <c r="BS30" i="2"/>
  <c r="BJ30" i="2"/>
  <c r="BI30" i="2"/>
  <c r="BH30" i="2"/>
  <c r="CN30" i="2" s="1"/>
  <c r="BG30" i="2"/>
  <c r="CM30" i="2" s="1"/>
  <c r="BF30" i="2"/>
  <c r="CL30" i="2" s="1"/>
  <c r="BE30" i="2"/>
  <c r="BD30" i="2"/>
  <c r="BC30" i="2"/>
  <c r="BB30" i="2"/>
  <c r="BA30" i="2"/>
  <c r="AZ30" i="2"/>
  <c r="CF30" i="2" s="1"/>
  <c r="AY30" i="2"/>
  <c r="CE30" i="2" s="1"/>
  <c r="AX30" i="2"/>
  <c r="CD30" i="2" s="1"/>
  <c r="AW30" i="2"/>
  <c r="AV30" i="2"/>
  <c r="AU30" i="2"/>
  <c r="AT30" i="2"/>
  <c r="AS30" i="2"/>
  <c r="AR30" i="2"/>
  <c r="BX30" i="2" s="1"/>
  <c r="DR30" i="2" s="1"/>
  <c r="AQ30" i="2"/>
  <c r="BW30" i="2" s="1"/>
  <c r="DJ30" i="2" s="1"/>
  <c r="AP30" i="2"/>
  <c r="BV30" i="2" s="1"/>
  <c r="DL30" i="2" s="1"/>
  <c r="AO30" i="2"/>
  <c r="AN30" i="2"/>
  <c r="AM30" i="2"/>
  <c r="AL30" i="2"/>
  <c r="AK30" i="2"/>
  <c r="AJ30" i="2"/>
  <c r="BP30" i="2" s="1"/>
  <c r="AI30" i="2"/>
  <c r="BO30" i="2" s="1"/>
  <c r="BR29" i="2"/>
  <c r="BJ29" i="2"/>
  <c r="BI29" i="2"/>
  <c r="BH29" i="2"/>
  <c r="BG29" i="2"/>
  <c r="BF29" i="2"/>
  <c r="CL29" i="2" s="1"/>
  <c r="BE29" i="2"/>
  <c r="CK29" i="2" s="1"/>
  <c r="BD29" i="2"/>
  <c r="BC29" i="2"/>
  <c r="BB29" i="2"/>
  <c r="BA29" i="2"/>
  <c r="AZ29" i="2"/>
  <c r="AY29" i="2"/>
  <c r="AX29" i="2"/>
  <c r="CD29" i="2" s="1"/>
  <c r="AW29" i="2"/>
  <c r="CC29" i="2" s="1"/>
  <c r="AV29" i="2"/>
  <c r="AU29" i="2"/>
  <c r="AT29" i="2"/>
  <c r="AS29" i="2"/>
  <c r="AR29" i="2"/>
  <c r="AQ29" i="2"/>
  <c r="AP29" i="2"/>
  <c r="BV29" i="2" s="1"/>
  <c r="DL29" i="2" s="1"/>
  <c r="AO29" i="2"/>
  <c r="BU29" i="2" s="1"/>
  <c r="DH29" i="2" s="1"/>
  <c r="AN29" i="2"/>
  <c r="AM29" i="2"/>
  <c r="AL29" i="2"/>
  <c r="AK29" i="2"/>
  <c r="AJ29" i="2"/>
  <c r="AI29" i="2"/>
  <c r="EJ4" i="2"/>
  <c r="A2" i="2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6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AI2" i="1" s="1"/>
  <c r="BO2" i="1" s="1"/>
  <c r="A2" i="1"/>
  <c r="DM37" i="1"/>
  <c r="DL37" i="1"/>
  <c r="DJ37" i="1"/>
  <c r="CO37" i="1"/>
  <c r="DI37" i="1" s="1"/>
  <c r="CD37" i="1"/>
  <c r="CC37" i="1"/>
  <c r="CA37" i="1"/>
  <c r="BU37" i="1"/>
  <c r="DH37" i="1" s="1"/>
  <c r="BQ37" i="1"/>
  <c r="BJ37" i="1"/>
  <c r="CP37" i="1" s="1"/>
  <c r="BI37" i="1"/>
  <c r="BH37" i="1"/>
  <c r="CN37" i="1" s="1"/>
  <c r="DG37" i="1" s="1"/>
  <c r="BG37" i="1"/>
  <c r="CM37" i="1" s="1"/>
  <c r="BF37" i="1"/>
  <c r="CL37" i="1" s="1"/>
  <c r="BE37" i="1"/>
  <c r="CK37" i="1" s="1"/>
  <c r="BD37" i="1"/>
  <c r="CJ37" i="1" s="1"/>
  <c r="BC37" i="1"/>
  <c r="CI37" i="1" s="1"/>
  <c r="DO37" i="1" s="1"/>
  <c r="BB37" i="1"/>
  <c r="CH36" i="1" s="1"/>
  <c r="BA37" i="1"/>
  <c r="CG37" i="1" s="1"/>
  <c r="AZ37" i="1"/>
  <c r="CF37" i="1" s="1"/>
  <c r="AY37" i="1"/>
  <c r="CE37" i="1" s="1"/>
  <c r="AX37" i="1"/>
  <c r="AW37" i="1"/>
  <c r="CC36" i="1" s="1"/>
  <c r="AV37" i="1"/>
  <c r="CB37" i="1" s="1"/>
  <c r="AU37" i="1"/>
  <c r="AT37" i="1"/>
  <c r="BZ34" i="1" s="1"/>
  <c r="DP34" i="1" s="1"/>
  <c r="AS37" i="1"/>
  <c r="BY37" i="1" s="1"/>
  <c r="DN37" i="1" s="1"/>
  <c r="AR37" i="1"/>
  <c r="BX37" i="1" s="1"/>
  <c r="DR37" i="1" s="1"/>
  <c r="AQ37" i="1"/>
  <c r="BW37" i="1" s="1"/>
  <c r="AP37" i="1"/>
  <c r="BV37" i="1" s="1"/>
  <c r="AO37" i="1"/>
  <c r="AN37" i="1"/>
  <c r="BT37" i="1" s="1"/>
  <c r="AM37" i="1"/>
  <c r="BS37" i="1" s="1"/>
  <c r="AL37" i="1"/>
  <c r="BR37" i="1" s="1"/>
  <c r="AK37" i="1"/>
  <c r="AJ37" i="1"/>
  <c r="BP37" i="1" s="1"/>
  <c r="AI37" i="1"/>
  <c r="BO37" i="1" s="1"/>
  <c r="DH36" i="1"/>
  <c r="CP36" i="1"/>
  <c r="DQ36" i="1" s="1"/>
  <c r="CO36" i="1"/>
  <c r="DI36" i="1" s="1"/>
  <c r="CI36" i="1"/>
  <c r="DO36" i="1" s="1"/>
  <c r="CE36" i="1"/>
  <c r="BV36" i="1"/>
  <c r="DL36" i="1" s="1"/>
  <c r="BU36" i="1"/>
  <c r="BJ36" i="1"/>
  <c r="BI36" i="1"/>
  <c r="BH36" i="1"/>
  <c r="BG36" i="1"/>
  <c r="BF36" i="1"/>
  <c r="CL36" i="1" s="1"/>
  <c r="BE36" i="1"/>
  <c r="BD36" i="1"/>
  <c r="CJ36" i="1" s="1"/>
  <c r="BC36" i="1"/>
  <c r="BB36" i="1"/>
  <c r="BA36" i="1"/>
  <c r="AZ36" i="1"/>
  <c r="CF36" i="1" s="1"/>
  <c r="AY36" i="1"/>
  <c r="AX36" i="1"/>
  <c r="CD36" i="1" s="1"/>
  <c r="AW36" i="1"/>
  <c r="AV36" i="1"/>
  <c r="AU36" i="1"/>
  <c r="AT36" i="1"/>
  <c r="AS36" i="1"/>
  <c r="AR36" i="1"/>
  <c r="AQ36" i="1"/>
  <c r="AP36" i="1"/>
  <c r="AO36" i="1"/>
  <c r="AN36" i="1"/>
  <c r="BT36" i="1" s="1"/>
  <c r="DT36" i="1" s="1"/>
  <c r="AM36" i="1"/>
  <c r="BS36" i="1" s="1"/>
  <c r="AL36" i="1"/>
  <c r="AK36" i="1"/>
  <c r="BQ36" i="1" s="1"/>
  <c r="AJ36" i="1"/>
  <c r="AI36" i="1"/>
  <c r="CN35" i="1"/>
  <c r="CE35" i="1"/>
  <c r="BW35" i="1"/>
  <c r="DJ35" i="1" s="1"/>
  <c r="BJ35" i="1"/>
  <c r="BI35" i="1"/>
  <c r="BH35" i="1"/>
  <c r="BG35" i="1"/>
  <c r="BF35" i="1"/>
  <c r="BE35" i="1"/>
  <c r="BD35" i="1"/>
  <c r="BC35" i="1"/>
  <c r="CI35" i="1" s="1"/>
  <c r="DO35" i="1" s="1"/>
  <c r="BB35" i="1"/>
  <c r="BA35" i="1"/>
  <c r="AZ35" i="1"/>
  <c r="CF35" i="1" s="1"/>
  <c r="AY35" i="1"/>
  <c r="AX35" i="1"/>
  <c r="AW35" i="1"/>
  <c r="AV35" i="1"/>
  <c r="CB35" i="1" s="1"/>
  <c r="AU35" i="1"/>
  <c r="AT35" i="1"/>
  <c r="AS35" i="1"/>
  <c r="AR35" i="1"/>
  <c r="BX35" i="1" s="1"/>
  <c r="DR35" i="1" s="1"/>
  <c r="AQ35" i="1"/>
  <c r="AP35" i="1"/>
  <c r="AO35" i="1"/>
  <c r="AN35" i="1"/>
  <c r="AM35" i="1"/>
  <c r="AL35" i="1"/>
  <c r="AK35" i="1"/>
  <c r="AJ35" i="1"/>
  <c r="AI35" i="1"/>
  <c r="CI34" i="1"/>
  <c r="DO34" i="1" s="1"/>
  <c r="BT34" i="1"/>
  <c r="BO34" i="1"/>
  <c r="BJ34" i="1"/>
  <c r="BI34" i="1"/>
  <c r="BH34" i="1"/>
  <c r="BG34" i="1"/>
  <c r="CM34" i="1" s="1"/>
  <c r="BF34" i="1"/>
  <c r="CL34" i="1" s="1"/>
  <c r="BE34" i="1"/>
  <c r="BD34" i="1"/>
  <c r="BC34" i="1"/>
  <c r="BB34" i="1"/>
  <c r="BA34" i="1"/>
  <c r="AZ34" i="1"/>
  <c r="AY34" i="1"/>
  <c r="AX34" i="1"/>
  <c r="AW34" i="1"/>
  <c r="AV34" i="1"/>
  <c r="CB34" i="1" s="1"/>
  <c r="AU34" i="1"/>
  <c r="AT34" i="1"/>
  <c r="AS34" i="1"/>
  <c r="AR34" i="1"/>
  <c r="AQ34" i="1"/>
  <c r="AP34" i="1"/>
  <c r="AO34" i="1"/>
  <c r="BU34" i="1" s="1"/>
  <c r="DH34" i="1" s="1"/>
  <c r="AN34" i="1"/>
  <c r="AM34" i="1"/>
  <c r="BS34" i="1" s="1"/>
  <c r="AL34" i="1"/>
  <c r="AK34" i="1"/>
  <c r="AJ34" i="1"/>
  <c r="AI34" i="1"/>
  <c r="CI33" i="1"/>
  <c r="DO33" i="1" s="1"/>
  <c r="BJ33" i="1"/>
  <c r="CP32" i="1" s="1"/>
  <c r="DQ32" i="1" s="1"/>
  <c r="BI33" i="1"/>
  <c r="BH33" i="1"/>
  <c r="BG33" i="1"/>
  <c r="BF33" i="1"/>
  <c r="BE33" i="1"/>
  <c r="CK33" i="1" s="1"/>
  <c r="BD33" i="1"/>
  <c r="BC33" i="1"/>
  <c r="BB33" i="1"/>
  <c r="CH33" i="1" s="1"/>
  <c r="BA33" i="1"/>
  <c r="AZ33" i="1"/>
  <c r="AY33" i="1"/>
  <c r="AX33" i="1"/>
  <c r="AW33" i="1"/>
  <c r="AV33" i="1"/>
  <c r="AU33" i="1"/>
  <c r="AT33" i="1"/>
  <c r="BZ33" i="1" s="1"/>
  <c r="DP33" i="1" s="1"/>
  <c r="AS33" i="1"/>
  <c r="AR33" i="1"/>
  <c r="AQ33" i="1"/>
  <c r="AP33" i="1"/>
  <c r="AO33" i="1"/>
  <c r="BU33" i="1" s="1"/>
  <c r="DH33" i="1" s="1"/>
  <c r="AN33" i="1"/>
  <c r="BT31" i="1" s="1"/>
  <c r="AM33" i="1"/>
  <c r="AL33" i="1"/>
  <c r="AK33" i="1"/>
  <c r="AJ33" i="1"/>
  <c r="AI33" i="1"/>
  <c r="CD32" i="1"/>
  <c r="CC32" i="1"/>
  <c r="BU32" i="1"/>
  <c r="DH32" i="1" s="1"/>
  <c r="BJ32" i="1"/>
  <c r="BI32" i="1"/>
  <c r="BH32" i="1"/>
  <c r="BG32" i="1"/>
  <c r="BF32" i="1"/>
  <c r="BE32" i="1"/>
  <c r="BD32" i="1"/>
  <c r="BC32" i="1"/>
  <c r="BB32" i="1"/>
  <c r="BA32" i="1"/>
  <c r="AZ32" i="1"/>
  <c r="AY32" i="1"/>
  <c r="CE32" i="1" s="1"/>
  <c r="AX32" i="1"/>
  <c r="AW32" i="1"/>
  <c r="AV32" i="1"/>
  <c r="AU32" i="1"/>
  <c r="CA32" i="1" s="1"/>
  <c r="AT32" i="1"/>
  <c r="AS32" i="1"/>
  <c r="BY32" i="1" s="1"/>
  <c r="DN32" i="1" s="1"/>
  <c r="AR32" i="1"/>
  <c r="AQ32" i="1"/>
  <c r="AP32" i="1"/>
  <c r="AO32" i="1"/>
  <c r="AN32" i="1"/>
  <c r="AM32" i="1"/>
  <c r="AL32" i="1"/>
  <c r="AK32" i="1"/>
  <c r="AJ32" i="1"/>
  <c r="AI32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CD31" i="1" s="1"/>
  <c r="AW31" i="1"/>
  <c r="CC31" i="1" s="1"/>
  <c r="AV31" i="1"/>
  <c r="AU31" i="1"/>
  <c r="AT31" i="1"/>
  <c r="AS31" i="1"/>
  <c r="AR31" i="1"/>
  <c r="AQ31" i="1"/>
  <c r="AP31" i="1"/>
  <c r="BV31" i="1" s="1"/>
  <c r="DL31" i="1" s="1"/>
  <c r="AO31" i="1"/>
  <c r="BU31" i="1" s="1"/>
  <c r="DH31" i="1" s="1"/>
  <c r="AN31" i="1"/>
  <c r="AM31" i="1"/>
  <c r="AL31" i="1"/>
  <c r="AK31" i="1"/>
  <c r="AJ31" i="1"/>
  <c r="AI31" i="1"/>
  <c r="CK30" i="1"/>
  <c r="BJ30" i="1"/>
  <c r="BI30" i="1"/>
  <c r="BH30" i="1"/>
  <c r="BG30" i="1"/>
  <c r="BF30" i="1"/>
  <c r="BE30" i="1"/>
  <c r="BD30" i="1"/>
  <c r="BC30" i="1"/>
  <c r="BB30" i="1"/>
  <c r="BA30" i="1"/>
  <c r="CG30" i="1" s="1"/>
  <c r="AZ30" i="1"/>
  <c r="AY30" i="1"/>
  <c r="CE30" i="1" s="1"/>
  <c r="AX30" i="1"/>
  <c r="AW30" i="1"/>
  <c r="AV30" i="1"/>
  <c r="CB30" i="1" s="1"/>
  <c r="AU30" i="1"/>
  <c r="CA30" i="1" s="1"/>
  <c r="AT30" i="1"/>
  <c r="AS30" i="1"/>
  <c r="BY30" i="1" s="1"/>
  <c r="DN30" i="1" s="1"/>
  <c r="AR30" i="1"/>
  <c r="AQ30" i="1"/>
  <c r="AP30" i="1"/>
  <c r="AO30" i="1"/>
  <c r="AN30" i="1"/>
  <c r="AM30" i="1"/>
  <c r="AL30" i="1"/>
  <c r="AK30" i="1"/>
  <c r="AJ30" i="1"/>
  <c r="AI30" i="1"/>
  <c r="BO30" i="1" s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BX29" i="1" s="1"/>
  <c r="DR29" i="1" s="1"/>
  <c r="AQ29" i="1"/>
  <c r="BW29" i="1" s="1"/>
  <c r="DJ29" i="1" s="1"/>
  <c r="AP29" i="1"/>
  <c r="BV29" i="1" s="1"/>
  <c r="DL29" i="1" s="1"/>
  <c r="AO29" i="1"/>
  <c r="BU29" i="1" s="1"/>
  <c r="DH29" i="1" s="1"/>
  <c r="AN29" i="1"/>
  <c r="AM29" i="1"/>
  <c r="AL29" i="1"/>
  <c r="AK29" i="1"/>
  <c r="BQ29" i="1" s="1"/>
  <c r="AJ29" i="1"/>
  <c r="AI29" i="1"/>
  <c r="EJ4" i="1"/>
  <c r="AJ8" i="3" l="1"/>
  <c r="BD4" i="3"/>
  <c r="BE3" i="3"/>
  <c r="BI8" i="3"/>
  <c r="BI10" i="3"/>
  <c r="BG12" i="3"/>
  <c r="AU13" i="3"/>
  <c r="AI14" i="3"/>
  <c r="AQ14" i="3"/>
  <c r="AY14" i="3"/>
  <c r="BG14" i="3"/>
  <c r="AM14" i="3"/>
  <c r="BC14" i="3"/>
  <c r="AI15" i="3"/>
  <c r="AM17" i="3"/>
  <c r="AU17" i="3"/>
  <c r="BC17" i="3"/>
  <c r="AI18" i="3"/>
  <c r="AQ18" i="3"/>
  <c r="AY18" i="3"/>
  <c r="BG18" i="3"/>
  <c r="AM19" i="3"/>
  <c r="AU19" i="3"/>
  <c r="AI20" i="3"/>
  <c r="AY20" i="3"/>
  <c r="AM21" i="3"/>
  <c r="AU21" i="3"/>
  <c r="AQ22" i="3"/>
  <c r="BG22" i="3"/>
  <c r="AU23" i="3"/>
  <c r="AI24" i="3"/>
  <c r="AY24" i="3"/>
  <c r="AM25" i="3"/>
  <c r="AU25" i="3"/>
  <c r="AI26" i="3"/>
  <c r="AQ26" i="3"/>
  <c r="AY26" i="3"/>
  <c r="AM27" i="3"/>
  <c r="AP4" i="2"/>
  <c r="AZ14" i="3"/>
  <c r="BH12" i="3"/>
  <c r="BH14" i="3"/>
  <c r="BH18" i="3"/>
  <c r="AV19" i="3"/>
  <c r="AW11" i="3"/>
  <c r="BE11" i="3"/>
  <c r="AW21" i="3"/>
  <c r="AN3" i="3"/>
  <c r="AN7" i="3"/>
  <c r="BH10" i="3"/>
  <c r="AK14" i="3"/>
  <c r="CP34" i="3"/>
  <c r="BT29" i="3"/>
  <c r="CB29" i="3"/>
  <c r="CJ29" i="3"/>
  <c r="BS31" i="3"/>
  <c r="CA31" i="3"/>
  <c r="DK31" i="3" s="1"/>
  <c r="CI31" i="3"/>
  <c r="DO31" i="3" s="1"/>
  <c r="BQ33" i="3"/>
  <c r="BY33" i="3"/>
  <c r="DN33" i="3" s="1"/>
  <c r="CO33" i="3"/>
  <c r="CF33" i="3"/>
  <c r="AQ15" i="3"/>
  <c r="AY15" i="3"/>
  <c r="BC18" i="3"/>
  <c r="AQ19" i="3"/>
  <c r="BC20" i="3"/>
  <c r="AI21" i="3"/>
  <c r="AY21" i="3"/>
  <c r="AM22" i="3"/>
  <c r="BC22" i="3"/>
  <c r="AQ23" i="3"/>
  <c r="BC24" i="3"/>
  <c r="CC29" i="3"/>
  <c r="BO32" i="3"/>
  <c r="DM32" i="3" s="1"/>
  <c r="CE32" i="3"/>
  <c r="BR33" i="3"/>
  <c r="CH33" i="3"/>
  <c r="CP33" i="3"/>
  <c r="DQ33" i="3" s="1"/>
  <c r="BD6" i="3"/>
  <c r="AZ8" i="3"/>
  <c r="BH8" i="3"/>
  <c r="AV8" i="3"/>
  <c r="AN10" i="3"/>
  <c r="AR16" i="3"/>
  <c r="CH35" i="3"/>
  <c r="CP35" i="3"/>
  <c r="BS30" i="3"/>
  <c r="CA30" i="3"/>
  <c r="CI30" i="3"/>
  <c r="DO30" i="3" s="1"/>
  <c r="BO31" i="3"/>
  <c r="BW31" i="3"/>
  <c r="DJ31" i="3" s="1"/>
  <c r="CE31" i="3"/>
  <c r="CM31" i="3"/>
  <c r="CG34" i="3"/>
  <c r="CK30" i="3"/>
  <c r="BZ34" i="3"/>
  <c r="DP34" i="3" s="1"/>
  <c r="CC30" i="3"/>
  <c r="BR34" i="3"/>
  <c r="CH34" i="3"/>
  <c r="BS34" i="3"/>
  <c r="CI34" i="3"/>
  <c r="DO34" i="3" s="1"/>
  <c r="BV35" i="3"/>
  <c r="DL35" i="3" s="1"/>
  <c r="CD35" i="3"/>
  <c r="CL35" i="3"/>
  <c r="CX35" i="3" s="1"/>
  <c r="AT5" i="3"/>
  <c r="BB7" i="3"/>
  <c r="DI33" i="3"/>
  <c r="DQ34" i="3"/>
  <c r="CN29" i="3"/>
  <c r="BZ32" i="3"/>
  <c r="DP32" i="3" s="1"/>
  <c r="BZ29" i="3"/>
  <c r="DP29" i="3" s="1"/>
  <c r="BU32" i="3"/>
  <c r="DH32" i="3" s="1"/>
  <c r="CC32" i="3"/>
  <c r="CK32" i="3"/>
  <c r="BU33" i="3"/>
  <c r="DH33" i="3" s="1"/>
  <c r="CC33" i="3"/>
  <c r="CK33" i="3"/>
  <c r="CO34" i="3"/>
  <c r="BT35" i="3"/>
  <c r="DS35" i="3" s="1"/>
  <c r="AI2" i="3"/>
  <c r="AQ2" i="3"/>
  <c r="AY2" i="3"/>
  <c r="BG2" i="3"/>
  <c r="AM3" i="3"/>
  <c r="BC3" i="3"/>
  <c r="AI4" i="3"/>
  <c r="AQ3" i="3"/>
  <c r="AY3" i="3"/>
  <c r="BG4" i="3"/>
  <c r="AM4" i="3"/>
  <c r="AU5" i="3"/>
  <c r="BC5" i="3"/>
  <c r="AI6" i="3"/>
  <c r="AV10" i="3"/>
  <c r="BD10" i="3"/>
  <c r="AN12" i="3"/>
  <c r="AN15" i="3"/>
  <c r="AV14" i="3"/>
  <c r="AZ15" i="3"/>
  <c r="BH16" i="3"/>
  <c r="AN16" i="3"/>
  <c r="AV16" i="3"/>
  <c r="BD16" i="3"/>
  <c r="AJ18" i="3"/>
  <c r="BD19" i="3"/>
  <c r="AJ20" i="3"/>
  <c r="AR19" i="3"/>
  <c r="AN21" i="3"/>
  <c r="BD20" i="3"/>
  <c r="AZ21" i="3"/>
  <c r="BH22" i="3"/>
  <c r="AN23" i="3"/>
  <c r="AV23" i="3"/>
  <c r="BD23" i="3"/>
  <c r="AR24" i="3"/>
  <c r="AR25" i="3"/>
  <c r="AZ25" i="3"/>
  <c r="BH25" i="3"/>
  <c r="BP30" i="3"/>
  <c r="BX30" i="3"/>
  <c r="DR30" i="3" s="1"/>
  <c r="CN30" i="3"/>
  <c r="CB35" i="3"/>
  <c r="BQ35" i="3"/>
  <c r="BY35" i="3"/>
  <c r="DN35" i="3" s="1"/>
  <c r="CG35" i="3"/>
  <c r="CO35" i="3"/>
  <c r="BQ30" i="3"/>
  <c r="BY30" i="3"/>
  <c r="DN30" i="3" s="1"/>
  <c r="CG30" i="3"/>
  <c r="CO30" i="3"/>
  <c r="BQ31" i="3"/>
  <c r="BY31" i="3"/>
  <c r="DN31" i="3" s="1"/>
  <c r="CG31" i="3"/>
  <c r="CO31" i="3"/>
  <c r="BX32" i="3"/>
  <c r="DR32" i="3" s="1"/>
  <c r="CN32" i="3"/>
  <c r="BP33" i="3"/>
  <c r="BX33" i="3"/>
  <c r="DR33" i="3" s="1"/>
  <c r="CN33" i="3"/>
  <c r="DQ36" i="3"/>
  <c r="CF30" i="3"/>
  <c r="BO29" i="3"/>
  <c r="DM29" i="3" s="1"/>
  <c r="BW29" i="3"/>
  <c r="DJ29" i="3" s="1"/>
  <c r="CE29" i="3"/>
  <c r="CM29" i="3"/>
  <c r="BR31" i="3"/>
  <c r="BZ31" i="3"/>
  <c r="DP31" i="3" s="1"/>
  <c r="CH31" i="3"/>
  <c r="CP31" i="3"/>
  <c r="BU34" i="3"/>
  <c r="DH34" i="3" s="1"/>
  <c r="CC34" i="3"/>
  <c r="ET34" i="3" s="1"/>
  <c r="CK34" i="3"/>
  <c r="BP34" i="3"/>
  <c r="BX34" i="3"/>
  <c r="DR34" i="3" s="1"/>
  <c r="CF34" i="3"/>
  <c r="CN34" i="3"/>
  <c r="BX29" i="3"/>
  <c r="DR29" i="3" s="1"/>
  <c r="BU30" i="3"/>
  <c r="DH30" i="3" s="1"/>
  <c r="CH32" i="3"/>
  <c r="CJ35" i="3"/>
  <c r="CB36" i="3"/>
  <c r="CF29" i="3"/>
  <c r="BR32" i="3"/>
  <c r="BT36" i="3"/>
  <c r="CJ36" i="3"/>
  <c r="BQ29" i="3"/>
  <c r="BY29" i="3"/>
  <c r="DN29" i="3" s="1"/>
  <c r="CG29" i="3"/>
  <c r="CO29" i="3"/>
  <c r="BT30" i="3"/>
  <c r="CB30" i="3"/>
  <c r="CJ30" i="3"/>
  <c r="BS32" i="3"/>
  <c r="CA32" i="3"/>
  <c r="DK32" i="3" s="1"/>
  <c r="CI32" i="3"/>
  <c r="DO32" i="3" s="1"/>
  <c r="DQ35" i="3"/>
  <c r="BP29" i="3"/>
  <c r="CK29" i="3"/>
  <c r="CP32" i="3"/>
  <c r="BR29" i="3"/>
  <c r="CH29" i="3"/>
  <c r="CP29" i="3"/>
  <c r="BU31" i="3"/>
  <c r="DH31" i="3" s="1"/>
  <c r="CC31" i="3"/>
  <c r="CK31" i="3"/>
  <c r="BP32" i="3"/>
  <c r="BT33" i="3"/>
  <c r="DT33" i="3" s="1"/>
  <c r="CB33" i="3"/>
  <c r="CJ33" i="3"/>
  <c r="BS35" i="3"/>
  <c r="CA35" i="3"/>
  <c r="DK35" i="3" s="1"/>
  <c r="DQ37" i="3"/>
  <c r="AQ6" i="3"/>
  <c r="AY6" i="3"/>
  <c r="BG5" i="3"/>
  <c r="AM7" i="3"/>
  <c r="AU7" i="3"/>
  <c r="BC7" i="3"/>
  <c r="AQ7" i="3"/>
  <c r="AY8" i="3"/>
  <c r="BG7" i="3"/>
  <c r="AM9" i="3"/>
  <c r="AU9" i="3"/>
  <c r="BC9" i="3"/>
  <c r="AQ9" i="3"/>
  <c r="AY9" i="3"/>
  <c r="BG9" i="3"/>
  <c r="AM10" i="3"/>
  <c r="AU11" i="3"/>
  <c r="AI12" i="3"/>
  <c r="AQ12" i="3"/>
  <c r="AY12" i="3"/>
  <c r="AM12" i="3"/>
  <c r="BC12" i="3"/>
  <c r="AR28" i="3"/>
  <c r="BX28" i="3" s="1"/>
  <c r="DR28" i="3" s="1"/>
  <c r="AZ28" i="3"/>
  <c r="CF28" i="3" s="1"/>
  <c r="BH28" i="3"/>
  <c r="CN28" i="3" s="1"/>
  <c r="DG28" i="3" s="1"/>
  <c r="BI2" i="3"/>
  <c r="BI3" i="3"/>
  <c r="AW4" i="3"/>
  <c r="BE6" i="3"/>
  <c r="AW8" i="3"/>
  <c r="AS12" i="3"/>
  <c r="BA11" i="3"/>
  <c r="BI12" i="3"/>
  <c r="AW13" i="3"/>
  <c r="BE13" i="3"/>
  <c r="BE15" i="3"/>
  <c r="AK16" i="3"/>
  <c r="BA16" i="3"/>
  <c r="AW19" i="3"/>
  <c r="BA20" i="3"/>
  <c r="AW23" i="3"/>
  <c r="AK24" i="3"/>
  <c r="AS24" i="3"/>
  <c r="BA24" i="3"/>
  <c r="BI24" i="3"/>
  <c r="AW25" i="3"/>
  <c r="BE25" i="3"/>
  <c r="AK26" i="3"/>
  <c r="AS25" i="3"/>
  <c r="BA25" i="3"/>
  <c r="BI26" i="3"/>
  <c r="AO26" i="3"/>
  <c r="AW26" i="3"/>
  <c r="BS33" i="3"/>
  <c r="CA33" i="3"/>
  <c r="EO33" i="3" s="1"/>
  <c r="CI33" i="3"/>
  <c r="DO33" i="3" s="1"/>
  <c r="BT34" i="3"/>
  <c r="CB34" i="3"/>
  <c r="CJ34" i="3"/>
  <c r="BR36" i="3"/>
  <c r="BZ36" i="3"/>
  <c r="DP36" i="3" s="1"/>
  <c r="AT26" i="3"/>
  <c r="BJ26" i="3"/>
  <c r="AP27" i="3"/>
  <c r="AP28" i="3"/>
  <c r="BV28" i="3" s="1"/>
  <c r="DL28" i="3" s="1"/>
  <c r="BV32" i="3"/>
  <c r="DL32" i="3" s="1"/>
  <c r="CD32" i="3"/>
  <c r="CL32" i="3"/>
  <c r="CM33" i="3"/>
  <c r="BO36" i="3"/>
  <c r="DM36" i="3" s="1"/>
  <c r="BW36" i="3"/>
  <c r="DJ36" i="3" s="1"/>
  <c r="CE36" i="3"/>
  <c r="CM36" i="3"/>
  <c r="AO12" i="3"/>
  <c r="AS13" i="3"/>
  <c r="AS15" i="3"/>
  <c r="BI15" i="3"/>
  <c r="AO17" i="3"/>
  <c r="AW17" i="3"/>
  <c r="BE16" i="3"/>
  <c r="AK17" i="3"/>
  <c r="AS17" i="3"/>
  <c r="BA17" i="3"/>
  <c r="BI17" i="3"/>
  <c r="AO18" i="3"/>
  <c r="BE18" i="3"/>
  <c r="AK20" i="3"/>
  <c r="BI19" i="3"/>
  <c r="AO20" i="3"/>
  <c r="BE20" i="3"/>
  <c r="BA22" i="3"/>
  <c r="BI21" i="3"/>
  <c r="AO23" i="3"/>
  <c r="BE22" i="3"/>
  <c r="AO24" i="3"/>
  <c r="AX4" i="2"/>
  <c r="AT11" i="2"/>
  <c r="AL15" i="2"/>
  <c r="BB15" i="2"/>
  <c r="AX15" i="2"/>
  <c r="BB17" i="2"/>
  <c r="AL22" i="2"/>
  <c r="BB22" i="2"/>
  <c r="AP23" i="2"/>
  <c r="BF23" i="2"/>
  <c r="AT26" i="2"/>
  <c r="AL2" i="3"/>
  <c r="AT2" i="3"/>
  <c r="BB2" i="3"/>
  <c r="BJ2" i="3"/>
  <c r="AP3" i="3"/>
  <c r="AX3" i="3"/>
  <c r="BF3" i="3"/>
  <c r="AL4" i="3"/>
  <c r="AT3" i="3"/>
  <c r="BB3" i="3"/>
  <c r="BJ3" i="3"/>
  <c r="AP5" i="3"/>
  <c r="AX5" i="3"/>
  <c r="BF5" i="3"/>
  <c r="AL6" i="3"/>
  <c r="AT6" i="3"/>
  <c r="BB6" i="3"/>
  <c r="BJ5" i="3"/>
  <c r="AP7" i="3"/>
  <c r="AX6" i="3"/>
  <c r="BF7" i="3"/>
  <c r="AL7" i="3"/>
  <c r="AT7" i="3"/>
  <c r="BB8" i="3"/>
  <c r="BJ8" i="3"/>
  <c r="AP9" i="3"/>
  <c r="AX8" i="3"/>
  <c r="BF9" i="3"/>
  <c r="AL9" i="3"/>
  <c r="AT10" i="3"/>
  <c r="BJ10" i="3"/>
  <c r="AL12" i="3"/>
  <c r="AT12" i="3"/>
  <c r="BJ12" i="3"/>
  <c r="BF12" i="3"/>
  <c r="AL13" i="3"/>
  <c r="AT14" i="3"/>
  <c r="BJ14" i="3"/>
  <c r="BF15" i="3"/>
  <c r="AT16" i="3"/>
  <c r="BJ16" i="3"/>
  <c r="AP17" i="3"/>
  <c r="BF16" i="3"/>
  <c r="AT18" i="3"/>
  <c r="BJ18" i="3"/>
  <c r="BF18" i="3"/>
  <c r="AT20" i="3"/>
  <c r="BJ20" i="3"/>
  <c r="AP21" i="3"/>
  <c r="AT22" i="3"/>
  <c r="AP23" i="3"/>
  <c r="AT24" i="3"/>
  <c r="BJ24" i="3"/>
  <c r="AY13" i="2"/>
  <c r="BH4" i="2"/>
  <c r="BH6" i="2"/>
  <c r="BD6" i="2"/>
  <c r="BD8" i="2"/>
  <c r="AJ16" i="2"/>
  <c r="AJ18" i="2"/>
  <c r="AJ19" i="2"/>
  <c r="AN21" i="2"/>
  <c r="AJ21" i="2"/>
  <c r="BH21" i="2"/>
  <c r="BH24" i="2"/>
  <c r="AN26" i="2"/>
  <c r="AV26" i="2"/>
  <c r="BD28" i="2"/>
  <c r="CJ28" i="2" s="1"/>
  <c r="BB16" i="2"/>
  <c r="AL2" i="2"/>
  <c r="AT2" i="2"/>
  <c r="BB2" i="2"/>
  <c r="BF3" i="2"/>
  <c r="AL4" i="2"/>
  <c r="AT4" i="2"/>
  <c r="BB4" i="2"/>
  <c r="BF5" i="2"/>
  <c r="AL6" i="2"/>
  <c r="AT6" i="2"/>
  <c r="BB5" i="2"/>
  <c r="AX7" i="2"/>
  <c r="BF7" i="2"/>
  <c r="AT8" i="2"/>
  <c r="BB8" i="2"/>
  <c r="BF9" i="2"/>
  <c r="AX12" i="3"/>
  <c r="BB22" i="3"/>
  <c r="BB27" i="3"/>
  <c r="AX28" i="3"/>
  <c r="AS19" i="3"/>
  <c r="AJ11" i="3"/>
  <c r="BF10" i="3"/>
  <c r="AT19" i="3"/>
  <c r="AN4" i="3"/>
  <c r="AU14" i="3"/>
  <c r="BG15" i="3"/>
  <c r="BG19" i="3"/>
  <c r="BG23" i="3"/>
  <c r="BG25" i="3"/>
  <c r="BJ21" i="3"/>
  <c r="BJ28" i="3"/>
  <c r="CP28" i="3" s="1"/>
  <c r="AX11" i="3"/>
  <c r="BB12" i="3"/>
  <c r="BB14" i="3"/>
  <c r="AX15" i="3"/>
  <c r="AL16" i="3"/>
  <c r="BB15" i="3"/>
  <c r="AX17" i="3"/>
  <c r="AL18" i="3"/>
  <c r="BB18" i="3"/>
  <c r="AX19" i="3"/>
  <c r="AL20" i="3"/>
  <c r="BB20" i="3"/>
  <c r="AX21" i="3"/>
  <c r="BF21" i="3"/>
  <c r="AL22" i="3"/>
  <c r="BB21" i="3"/>
  <c r="AX23" i="3"/>
  <c r="BF23" i="3"/>
  <c r="AL23" i="3"/>
  <c r="AX25" i="3"/>
  <c r="AL25" i="3"/>
  <c r="BB26" i="3"/>
  <c r="BF27" i="3"/>
  <c r="AL27" i="3"/>
  <c r="BB28" i="3"/>
  <c r="CH28" i="3" s="1"/>
  <c r="AK2" i="3"/>
  <c r="AS2" i="3"/>
  <c r="BA2" i="3"/>
  <c r="AO3" i="3"/>
  <c r="AS4" i="3"/>
  <c r="BA3" i="3"/>
  <c r="AO5" i="3"/>
  <c r="AS6" i="3"/>
  <c r="BA6" i="3"/>
  <c r="AO7" i="3"/>
  <c r="AS8" i="3"/>
  <c r="BA7" i="3"/>
  <c r="AO8" i="3"/>
  <c r="BE9" i="3"/>
  <c r="AK9" i="3"/>
  <c r="AS9" i="3"/>
  <c r="BA9" i="3"/>
  <c r="AK11" i="3"/>
  <c r="BJ9" i="3"/>
  <c r="AP10" i="3"/>
  <c r="AP3" i="2"/>
  <c r="AP5" i="2"/>
  <c r="AP7" i="2"/>
  <c r="AP8" i="2"/>
  <c r="AL24" i="2"/>
  <c r="AL3" i="3"/>
  <c r="AZ17" i="3"/>
  <c r="BI20" i="2"/>
  <c r="AP28" i="2"/>
  <c r="AW4" i="2"/>
  <c r="BE19" i="2"/>
  <c r="AW26" i="2"/>
  <c r="BJ27" i="2"/>
  <c r="AZ5" i="2"/>
  <c r="AU11" i="2"/>
  <c r="AT23" i="3"/>
  <c r="BB23" i="3"/>
  <c r="AX26" i="3"/>
  <c r="AT27" i="3"/>
  <c r="BG14" i="2"/>
  <c r="AR8" i="2"/>
  <c r="AZ7" i="2"/>
  <c r="AR9" i="2"/>
  <c r="AZ20" i="2"/>
  <c r="BB4" i="3"/>
  <c r="BB16" i="3"/>
  <c r="BJ2" i="2"/>
  <c r="BJ4" i="2"/>
  <c r="AX5" i="2"/>
  <c r="BJ6" i="2"/>
  <c r="AX6" i="2"/>
  <c r="AX8" i="2"/>
  <c r="AL14" i="3"/>
  <c r="AL19" i="3"/>
  <c r="BH3" i="2"/>
  <c r="BJ6" i="3"/>
  <c r="BF8" i="3"/>
  <c r="AX9" i="3"/>
  <c r="BB11" i="3"/>
  <c r="AT13" i="3"/>
  <c r="AT15" i="3"/>
  <c r="AX20" i="3"/>
  <c r="BJ23" i="3"/>
  <c r="BB25" i="3"/>
  <c r="AU26" i="3"/>
  <c r="BC27" i="3"/>
  <c r="AI28" i="3"/>
  <c r="BO28" i="3" s="1"/>
  <c r="DM28" i="3" s="1"/>
  <c r="AQ28" i="3"/>
  <c r="BW28" i="3" s="1"/>
  <c r="DJ28" i="3" s="1"/>
  <c r="AY28" i="3"/>
  <c r="CE28" i="3" s="1"/>
  <c r="BG28" i="3"/>
  <c r="CM28" i="3" s="1"/>
  <c r="AM28" i="3"/>
  <c r="BS28" i="3" s="1"/>
  <c r="AU28" i="3"/>
  <c r="CA28" i="3" s="1"/>
  <c r="DK28" i="3" s="1"/>
  <c r="BC28" i="3"/>
  <c r="CI28" i="3" s="1"/>
  <c r="DO28" i="3" s="1"/>
  <c r="BF6" i="2"/>
  <c r="BF6" i="3"/>
  <c r="AL8" i="3"/>
  <c r="AL10" i="3"/>
  <c r="BJ11" i="3"/>
  <c r="BB13" i="3"/>
  <c r="BJ15" i="3"/>
  <c r="BF20" i="3"/>
  <c r="AP22" i="3"/>
  <c r="BJ25" i="3"/>
  <c r="AX27" i="3"/>
  <c r="AN28" i="3"/>
  <c r="BT28" i="3" s="1"/>
  <c r="DS28" i="3" s="1"/>
  <c r="AV28" i="3"/>
  <c r="CB28" i="3" s="1"/>
  <c r="BD28" i="3"/>
  <c r="CJ28" i="3" s="1"/>
  <c r="AT4" i="3"/>
  <c r="AL5" i="3"/>
  <c r="AT8" i="3"/>
  <c r="BF11" i="3"/>
  <c r="BJ13" i="3"/>
  <c r="AX18" i="3"/>
  <c r="AX22" i="3"/>
  <c r="AL24" i="3"/>
  <c r="AL26" i="3"/>
  <c r="AL28" i="3"/>
  <c r="BR28" i="3" s="1"/>
  <c r="BJ27" i="3"/>
  <c r="BF28" i="3"/>
  <c r="CL28" i="3" s="1"/>
  <c r="AR21" i="1"/>
  <c r="AK2" i="2"/>
  <c r="AS2" i="2"/>
  <c r="BA2" i="2"/>
  <c r="BI2" i="2"/>
  <c r="AO3" i="2"/>
  <c r="AW3" i="2"/>
  <c r="BE3" i="2"/>
  <c r="AK4" i="2"/>
  <c r="AS3" i="2"/>
  <c r="BA3" i="2"/>
  <c r="BI4" i="2"/>
  <c r="AO4" i="2"/>
  <c r="BE4" i="2"/>
  <c r="AK6" i="2"/>
  <c r="AS6" i="2"/>
  <c r="BA6" i="2"/>
  <c r="BI6" i="2"/>
  <c r="AO6" i="2"/>
  <c r="AW6" i="2"/>
  <c r="AK8" i="2"/>
  <c r="AS8" i="2"/>
  <c r="BA8" i="2"/>
  <c r="BI8" i="2"/>
  <c r="AO8" i="2"/>
  <c r="AW8" i="2"/>
  <c r="BE8" i="2"/>
  <c r="AS10" i="2"/>
  <c r="BI9" i="2"/>
  <c r="BE11" i="2"/>
  <c r="AS12" i="2"/>
  <c r="BA11" i="2"/>
  <c r="BI11" i="2"/>
  <c r="AS13" i="2"/>
  <c r="BI14" i="2"/>
  <c r="BE15" i="2"/>
  <c r="AK15" i="2"/>
  <c r="BI16" i="2"/>
  <c r="BE17" i="2"/>
  <c r="AS17" i="2"/>
  <c r="BI17" i="2"/>
  <c r="BE18" i="2"/>
  <c r="AK20" i="2"/>
  <c r="AS19" i="2"/>
  <c r="AO21" i="2"/>
  <c r="BE21" i="2"/>
  <c r="AK21" i="2"/>
  <c r="AS22" i="2"/>
  <c r="AO23" i="2"/>
  <c r="BE22" i="2"/>
  <c r="AK24" i="2"/>
  <c r="AS24" i="2"/>
  <c r="BA24" i="2"/>
  <c r="AO27" i="2"/>
  <c r="AK28" i="2"/>
  <c r="BQ28" i="2" s="1"/>
  <c r="AO28" i="2"/>
  <c r="BU28" i="2" s="1"/>
  <c r="DH28" i="2" s="1"/>
  <c r="BE28" i="2"/>
  <c r="CK28" i="2" s="1"/>
  <c r="BB5" i="3"/>
  <c r="BJ7" i="3"/>
  <c r="BF22" i="3"/>
  <c r="AX24" i="3"/>
  <c r="AP26" i="3"/>
  <c r="AT28" i="3"/>
  <c r="BZ28" i="3" s="1"/>
  <c r="DP28" i="3" s="1"/>
  <c r="AL10" i="2"/>
  <c r="AT10" i="2"/>
  <c r="BB10" i="2"/>
  <c r="BJ10" i="2"/>
  <c r="AP10" i="2"/>
  <c r="AX11" i="2"/>
  <c r="BF11" i="2"/>
  <c r="AL11" i="2"/>
  <c r="BB12" i="2"/>
  <c r="BJ12" i="2"/>
  <c r="AP13" i="2"/>
  <c r="AX13" i="2"/>
  <c r="BF12" i="2"/>
  <c r="AL13" i="2"/>
  <c r="BB13" i="2"/>
  <c r="AP15" i="2"/>
  <c r="AX14" i="2"/>
  <c r="BF14" i="2"/>
  <c r="AL16" i="2"/>
  <c r="BF17" i="2"/>
  <c r="BB18" i="2"/>
  <c r="BJ17" i="2"/>
  <c r="AP18" i="2"/>
  <c r="AX19" i="2"/>
  <c r="BF18" i="2"/>
  <c r="AL19" i="2"/>
  <c r="BB20" i="2"/>
  <c r="BJ19" i="2"/>
  <c r="AP21" i="2"/>
  <c r="AX21" i="2"/>
  <c r="BF21" i="2"/>
  <c r="AP22" i="2"/>
  <c r="AX22" i="2"/>
  <c r="BF22" i="2"/>
  <c r="AL23" i="2"/>
  <c r="BB23" i="2"/>
  <c r="AP24" i="2"/>
  <c r="AX25" i="2"/>
  <c r="BF24" i="2"/>
  <c r="AL26" i="2"/>
  <c r="BB26" i="2"/>
  <c r="AL27" i="2"/>
  <c r="BB27" i="2"/>
  <c r="BF28" i="2"/>
  <c r="CL28" i="2" s="1"/>
  <c r="BJ4" i="3"/>
  <c r="AL11" i="3"/>
  <c r="AP16" i="3"/>
  <c r="BB19" i="3"/>
  <c r="BJ22" i="3"/>
  <c r="BB24" i="3"/>
  <c r="BF26" i="3"/>
  <c r="AT11" i="3"/>
  <c r="BF17" i="3"/>
  <c r="BJ19" i="3"/>
  <c r="AL21" i="3"/>
  <c r="AL20" i="2"/>
  <c r="AJ3" i="2"/>
  <c r="AR3" i="2"/>
  <c r="AJ5" i="2"/>
  <c r="AN6" i="2"/>
  <c r="BD5" i="2"/>
  <c r="AJ7" i="2"/>
  <c r="AJ8" i="2"/>
  <c r="AP8" i="3"/>
  <c r="AL15" i="3"/>
  <c r="BF19" i="3"/>
  <c r="AT21" i="3"/>
  <c r="BC23" i="3"/>
  <c r="AP6" i="3"/>
  <c r="AX24" i="2"/>
  <c r="AO11" i="2"/>
  <c r="AO14" i="2"/>
  <c r="AO17" i="2"/>
  <c r="BI23" i="2"/>
  <c r="AX28" i="2"/>
  <c r="AT12" i="2"/>
  <c r="AT16" i="2"/>
  <c r="AJ25" i="3"/>
  <c r="BI19" i="2"/>
  <c r="BI21" i="2"/>
  <c r="BI27" i="2"/>
  <c r="AJ12" i="3"/>
  <c r="AI7" i="3"/>
  <c r="AI9" i="3"/>
  <c r="BC10" i="3"/>
  <c r="BJ3" i="2"/>
  <c r="BJ7" i="2"/>
  <c r="BC2" i="2"/>
  <c r="AR7" i="2"/>
  <c r="AP12" i="3"/>
  <c r="AP15" i="3"/>
  <c r="AP18" i="3"/>
  <c r="AP20" i="3"/>
  <c r="AP24" i="3"/>
  <c r="AT25" i="3"/>
  <c r="AJ6" i="2"/>
  <c r="BJ11" i="2"/>
  <c r="AW11" i="2"/>
  <c r="AW12" i="2"/>
  <c r="BA14" i="2"/>
  <c r="AW14" i="2"/>
  <c r="BA16" i="2"/>
  <c r="AW17" i="2"/>
  <c r="AW19" i="2"/>
  <c r="AW21" i="2"/>
  <c r="AW27" i="2"/>
  <c r="AW28" i="2"/>
  <c r="CC28" i="2" s="1"/>
  <c r="AK3" i="3"/>
  <c r="AT13" i="2"/>
  <c r="BJ13" i="2"/>
  <c r="BJ16" i="2"/>
  <c r="AT17" i="2"/>
  <c r="BJ18" i="2"/>
  <c r="AT20" i="2"/>
  <c r="BJ20" i="2"/>
  <c r="AT22" i="2"/>
  <c r="AT24" i="2"/>
  <c r="BJ24" i="2"/>
  <c r="BJ26" i="2"/>
  <c r="AT27" i="2"/>
  <c r="BI22" i="2"/>
  <c r="AR23" i="3"/>
  <c r="AT18" i="2"/>
  <c r="AP25" i="2"/>
  <c r="AQ9" i="2"/>
  <c r="AU10" i="2"/>
  <c r="AY18" i="2"/>
  <c r="AT9" i="3"/>
  <c r="AV15" i="3"/>
  <c r="AU8" i="2"/>
  <c r="AY9" i="2"/>
  <c r="AM13" i="2"/>
  <c r="BC16" i="2"/>
  <c r="AY16" i="2"/>
  <c r="AY24" i="2"/>
  <c r="AX16" i="3"/>
  <c r="AP19" i="3"/>
  <c r="AP25" i="3"/>
  <c r="AP9" i="2"/>
  <c r="AK16" i="2"/>
  <c r="BJ23" i="2"/>
  <c r="AR5" i="2"/>
  <c r="AZ6" i="2"/>
  <c r="AM23" i="3"/>
  <c r="AX9" i="2"/>
  <c r="AK22" i="2"/>
  <c r="BE23" i="2"/>
  <c r="AW5" i="3"/>
  <c r="BA12" i="3"/>
  <c r="AO13" i="3"/>
  <c r="AR5" i="3"/>
  <c r="AR6" i="3"/>
  <c r="AZ6" i="3"/>
  <c r="AZ5" i="3"/>
  <c r="AV6" i="3"/>
  <c r="AV7" i="3"/>
  <c r="AN8" i="3"/>
  <c r="AN9" i="3"/>
  <c r="BD8" i="3"/>
  <c r="BD9" i="3"/>
  <c r="AR9" i="3"/>
  <c r="AR10" i="3"/>
  <c r="AZ9" i="3"/>
  <c r="AZ10" i="3"/>
  <c r="AR11" i="3"/>
  <c r="AR12" i="3"/>
  <c r="AZ11" i="3"/>
  <c r="AZ12" i="3"/>
  <c r="AV12" i="3"/>
  <c r="AV13" i="3"/>
  <c r="BD12" i="3"/>
  <c r="BD13" i="3"/>
  <c r="AJ14" i="3"/>
  <c r="AJ13" i="3"/>
  <c r="AR13" i="3"/>
  <c r="AR14" i="3"/>
  <c r="BD14" i="3"/>
  <c r="BD15" i="3"/>
  <c r="AJ15" i="3"/>
  <c r="AJ16" i="3"/>
  <c r="AR18" i="3"/>
  <c r="AR17" i="3"/>
  <c r="AZ19" i="3"/>
  <c r="AZ20" i="3"/>
  <c r="BH20" i="3"/>
  <c r="BH19" i="3"/>
  <c r="AV21" i="3"/>
  <c r="AV20" i="3"/>
  <c r="AJ22" i="3"/>
  <c r="AJ21" i="3"/>
  <c r="AR22" i="3"/>
  <c r="AR21" i="3"/>
  <c r="AJ23" i="3"/>
  <c r="AJ24" i="3"/>
  <c r="AZ24" i="3"/>
  <c r="AZ23" i="3"/>
  <c r="BH24" i="3"/>
  <c r="BH23" i="3"/>
  <c r="AN24" i="3"/>
  <c r="AN25" i="3"/>
  <c r="AV25" i="3"/>
  <c r="AV24" i="3"/>
  <c r="BD24" i="3"/>
  <c r="BD25" i="3"/>
  <c r="AN26" i="3"/>
  <c r="AN27" i="3"/>
  <c r="AV27" i="3"/>
  <c r="AV26" i="3"/>
  <c r="BD26" i="3"/>
  <c r="BD27" i="3"/>
  <c r="AJ27" i="3"/>
  <c r="AJ28" i="3"/>
  <c r="BP28" i="3" s="1"/>
  <c r="AL3" i="2"/>
  <c r="BA4" i="2"/>
  <c r="AL5" i="2"/>
  <c r="AP11" i="2"/>
  <c r="AZ13" i="3"/>
  <c r="BD21" i="3"/>
  <c r="AR23" i="1"/>
  <c r="AT5" i="2"/>
  <c r="AR6" i="2"/>
  <c r="AT19" i="2"/>
  <c r="AP2" i="2"/>
  <c r="AX2" i="2"/>
  <c r="BF2" i="2"/>
  <c r="AT3" i="2"/>
  <c r="BF4" i="2"/>
  <c r="AR15" i="3"/>
  <c r="AJ17" i="3"/>
  <c r="AJ19" i="3"/>
  <c r="AT7" i="2"/>
  <c r="BF8" i="2"/>
  <c r="AL12" i="2"/>
  <c r="AI2" i="2"/>
  <c r="AQ2" i="2"/>
  <c r="AY2" i="2"/>
  <c r="BG2" i="2"/>
  <c r="AI4" i="2"/>
  <c r="AQ3" i="2"/>
  <c r="AY4" i="2"/>
  <c r="BG3" i="2"/>
  <c r="AM5" i="2"/>
  <c r="AU5" i="2"/>
  <c r="BC4" i="2"/>
  <c r="AI5" i="2"/>
  <c r="AQ6" i="2"/>
  <c r="AY5" i="2"/>
  <c r="BG5" i="2"/>
  <c r="AM7" i="2"/>
  <c r="AU7" i="2"/>
  <c r="BC6" i="2"/>
  <c r="AI7" i="2"/>
  <c r="AQ7" i="2"/>
  <c r="AY7" i="2"/>
  <c r="AM8" i="2"/>
  <c r="BC8" i="2"/>
  <c r="AI10" i="2"/>
  <c r="AQ10" i="2"/>
  <c r="AY10" i="2"/>
  <c r="BG10" i="2"/>
  <c r="AM11" i="2"/>
  <c r="AI12" i="2"/>
  <c r="AY12" i="2"/>
  <c r="BG12" i="2"/>
  <c r="AM12" i="2"/>
  <c r="AU13" i="2"/>
  <c r="BC13" i="2"/>
  <c r="AI13" i="2"/>
  <c r="AM15" i="2"/>
  <c r="AU14" i="2"/>
  <c r="BC15" i="2"/>
  <c r="AI16" i="2"/>
  <c r="AQ15" i="2"/>
  <c r="BG16" i="2"/>
  <c r="AM16" i="2"/>
  <c r="AU17" i="2"/>
  <c r="BC17" i="2"/>
  <c r="AI18" i="2"/>
  <c r="AQ18" i="2"/>
  <c r="BG18" i="2"/>
  <c r="AM19" i="2"/>
  <c r="AU18" i="2"/>
  <c r="AI19" i="2"/>
  <c r="AQ20" i="2"/>
  <c r="BH11" i="3"/>
  <c r="AR20" i="3"/>
  <c r="AR4" i="2"/>
  <c r="AW7" i="2"/>
  <c r="BI12" i="2"/>
  <c r="AX18" i="2"/>
  <c r="AT23" i="2"/>
  <c r="BI24" i="2"/>
  <c r="AZ16" i="3"/>
  <c r="AZ18" i="3"/>
  <c r="AZ22" i="3"/>
  <c r="AP6" i="2"/>
  <c r="BB6" i="2"/>
  <c r="AK9" i="2"/>
  <c r="AK10" i="2"/>
  <c r="AK11" i="2"/>
  <c r="AK12" i="2"/>
  <c r="BA22" i="2"/>
  <c r="BA21" i="2"/>
  <c r="AN13" i="3"/>
  <c r="AN14" i="3"/>
  <c r="AP16" i="2"/>
  <c r="AP17" i="2"/>
  <c r="AX17" i="2"/>
  <c r="AX16" i="2"/>
  <c r="AL17" i="2"/>
  <c r="AL18" i="2"/>
  <c r="BJ21" i="2"/>
  <c r="BJ22" i="2"/>
  <c r="AN20" i="3"/>
  <c r="BH21" i="3"/>
  <c r="AO2" i="2"/>
  <c r="AW2" i="2"/>
  <c r="BE2" i="2"/>
  <c r="BA4" i="3"/>
  <c r="BE7" i="3"/>
  <c r="BE8" i="3"/>
  <c r="AM18" i="3"/>
  <c r="AN2" i="3"/>
  <c r="BD2" i="3"/>
  <c r="BH5" i="3"/>
  <c r="BH9" i="3"/>
  <c r="BH13" i="3"/>
  <c r="BH15" i="3"/>
  <c r="AY20" i="2"/>
  <c r="BG20" i="2"/>
  <c r="AM20" i="2"/>
  <c r="BC20" i="2"/>
  <c r="AI22" i="2"/>
  <c r="AQ22" i="2"/>
  <c r="AY21" i="2"/>
  <c r="AM23" i="2"/>
  <c r="AU23" i="2"/>
  <c r="AI23" i="2"/>
  <c r="AQ24" i="2"/>
  <c r="AY23" i="2"/>
  <c r="BG24" i="2"/>
  <c r="AM25" i="2"/>
  <c r="AU24" i="2"/>
  <c r="BC25" i="2"/>
  <c r="AQ25" i="2"/>
  <c r="AY25" i="2"/>
  <c r="BG25" i="2"/>
  <c r="AM27" i="2"/>
  <c r="AU27" i="2"/>
  <c r="BC27" i="2"/>
  <c r="AI28" i="2"/>
  <c r="BO28" i="2" s="1"/>
  <c r="DM28" i="2" s="1"/>
  <c r="AQ28" i="2"/>
  <c r="BW28" i="2" s="1"/>
  <c r="DJ28" i="2" s="1"/>
  <c r="BG28" i="2"/>
  <c r="CM28" i="2" s="1"/>
  <c r="AU28" i="2"/>
  <c r="CA28" i="2" s="1"/>
  <c r="DK28" i="2" s="1"/>
  <c r="BI4" i="3"/>
  <c r="AJ2" i="2"/>
  <c r="AR2" i="2"/>
  <c r="AZ2" i="2"/>
  <c r="BH2" i="2"/>
  <c r="AV3" i="2"/>
  <c r="BD3" i="2"/>
  <c r="AZ3" i="2"/>
  <c r="AN5" i="2"/>
  <c r="AV4" i="2"/>
  <c r="BD4" i="2"/>
  <c r="BH5" i="2"/>
  <c r="AV6" i="2"/>
  <c r="BH8" i="2"/>
  <c r="AN9" i="2"/>
  <c r="AV8" i="2"/>
  <c r="BD9" i="2"/>
  <c r="AJ10" i="2"/>
  <c r="AR10" i="2"/>
  <c r="AZ9" i="2"/>
  <c r="AV10" i="2"/>
  <c r="AJ12" i="2"/>
  <c r="AN13" i="2"/>
  <c r="AV13" i="2"/>
  <c r="BD12" i="2"/>
  <c r="AJ13" i="2"/>
  <c r="AR13" i="2"/>
  <c r="AZ13" i="2"/>
  <c r="BH13" i="2"/>
  <c r="AN15" i="2"/>
  <c r="AV14" i="2"/>
  <c r="BD14" i="2"/>
  <c r="AR16" i="2"/>
  <c r="AZ16" i="2"/>
  <c r="BH16" i="2"/>
  <c r="AV16" i="2"/>
  <c r="BD16" i="2"/>
  <c r="AJ17" i="2"/>
  <c r="AR17" i="2"/>
  <c r="AZ17" i="2"/>
  <c r="BH18" i="2"/>
  <c r="AN19" i="2"/>
  <c r="AV19" i="2"/>
  <c r="BD19" i="2"/>
  <c r="AJ20" i="2"/>
  <c r="BH20" i="2"/>
  <c r="AN20" i="2"/>
  <c r="BD20" i="2"/>
  <c r="AR21" i="2"/>
  <c r="AZ21" i="2"/>
  <c r="AN23" i="2"/>
  <c r="AV22" i="2"/>
  <c r="AJ24" i="2"/>
  <c r="AR23" i="2"/>
  <c r="BH23" i="2"/>
  <c r="AR26" i="2"/>
  <c r="AZ26" i="2"/>
  <c r="AN27" i="2"/>
  <c r="BD26" i="2"/>
  <c r="AR28" i="2"/>
  <c r="BX28" i="2" s="1"/>
  <c r="DR28" i="2" s="1"/>
  <c r="BH27" i="2"/>
  <c r="AN28" i="2"/>
  <c r="BT28" i="2" s="1"/>
  <c r="DT28" i="2" s="1"/>
  <c r="AV28" i="2"/>
  <c r="CB28" i="2" s="1"/>
  <c r="BA5" i="3"/>
  <c r="BE12" i="3"/>
  <c r="AK15" i="3"/>
  <c r="BA15" i="3"/>
  <c r="AW20" i="3"/>
  <c r="BA21" i="3"/>
  <c r="AO22" i="3"/>
  <c r="BI16" i="3"/>
  <c r="BE21" i="3"/>
  <c r="AK21" i="3"/>
  <c r="BE23" i="3"/>
  <c r="AW22" i="3"/>
  <c r="AO16" i="3"/>
  <c r="AO21" i="3"/>
  <c r="AS16" i="3"/>
  <c r="BE17" i="3"/>
  <c r="BD7" i="3"/>
  <c r="BI5" i="3"/>
  <c r="AK7" i="3"/>
  <c r="AJ5" i="3"/>
  <c r="AN6" i="3"/>
  <c r="AJ9" i="3"/>
  <c r="AU15" i="3"/>
  <c r="AP2" i="3"/>
  <c r="AX2" i="3"/>
  <c r="BF2" i="3"/>
  <c r="BH17" i="3"/>
  <c r="AS10" i="3"/>
  <c r="BI9" i="3"/>
  <c r="AK12" i="3"/>
  <c r="BI7" i="3"/>
  <c r="BI11" i="3"/>
  <c r="AS14" i="3"/>
  <c r="AW24" i="3"/>
  <c r="AS26" i="3"/>
  <c r="BA26" i="3"/>
  <c r="AO9" i="3"/>
  <c r="BE14" i="3"/>
  <c r="AO25" i="3"/>
  <c r="AI3" i="2"/>
  <c r="AN4" i="2"/>
  <c r="AK27" i="3"/>
  <c r="AO27" i="3"/>
  <c r="BI27" i="3"/>
  <c r="AO28" i="3"/>
  <c r="BU28" i="3" s="1"/>
  <c r="DH28" i="3" s="1"/>
  <c r="AW28" i="3"/>
  <c r="CC28" i="3" s="1"/>
  <c r="BE28" i="3"/>
  <c r="CK28" i="3" s="1"/>
  <c r="AN11" i="2"/>
  <c r="AO2" i="3"/>
  <c r="AU2" i="3"/>
  <c r="AW2" i="3"/>
  <c r="AV2" i="3"/>
  <c r="AO10" i="3"/>
  <c r="BA13" i="3"/>
  <c r="AQ13" i="3"/>
  <c r="BG13" i="3"/>
  <c r="AM16" i="3"/>
  <c r="BC16" i="3"/>
  <c r="AQ16" i="3"/>
  <c r="BG16" i="3"/>
  <c r="AW18" i="3"/>
  <c r="AU20" i="3"/>
  <c r="BE24" i="3"/>
  <c r="AY25" i="3"/>
  <c r="BE26" i="3"/>
  <c r="AS27" i="3"/>
  <c r="BY27" i="3" s="1"/>
  <c r="DN27" i="3" s="1"/>
  <c r="BC19" i="3"/>
  <c r="AU24" i="3"/>
  <c r="BG26" i="3"/>
  <c r="AS3" i="3"/>
  <c r="AO4" i="3"/>
  <c r="AW9" i="3"/>
  <c r="AS11" i="3"/>
  <c r="AU12" i="3"/>
  <c r="AK13" i="3"/>
  <c r="BC15" i="3"/>
  <c r="AU18" i="3"/>
  <c r="AK19" i="3"/>
  <c r="BA19" i="3"/>
  <c r="AO19" i="3"/>
  <c r="BE19" i="3"/>
  <c r="AS20" i="3"/>
  <c r="BI20" i="3"/>
  <c r="BC21" i="3"/>
  <c r="AQ21" i="3"/>
  <c r="BG21" i="3"/>
  <c r="AM24" i="3"/>
  <c r="BG24" i="3"/>
  <c r="AI25" i="3"/>
  <c r="BI25" i="3"/>
  <c r="AU27" i="3"/>
  <c r="AW27" i="3"/>
  <c r="BI28" i="3"/>
  <c r="AI19" i="3"/>
  <c r="AQ20" i="3"/>
  <c r="AU22" i="3"/>
  <c r="AY23" i="3"/>
  <c r="AQ25" i="3"/>
  <c r="BE2" i="3"/>
  <c r="AW3" i="3"/>
  <c r="AQ4" i="3"/>
  <c r="BE4" i="3"/>
  <c r="AK5" i="3"/>
  <c r="AW12" i="3"/>
  <c r="AM13" i="3"/>
  <c r="BI13" i="3"/>
  <c r="AM15" i="3"/>
  <c r="AI23" i="3"/>
  <c r="BA27" i="3"/>
  <c r="CG27" i="3" s="1"/>
  <c r="AK28" i="3"/>
  <c r="BQ28" i="3" s="1"/>
  <c r="BC4" i="3"/>
  <c r="BC13" i="3"/>
  <c r="AY19" i="3"/>
  <c r="BG20" i="3"/>
  <c r="BE10" i="3"/>
  <c r="AI13" i="3"/>
  <c r="AY13" i="3"/>
  <c r="AU16" i="3"/>
  <c r="AI16" i="3"/>
  <c r="AY16" i="3"/>
  <c r="BI22" i="3"/>
  <c r="AK25" i="3"/>
  <c r="AQ5" i="3"/>
  <c r="AS7" i="3"/>
  <c r="AW16" i="3"/>
  <c r="AS21" i="3"/>
  <c r="AI22" i="3"/>
  <c r="AQ24" i="3"/>
  <c r="AY22" i="3"/>
  <c r="AY7" i="3"/>
  <c r="AM26" i="3"/>
  <c r="BG8" i="3"/>
  <c r="AQ8" i="3"/>
  <c r="BC11" i="3"/>
  <c r="AU10" i="3"/>
  <c r="BG3" i="3"/>
  <c r="AI3" i="3"/>
  <c r="AV3" i="3"/>
  <c r="AY5" i="3"/>
  <c r="BG6" i="3"/>
  <c r="AM5" i="3"/>
  <c r="AM11" i="3"/>
  <c r="BC2" i="3"/>
  <c r="AI5" i="3"/>
  <c r="AI8" i="3"/>
  <c r="AU3" i="3"/>
  <c r="AU4" i="3"/>
  <c r="AY4" i="3"/>
  <c r="AM2" i="3"/>
  <c r="BH2" i="3"/>
  <c r="AJ2" i="3"/>
  <c r="AR2" i="3"/>
  <c r="AZ2" i="3"/>
  <c r="BC6" i="3"/>
  <c r="AX4" i="3"/>
  <c r="AM6" i="3"/>
  <c r="AP11" i="3"/>
  <c r="AK4" i="3"/>
  <c r="AI11" i="3"/>
  <c r="AQ11" i="3"/>
  <c r="AY11" i="3"/>
  <c r="BG11" i="3"/>
  <c r="AS5" i="3"/>
  <c r="BB10" i="3"/>
  <c r="BB9" i="3"/>
  <c r="AW15" i="3"/>
  <c r="AW14" i="3"/>
  <c r="AJ3" i="3"/>
  <c r="AR3" i="3"/>
  <c r="AZ3" i="3"/>
  <c r="BH3" i="3"/>
  <c r="AP4" i="3"/>
  <c r="AU6" i="3"/>
  <c r="AX7" i="3"/>
  <c r="BA8" i="3"/>
  <c r="AP14" i="3"/>
  <c r="AX14" i="3"/>
  <c r="BF14" i="3"/>
  <c r="AO14" i="3"/>
  <c r="BF4" i="3"/>
  <c r="AN5" i="3"/>
  <c r="AV5" i="3"/>
  <c r="BD5" i="3"/>
  <c r="AK8" i="3"/>
  <c r="AX10" i="3"/>
  <c r="AO6" i="3"/>
  <c r="AW6" i="3"/>
  <c r="AJ7" i="3"/>
  <c r="AR7" i="3"/>
  <c r="AZ7" i="3"/>
  <c r="BH7" i="3"/>
  <c r="AM8" i="3"/>
  <c r="AU8" i="3"/>
  <c r="BC8" i="3"/>
  <c r="AK10" i="3"/>
  <c r="AW10" i="3"/>
  <c r="AI10" i="3"/>
  <c r="AQ10" i="3"/>
  <c r="AY10" i="3"/>
  <c r="BG10" i="3"/>
  <c r="AV9" i="3"/>
  <c r="BA10" i="3"/>
  <c r="AN11" i="3"/>
  <c r="AV11" i="3"/>
  <c r="BD11" i="3"/>
  <c r="AP13" i="3"/>
  <c r="AX13" i="3"/>
  <c r="BF13" i="3"/>
  <c r="AI17" i="3"/>
  <c r="AQ17" i="3"/>
  <c r="AY17" i="3"/>
  <c r="BG17" i="3"/>
  <c r="AN18" i="3"/>
  <c r="AN17" i="3"/>
  <c r="AV18" i="3"/>
  <c r="AV17" i="3"/>
  <c r="BD18" i="3"/>
  <c r="BD17" i="3"/>
  <c r="AL17" i="3"/>
  <c r="AT17" i="3"/>
  <c r="BB17" i="3"/>
  <c r="BJ17" i="3"/>
  <c r="BC26" i="3"/>
  <c r="BC25" i="3"/>
  <c r="AI27" i="3"/>
  <c r="AQ27" i="3"/>
  <c r="AY27" i="3"/>
  <c r="BG27" i="3"/>
  <c r="AK23" i="3"/>
  <c r="AS23" i="3"/>
  <c r="BA23" i="3"/>
  <c r="BI23" i="3"/>
  <c r="AR27" i="3"/>
  <c r="AR26" i="3"/>
  <c r="AZ27" i="3"/>
  <c r="AZ26" i="3"/>
  <c r="BH27" i="3"/>
  <c r="BH26" i="3"/>
  <c r="AK18" i="3"/>
  <c r="AS18" i="3"/>
  <c r="BA18" i="3"/>
  <c r="BI18" i="3"/>
  <c r="AM20" i="3"/>
  <c r="AN22" i="3"/>
  <c r="AV22" i="3"/>
  <c r="BD22" i="3"/>
  <c r="BF25" i="3"/>
  <c r="BF24" i="3"/>
  <c r="DG32" i="3"/>
  <c r="BV34" i="3"/>
  <c r="BV29" i="3"/>
  <c r="DL29" i="3" s="1"/>
  <c r="BV31" i="3"/>
  <c r="DL31" i="3" s="1"/>
  <c r="BV30" i="3"/>
  <c r="DL30" i="3" s="1"/>
  <c r="CD34" i="3"/>
  <c r="CD29" i="3"/>
  <c r="CD30" i="3"/>
  <c r="CD31" i="3"/>
  <c r="CL34" i="3"/>
  <c r="CL29" i="3"/>
  <c r="CL31" i="3"/>
  <c r="CL30" i="3"/>
  <c r="AJ26" i="3"/>
  <c r="DG34" i="3"/>
  <c r="EP37" i="3"/>
  <c r="DG30" i="3"/>
  <c r="BO33" i="3"/>
  <c r="BW33" i="3"/>
  <c r="CE33" i="3"/>
  <c r="CY33" i="3"/>
  <c r="DT36" i="3"/>
  <c r="DS36" i="3"/>
  <c r="DT37" i="3"/>
  <c r="DS37" i="3"/>
  <c r="CX37" i="3"/>
  <c r="BY28" i="3"/>
  <c r="DN28" i="3" s="1"/>
  <c r="CG28" i="3"/>
  <c r="BS29" i="3"/>
  <c r="CA29" i="3"/>
  <c r="CI29" i="3"/>
  <c r="DO29" i="3" s="1"/>
  <c r="DT29" i="3"/>
  <c r="DS29" i="3"/>
  <c r="BT32" i="3"/>
  <c r="CB32" i="3"/>
  <c r="CJ32" i="3"/>
  <c r="BR30" i="3"/>
  <c r="BZ30" i="3"/>
  <c r="DP30" i="3" s="1"/>
  <c r="CH30" i="3"/>
  <c r="CP30" i="3"/>
  <c r="BW32" i="3"/>
  <c r="DJ32" i="3" s="1"/>
  <c r="DK36" i="3"/>
  <c r="DK30" i="3"/>
  <c r="DM37" i="3"/>
  <c r="DT30" i="3"/>
  <c r="DS30" i="3"/>
  <c r="BP36" i="3"/>
  <c r="BP31" i="3"/>
  <c r="BX36" i="3"/>
  <c r="DR36" i="3" s="1"/>
  <c r="BX31" i="3"/>
  <c r="DR31" i="3" s="1"/>
  <c r="CF36" i="3"/>
  <c r="CZ36" i="3" s="1"/>
  <c r="CF31" i="3"/>
  <c r="CN36" i="3"/>
  <c r="CN31" i="3"/>
  <c r="DG37" i="3"/>
  <c r="DM31" i="3"/>
  <c r="DS33" i="3"/>
  <c r="DG33" i="3"/>
  <c r="DT34" i="3"/>
  <c r="DS34" i="3"/>
  <c r="BQ37" i="3"/>
  <c r="ES37" i="3" s="1"/>
  <c r="BQ32" i="3"/>
  <c r="BY37" i="3"/>
  <c r="DN37" i="3" s="1"/>
  <c r="BY32" i="3"/>
  <c r="DN32" i="3" s="1"/>
  <c r="CG37" i="3"/>
  <c r="CG32" i="3"/>
  <c r="CO37" i="3"/>
  <c r="CO32" i="3"/>
  <c r="CD28" i="3"/>
  <c r="DG29" i="3"/>
  <c r="BT31" i="3"/>
  <c r="CB31" i="3"/>
  <c r="CJ31" i="3"/>
  <c r="CM32" i="3"/>
  <c r="BO35" i="3"/>
  <c r="BO30" i="3"/>
  <c r="BW35" i="3"/>
  <c r="DJ35" i="3" s="1"/>
  <c r="BW30" i="3"/>
  <c r="DJ30" i="3" s="1"/>
  <c r="CE35" i="3"/>
  <c r="CE30" i="3"/>
  <c r="CM35" i="3"/>
  <c r="CM30" i="3"/>
  <c r="BV33" i="3"/>
  <c r="DL33" i="3" s="1"/>
  <c r="CD33" i="3"/>
  <c r="CL33" i="3"/>
  <c r="BO34" i="3"/>
  <c r="BW34" i="3"/>
  <c r="CE34" i="3"/>
  <c r="CM34" i="3"/>
  <c r="DK34" i="3"/>
  <c r="BP35" i="3"/>
  <c r="ET35" i="3" s="1"/>
  <c r="BX35" i="3"/>
  <c r="CF35" i="3"/>
  <c r="CN35" i="3"/>
  <c r="BQ36" i="3"/>
  <c r="BY36" i="3"/>
  <c r="DN36" i="3" s="1"/>
  <c r="CG36" i="3"/>
  <c r="CO36" i="3"/>
  <c r="EQ36" i="3" s="1"/>
  <c r="BR37" i="3"/>
  <c r="BZ37" i="3"/>
  <c r="DP37" i="3" s="1"/>
  <c r="ER37" i="3"/>
  <c r="CZ37" i="3"/>
  <c r="AU12" i="2"/>
  <c r="AM2" i="2"/>
  <c r="AV5" i="2"/>
  <c r="AU2" i="2"/>
  <c r="AL7" i="2"/>
  <c r="BC7" i="2"/>
  <c r="BH7" i="2"/>
  <c r="BB3" i="2"/>
  <c r="BC5" i="2"/>
  <c r="BG9" i="2"/>
  <c r="BC10" i="2"/>
  <c r="BC12" i="2"/>
  <c r="BG13" i="2"/>
  <c r="BC14" i="2"/>
  <c r="BG7" i="2"/>
  <c r="AM6" i="2"/>
  <c r="AK5" i="2"/>
  <c r="AI9" i="2"/>
  <c r="AQ13" i="2"/>
  <c r="AQ14" i="2"/>
  <c r="AM10" i="2"/>
  <c r="AM4" i="2"/>
  <c r="BD10" i="2"/>
  <c r="BD11" i="2"/>
  <c r="AZ23" i="2"/>
  <c r="AZ24" i="2"/>
  <c r="BH26" i="2"/>
  <c r="BH25" i="2"/>
  <c r="AI15" i="2"/>
  <c r="BG19" i="2"/>
  <c r="AK14" i="2"/>
  <c r="AK13" i="2"/>
  <c r="BA20" i="2"/>
  <c r="BA19" i="2"/>
  <c r="AN10" i="2"/>
  <c r="AV12" i="2"/>
  <c r="AI20" i="2"/>
  <c r="AO20" i="2"/>
  <c r="BD21" i="2"/>
  <c r="AM22" i="2"/>
  <c r="AO22" i="2"/>
  <c r="AI24" i="2"/>
  <c r="AQ27" i="2"/>
  <c r="BI28" i="2"/>
  <c r="AY15" i="2"/>
  <c r="AU16" i="2"/>
  <c r="AQ19" i="2"/>
  <c r="AY19" i="2"/>
  <c r="AU20" i="2"/>
  <c r="AI21" i="2"/>
  <c r="BG23" i="2"/>
  <c r="BC24" i="2"/>
  <c r="AI25" i="2"/>
  <c r="AM26" i="2"/>
  <c r="BC26" i="2"/>
  <c r="AI27" i="2"/>
  <c r="BG27" i="2"/>
  <c r="AM28" i="2"/>
  <c r="BS28" i="2" s="1"/>
  <c r="BC28" i="2"/>
  <c r="CI28" i="2" s="1"/>
  <c r="DO28" i="2" s="1"/>
  <c r="BC19" i="2"/>
  <c r="BC18" i="2"/>
  <c r="BG22" i="2"/>
  <c r="BG21" i="2"/>
  <c r="AM14" i="2"/>
  <c r="AM17" i="2"/>
  <c r="BH10" i="2"/>
  <c r="BH9" i="2"/>
  <c r="AN16" i="2"/>
  <c r="AN17" i="2"/>
  <c r="AJ25" i="2"/>
  <c r="AJ26" i="2"/>
  <c r="AV11" i="2"/>
  <c r="AN14" i="2"/>
  <c r="AU19" i="2"/>
  <c r="AS16" i="2"/>
  <c r="AS15" i="2"/>
  <c r="BA17" i="2"/>
  <c r="BA18" i="2"/>
  <c r="AW23" i="2"/>
  <c r="AW22" i="2"/>
  <c r="BD13" i="2"/>
  <c r="AV23" i="2"/>
  <c r="AS9" i="2"/>
  <c r="AS5" i="2"/>
  <c r="AV9" i="2"/>
  <c r="BA15" i="2"/>
  <c r="AQ16" i="2"/>
  <c r="BH17" i="2"/>
  <c r="BI18" i="2"/>
  <c r="AS20" i="2"/>
  <c r="BE20" i="2"/>
  <c r="AQ21" i="2"/>
  <c r="AU22" i="2"/>
  <c r="AZ22" i="2"/>
  <c r="AR24" i="2"/>
  <c r="AR27" i="2"/>
  <c r="BC23" i="2"/>
  <c r="BC22" i="2"/>
  <c r="AU15" i="2"/>
  <c r="AR20" i="2"/>
  <c r="AR19" i="2"/>
  <c r="AJ27" i="2"/>
  <c r="AJ28" i="2"/>
  <c r="BP28" i="2" s="1"/>
  <c r="AZ28" i="2"/>
  <c r="CF28" i="2" s="1"/>
  <c r="AZ27" i="2"/>
  <c r="BE6" i="2"/>
  <c r="BE7" i="2"/>
  <c r="AO18" i="2"/>
  <c r="AO19" i="2"/>
  <c r="BE26" i="2"/>
  <c r="BE27" i="2"/>
  <c r="AS27" i="2"/>
  <c r="AS28" i="2"/>
  <c r="BY28" i="2" s="1"/>
  <c r="DN28" i="2" s="1"/>
  <c r="BA28" i="2"/>
  <c r="CG28" i="2" s="1"/>
  <c r="BA27" i="2"/>
  <c r="AZ10" i="2"/>
  <c r="AN12" i="2"/>
  <c r="AM18" i="2"/>
  <c r="BH19" i="2"/>
  <c r="AN22" i="2"/>
  <c r="AZ25" i="2"/>
  <c r="BH28" i="2"/>
  <c r="CN28" i="2" s="1"/>
  <c r="DG28" i="2" s="1"/>
  <c r="AN8" i="2"/>
  <c r="BD15" i="2"/>
  <c r="AZ18" i="2"/>
  <c r="BI10" i="2"/>
  <c r="AW18" i="2"/>
  <c r="AS21" i="2"/>
  <c r="AY22" i="2"/>
  <c r="AY28" i="2"/>
  <c r="CE28" i="2" s="1"/>
  <c r="AY27" i="2"/>
  <c r="AQ23" i="2"/>
  <c r="AV21" i="2"/>
  <c r="AV20" i="2"/>
  <c r="BD23" i="2"/>
  <c r="BD22" i="2"/>
  <c r="BA10" i="2"/>
  <c r="BA9" i="2"/>
  <c r="BA12" i="2"/>
  <c r="BE14" i="2"/>
  <c r="BG15" i="2"/>
  <c r="AK19" i="2"/>
  <c r="AU25" i="2"/>
  <c r="AU26" i="2"/>
  <c r="AK27" i="2"/>
  <c r="BQ27" i="2" s="1"/>
  <c r="AP12" i="2"/>
  <c r="BF13" i="2"/>
  <c r="AP14" i="2"/>
  <c r="BG6" i="2"/>
  <c r="BB11" i="2"/>
  <c r="BC11" i="2"/>
  <c r="AQ12" i="2"/>
  <c r="BB19" i="2"/>
  <c r="BF19" i="2"/>
  <c r="BB24" i="2"/>
  <c r="BF25" i="2"/>
  <c r="BJ8" i="2"/>
  <c r="BJ15" i="2"/>
  <c r="AL8" i="2"/>
  <c r="AX10" i="2"/>
  <c r="AT15" i="2"/>
  <c r="BF16" i="2"/>
  <c r="BF15" i="2"/>
  <c r="BJ5" i="2"/>
  <c r="AQ4" i="2"/>
  <c r="BG4" i="2"/>
  <c r="AU4" i="2"/>
  <c r="AU6" i="2"/>
  <c r="AY3" i="2"/>
  <c r="AQ5" i="2"/>
  <c r="AN2" i="2"/>
  <c r="BA5" i="2"/>
  <c r="BD2" i="2"/>
  <c r="AX3" i="2"/>
  <c r="AN3" i="2"/>
  <c r="AO5" i="2"/>
  <c r="AI6" i="2"/>
  <c r="AY6" i="2"/>
  <c r="BD7" i="2"/>
  <c r="AV2" i="2"/>
  <c r="AJ4" i="2"/>
  <c r="AZ4" i="2"/>
  <c r="BI5" i="2"/>
  <c r="BE5" i="2"/>
  <c r="AN7" i="2"/>
  <c r="AK3" i="2"/>
  <c r="AM3" i="2"/>
  <c r="AU3" i="2"/>
  <c r="BC3" i="2"/>
  <c r="AW5" i="2"/>
  <c r="AV7" i="2"/>
  <c r="AO9" i="2"/>
  <c r="AO10" i="2"/>
  <c r="AW9" i="2"/>
  <c r="AW10" i="2"/>
  <c r="BE9" i="2"/>
  <c r="BE10" i="2"/>
  <c r="DG35" i="2"/>
  <c r="AU9" i="2"/>
  <c r="AO7" i="2"/>
  <c r="AK7" i="2"/>
  <c r="AS7" i="2"/>
  <c r="BA7" i="2"/>
  <c r="BI7" i="2"/>
  <c r="AI8" i="2"/>
  <c r="AQ8" i="2"/>
  <c r="AY8" i="2"/>
  <c r="BG8" i="2"/>
  <c r="AZ8" i="2"/>
  <c r="AL9" i="2"/>
  <c r="AT9" i="2"/>
  <c r="BB9" i="2"/>
  <c r="BJ9" i="2"/>
  <c r="AJ9" i="2"/>
  <c r="AI11" i="2"/>
  <c r="AQ11" i="2"/>
  <c r="AY11" i="2"/>
  <c r="BG11" i="2"/>
  <c r="BB7" i="2"/>
  <c r="AM9" i="2"/>
  <c r="BC9" i="2"/>
  <c r="AZ12" i="2"/>
  <c r="BH12" i="2"/>
  <c r="AO12" i="2"/>
  <c r="AX12" i="2"/>
  <c r="BI13" i="2"/>
  <c r="AS14" i="2"/>
  <c r="AJ11" i="2"/>
  <c r="AR11" i="2"/>
  <c r="AZ11" i="2"/>
  <c r="BH11" i="2"/>
  <c r="AO13" i="2"/>
  <c r="AW13" i="2"/>
  <c r="BE13" i="2"/>
  <c r="AL14" i="2"/>
  <c r="AT14" i="2"/>
  <c r="BB14" i="2"/>
  <c r="BJ14" i="2"/>
  <c r="AR12" i="2"/>
  <c r="BA13" i="2"/>
  <c r="AI14" i="2"/>
  <c r="AY14" i="2"/>
  <c r="AV15" i="2"/>
  <c r="AN25" i="2"/>
  <c r="AN24" i="2"/>
  <c r="AV25" i="2"/>
  <c r="AV24" i="2"/>
  <c r="BD25" i="2"/>
  <c r="BD24" i="2"/>
  <c r="BE12" i="2"/>
  <c r="AJ14" i="2"/>
  <c r="AJ15" i="2"/>
  <c r="AR14" i="2"/>
  <c r="AR15" i="2"/>
  <c r="AZ14" i="2"/>
  <c r="AZ15" i="2"/>
  <c r="BH14" i="2"/>
  <c r="BH15" i="2"/>
  <c r="AI17" i="2"/>
  <c r="AQ17" i="2"/>
  <c r="AY17" i="2"/>
  <c r="BG17" i="2"/>
  <c r="AO15" i="2"/>
  <c r="AO16" i="2"/>
  <c r="AW15" i="2"/>
  <c r="AW16" i="2"/>
  <c r="AW20" i="2"/>
  <c r="BE16" i="2"/>
  <c r="AR18" i="2"/>
  <c r="BB21" i="2"/>
  <c r="AS18" i="2"/>
  <c r="AL21" i="2"/>
  <c r="AN18" i="2"/>
  <c r="AV18" i="2"/>
  <c r="BD18" i="2"/>
  <c r="BD17" i="2"/>
  <c r="AK18" i="2"/>
  <c r="AZ19" i="2"/>
  <c r="AV17" i="2"/>
  <c r="AP19" i="2"/>
  <c r="AP20" i="2"/>
  <c r="AT21" i="2"/>
  <c r="AR22" i="2"/>
  <c r="AO25" i="2"/>
  <c r="AO24" i="2"/>
  <c r="AW25" i="2"/>
  <c r="AW24" i="2"/>
  <c r="BE25" i="2"/>
  <c r="BE24" i="2"/>
  <c r="DM30" i="2"/>
  <c r="EO32" i="2"/>
  <c r="DG32" i="2"/>
  <c r="AX20" i="2"/>
  <c r="BF20" i="2"/>
  <c r="AM21" i="2"/>
  <c r="AU21" i="2"/>
  <c r="BC21" i="2"/>
  <c r="AJ22" i="2"/>
  <c r="AJ23" i="2"/>
  <c r="AX23" i="2"/>
  <c r="AR25" i="2"/>
  <c r="AO26" i="2"/>
  <c r="BQ29" i="2"/>
  <c r="BQ32" i="2"/>
  <c r="DA32" i="2" s="1"/>
  <c r="BY29" i="2"/>
  <c r="DN29" i="2" s="1"/>
  <c r="BY32" i="2"/>
  <c r="DN32" i="2" s="1"/>
  <c r="CG29" i="2"/>
  <c r="CG32" i="2"/>
  <c r="CO29" i="2"/>
  <c r="DI29" i="2" s="1"/>
  <c r="CO32" i="2"/>
  <c r="AM24" i="2"/>
  <c r="DC34" i="2"/>
  <c r="DT31" i="2"/>
  <c r="DS31" i="2"/>
  <c r="BH22" i="2"/>
  <c r="AP27" i="2"/>
  <c r="AP26" i="2"/>
  <c r="AX27" i="2"/>
  <c r="CD27" i="2" s="1"/>
  <c r="AX26" i="2"/>
  <c r="BF27" i="2"/>
  <c r="BF26" i="2"/>
  <c r="EQ33" i="2"/>
  <c r="DI33" i="2"/>
  <c r="AK23" i="2"/>
  <c r="AS23" i="2"/>
  <c r="BA23" i="2"/>
  <c r="AK26" i="2"/>
  <c r="AK25" i="2"/>
  <c r="AS26" i="2"/>
  <c r="AS25" i="2"/>
  <c r="BA26" i="2"/>
  <c r="BA25" i="2"/>
  <c r="BI26" i="2"/>
  <c r="BI25" i="2"/>
  <c r="CW30" i="2"/>
  <c r="BR30" i="2"/>
  <c r="BR33" i="2"/>
  <c r="CY33" i="2" s="1"/>
  <c r="BZ30" i="2"/>
  <c r="DP30" i="2" s="1"/>
  <c r="BZ33" i="2"/>
  <c r="DP33" i="2" s="1"/>
  <c r="CH30" i="2"/>
  <c r="CH33" i="2"/>
  <c r="DB33" i="2" s="1"/>
  <c r="CP30" i="2"/>
  <c r="DQ30" i="2" s="1"/>
  <c r="CP33" i="2"/>
  <c r="DQ33" i="2" s="1"/>
  <c r="AL25" i="2"/>
  <c r="AT25" i="2"/>
  <c r="BB25" i="2"/>
  <c r="BJ25" i="2"/>
  <c r="AI26" i="2"/>
  <c r="AQ26" i="2"/>
  <c r="AY26" i="2"/>
  <c r="BG26" i="2"/>
  <c r="AV27" i="2"/>
  <c r="BD27" i="2"/>
  <c r="AL28" i="2"/>
  <c r="BR28" i="2" s="1"/>
  <c r="AT28" i="2"/>
  <c r="BZ28" i="2" s="1"/>
  <c r="DP28" i="2" s="1"/>
  <c r="BB28" i="2"/>
  <c r="CH28" i="2" s="1"/>
  <c r="BJ28" i="2"/>
  <c r="CP28" i="2" s="1"/>
  <c r="DQ28" i="2" s="1"/>
  <c r="BZ29" i="2"/>
  <c r="DP29" i="2" s="1"/>
  <c r="BQ30" i="2"/>
  <c r="BY30" i="2"/>
  <c r="DN30" i="2" s="1"/>
  <c r="CG30" i="2"/>
  <c r="CO30" i="2"/>
  <c r="DI30" i="2" s="1"/>
  <c r="DK32" i="2"/>
  <c r="BS33" i="2"/>
  <c r="CA33" i="2"/>
  <c r="CI33" i="2"/>
  <c r="DO33" i="2" s="1"/>
  <c r="DK35" i="2"/>
  <c r="DT37" i="2"/>
  <c r="DS37" i="2"/>
  <c r="CV37" i="2"/>
  <c r="EP29" i="2"/>
  <c r="CH29" i="2"/>
  <c r="DM31" i="2"/>
  <c r="ES31" i="2"/>
  <c r="DT33" i="2"/>
  <c r="DS33" i="2"/>
  <c r="BT32" i="2"/>
  <c r="CW32" i="2" s="1"/>
  <c r="BT35" i="2"/>
  <c r="EO35" i="2" s="1"/>
  <c r="BT29" i="2"/>
  <c r="BT30" i="2"/>
  <c r="CB32" i="2"/>
  <c r="ER32" i="2" s="1"/>
  <c r="CB35" i="2"/>
  <c r="CZ35" i="2" s="1"/>
  <c r="CB29" i="2"/>
  <c r="CB30" i="2"/>
  <c r="CJ32" i="2"/>
  <c r="CJ35" i="2"/>
  <c r="ET35" i="2" s="1"/>
  <c r="CJ29" i="2"/>
  <c r="CJ30" i="2"/>
  <c r="DT36" i="2"/>
  <c r="DS36" i="2"/>
  <c r="DC36" i="2"/>
  <c r="ET36" i="2"/>
  <c r="CX37" i="2"/>
  <c r="CP29" i="2"/>
  <c r="DQ29" i="2" s="1"/>
  <c r="DG31" i="2"/>
  <c r="CX35" i="2"/>
  <c r="DC35" i="2"/>
  <c r="BU33" i="2"/>
  <c r="DH33" i="2" s="1"/>
  <c r="BU36" i="2"/>
  <c r="DH36" i="2" s="1"/>
  <c r="BU30" i="2"/>
  <c r="DH30" i="2" s="1"/>
  <c r="BU31" i="2"/>
  <c r="DH31" i="2" s="1"/>
  <c r="CC33" i="2"/>
  <c r="CC36" i="2"/>
  <c r="DB36" i="2" s="1"/>
  <c r="CC30" i="2"/>
  <c r="CC31" i="2"/>
  <c r="CK33" i="2"/>
  <c r="EU33" i="2" s="1"/>
  <c r="CK36" i="2"/>
  <c r="CK30" i="2"/>
  <c r="CK31" i="2"/>
  <c r="EU36" i="2"/>
  <c r="BV34" i="2"/>
  <c r="DL34" i="2" s="1"/>
  <c r="BV37" i="2"/>
  <c r="DL37" i="2" s="1"/>
  <c r="BV31" i="2"/>
  <c r="DL31" i="2" s="1"/>
  <c r="BV32" i="2"/>
  <c r="DL32" i="2" s="1"/>
  <c r="CD34" i="2"/>
  <c r="CD37" i="2"/>
  <c r="CD31" i="2"/>
  <c r="CD32" i="2"/>
  <c r="CZ32" i="2" s="1"/>
  <c r="CL34" i="2"/>
  <c r="CX34" i="2" s="1"/>
  <c r="CL37" i="2"/>
  <c r="EP37" i="2" s="1"/>
  <c r="CL31" i="2"/>
  <c r="CL32" i="2"/>
  <c r="EP32" i="2" s="1"/>
  <c r="DC37" i="2"/>
  <c r="BO29" i="2"/>
  <c r="BW29" i="2"/>
  <c r="DJ29" i="2" s="1"/>
  <c r="CE29" i="2"/>
  <c r="CM29" i="2"/>
  <c r="DK30" i="2"/>
  <c r="CZ30" i="2"/>
  <c r="ER30" i="2"/>
  <c r="BQ31" i="2"/>
  <c r="BY31" i="2"/>
  <c r="DN31" i="2" s="1"/>
  <c r="CG31" i="2"/>
  <c r="CO31" i="2"/>
  <c r="CY31" i="2" s="1"/>
  <c r="BS31" i="2"/>
  <c r="BS34" i="2"/>
  <c r="BS29" i="2"/>
  <c r="CX29" i="2" s="1"/>
  <c r="CA31" i="2"/>
  <c r="CA34" i="2"/>
  <c r="CA29" i="2"/>
  <c r="CI31" i="2"/>
  <c r="DO31" i="2" s="1"/>
  <c r="CI34" i="2"/>
  <c r="DO34" i="2" s="1"/>
  <c r="CI29" i="2"/>
  <c r="DO29" i="2" s="1"/>
  <c r="DM34" i="2"/>
  <c r="DM37" i="2"/>
  <c r="DA37" i="2"/>
  <c r="ES37" i="2"/>
  <c r="CY37" i="2"/>
  <c r="EQ37" i="2"/>
  <c r="BV28" i="2"/>
  <c r="DL28" i="2" s="1"/>
  <c r="CD28" i="2"/>
  <c r="BP29" i="2"/>
  <c r="BX29" i="2"/>
  <c r="DR29" i="2" s="1"/>
  <c r="CF29" i="2"/>
  <c r="CN29" i="2"/>
  <c r="CI30" i="2"/>
  <c r="DO30" i="2" s="1"/>
  <c r="BR31" i="2"/>
  <c r="DA31" i="2" s="1"/>
  <c r="BZ31" i="2"/>
  <c r="DP31" i="2" s="1"/>
  <c r="CH31" i="2"/>
  <c r="CP31" i="2"/>
  <c r="DQ31" i="2" s="1"/>
  <c r="BT34" i="2"/>
  <c r="CB34" i="2"/>
  <c r="DA34" i="2" s="1"/>
  <c r="CJ34" i="2"/>
  <c r="CY34" i="2"/>
  <c r="EQ34" i="2"/>
  <c r="DA36" i="2"/>
  <c r="ES36" i="2"/>
  <c r="CY36" i="2"/>
  <c r="EQ36" i="2"/>
  <c r="CW36" i="2"/>
  <c r="CW37" i="2"/>
  <c r="EO37" i="2"/>
  <c r="DG37" i="2"/>
  <c r="EN37" i="2"/>
  <c r="ES33" i="2"/>
  <c r="DM35" i="2"/>
  <c r="EU35" i="2"/>
  <c r="ES32" i="2"/>
  <c r="DA33" i="2"/>
  <c r="EU34" i="2"/>
  <c r="DG36" i="2"/>
  <c r="EO36" i="2"/>
  <c r="DG34" i="2"/>
  <c r="ER37" i="2"/>
  <c r="DY37" i="2" s="1"/>
  <c r="DG33" i="2"/>
  <c r="EQ35" i="2"/>
  <c r="ER36" i="2"/>
  <c r="CZ37" i="2"/>
  <c r="ET37" i="2"/>
  <c r="AP13" i="1"/>
  <c r="AI10" i="1"/>
  <c r="AN28" i="1"/>
  <c r="BT28" i="1" s="1"/>
  <c r="AS13" i="1"/>
  <c r="AL20" i="1"/>
  <c r="BF21" i="1"/>
  <c r="AL22" i="1"/>
  <c r="AL26" i="1"/>
  <c r="BD26" i="1"/>
  <c r="AV28" i="1"/>
  <c r="CB28" i="1" s="1"/>
  <c r="DA37" i="1"/>
  <c r="CE31" i="1"/>
  <c r="CI32" i="1"/>
  <c r="DO32" i="1" s="1"/>
  <c r="BU35" i="1"/>
  <c r="DH35" i="1" s="1"/>
  <c r="CK34" i="1"/>
  <c r="BZ37" i="1"/>
  <c r="EN37" i="1" s="1"/>
  <c r="BV34" i="1"/>
  <c r="DL34" i="1" s="1"/>
  <c r="CD34" i="1"/>
  <c r="BT29" i="1"/>
  <c r="BQ31" i="1"/>
  <c r="BY31" i="1"/>
  <c r="DN31" i="1" s="1"/>
  <c r="BZ32" i="1"/>
  <c r="DP32" i="1" s="1"/>
  <c r="BW31" i="1"/>
  <c r="DJ31" i="1" s="1"/>
  <c r="CE34" i="1"/>
  <c r="CM35" i="1"/>
  <c r="CC35" i="1"/>
  <c r="BW36" i="1"/>
  <c r="DJ36" i="1" s="1"/>
  <c r="CM36" i="1"/>
  <c r="BT32" i="1"/>
  <c r="CJ34" i="1"/>
  <c r="BO29" i="1"/>
  <c r="CF31" i="1"/>
  <c r="CF32" i="1"/>
  <c r="CC29" i="1"/>
  <c r="BV32" i="1"/>
  <c r="DL32" i="1" s="1"/>
  <c r="BP36" i="1"/>
  <c r="CN36" i="1"/>
  <c r="DG36" i="1" s="1"/>
  <c r="CD29" i="1"/>
  <c r="CB32" i="1"/>
  <c r="BP35" i="1"/>
  <c r="CD35" i="1"/>
  <c r="CA31" i="1"/>
  <c r="ER31" i="1" s="1"/>
  <c r="DS36" i="1"/>
  <c r="CB31" i="1"/>
  <c r="BR36" i="1"/>
  <c r="EQ36" i="1" s="1"/>
  <c r="CK36" i="1"/>
  <c r="EP36" i="1" s="1"/>
  <c r="AR3" i="1"/>
  <c r="AK7" i="1"/>
  <c r="AW8" i="1"/>
  <c r="BA9" i="1"/>
  <c r="CN29" i="1"/>
  <c r="CF30" i="1"/>
  <c r="CO32" i="1"/>
  <c r="DI32" i="1" s="1"/>
  <c r="BV35" i="1"/>
  <c r="DL35" i="1" s="1"/>
  <c r="BE4" i="1"/>
  <c r="BF23" i="1"/>
  <c r="AP21" i="1"/>
  <c r="AU17" i="1"/>
  <c r="AN19" i="1"/>
  <c r="AN20" i="1"/>
  <c r="AV21" i="1"/>
  <c r="BD21" i="1"/>
  <c r="AN23" i="1"/>
  <c r="AV22" i="1"/>
  <c r="AV25" i="1"/>
  <c r="AN27" i="1"/>
  <c r="AT22" i="1"/>
  <c r="AR12" i="1"/>
  <c r="AT20" i="1"/>
  <c r="AT28" i="1"/>
  <c r="BZ28" i="1" s="1"/>
  <c r="DP28" i="1" s="1"/>
  <c r="AJ12" i="1"/>
  <c r="AJ23" i="1"/>
  <c r="AR24" i="1"/>
  <c r="AJ28" i="1"/>
  <c r="BP28" i="1" s="1"/>
  <c r="AR28" i="1"/>
  <c r="BX28" i="1" s="1"/>
  <c r="DR28" i="1" s="1"/>
  <c r="AI3" i="1"/>
  <c r="BD4" i="1"/>
  <c r="AW5" i="1"/>
  <c r="AS6" i="1"/>
  <c r="BE7" i="1"/>
  <c r="AR18" i="1"/>
  <c r="AZ21" i="1"/>
  <c r="AJ11" i="1"/>
  <c r="BC5" i="1"/>
  <c r="BC9" i="1"/>
  <c r="AP12" i="1"/>
  <c r="AU15" i="1"/>
  <c r="AZ19" i="1"/>
  <c r="AT15" i="1"/>
  <c r="AS10" i="1"/>
  <c r="BC14" i="1"/>
  <c r="BF22" i="1"/>
  <c r="BF7" i="1"/>
  <c r="BJ16" i="1"/>
  <c r="BA10" i="1"/>
  <c r="AX12" i="1"/>
  <c r="AY14" i="1"/>
  <c r="AM17" i="1"/>
  <c r="AZ22" i="1"/>
  <c r="BD27" i="1"/>
  <c r="AZ27" i="1"/>
  <c r="AT18" i="1"/>
  <c r="BD13" i="1"/>
  <c r="AR17" i="1"/>
  <c r="AV4" i="1"/>
  <c r="BD28" i="1"/>
  <c r="CJ28" i="1" s="1"/>
  <c r="AK2" i="1"/>
  <c r="BI2" i="1"/>
  <c r="AX2" i="1"/>
  <c r="BF2" i="1"/>
  <c r="AK4" i="1"/>
  <c r="BJ10" i="1"/>
  <c r="AU18" i="1"/>
  <c r="AP23" i="1"/>
  <c r="AP2" i="1"/>
  <c r="AP15" i="1"/>
  <c r="AM19" i="1"/>
  <c r="BC18" i="1"/>
  <c r="AI26" i="1"/>
  <c r="AM14" i="1"/>
  <c r="AX26" i="1"/>
  <c r="AN13" i="1"/>
  <c r="BD12" i="1"/>
  <c r="BD11" i="1"/>
  <c r="AX21" i="1"/>
  <c r="AX23" i="1"/>
  <c r="AX25" i="1"/>
  <c r="AV12" i="1"/>
  <c r="AV11" i="1"/>
  <c r="AU16" i="1"/>
  <c r="AN11" i="1"/>
  <c r="AP4" i="1"/>
  <c r="AN18" i="1"/>
  <c r="AP10" i="1"/>
  <c r="BC13" i="1"/>
  <c r="AO10" i="1"/>
  <c r="BE10" i="1"/>
  <c r="AL11" i="1"/>
  <c r="AT11" i="1"/>
  <c r="BF12" i="1"/>
  <c r="AY15" i="1"/>
  <c r="AL27" i="1"/>
  <c r="AR11" i="1"/>
  <c r="AZ12" i="1"/>
  <c r="AR13" i="1"/>
  <c r="BJ21" i="1"/>
  <c r="BJ26" i="1"/>
  <c r="BC10" i="1"/>
  <c r="BC6" i="1"/>
  <c r="BH11" i="1"/>
  <c r="AM18" i="1"/>
  <c r="AS4" i="1"/>
  <c r="BA4" i="1"/>
  <c r="AV18" i="1"/>
  <c r="AJ21" i="1"/>
  <c r="AS3" i="1"/>
  <c r="AW3" i="1"/>
  <c r="AL5" i="1"/>
  <c r="AT5" i="1"/>
  <c r="BJ5" i="1"/>
  <c r="AP6" i="1"/>
  <c r="AX6" i="1"/>
  <c r="BF6" i="1"/>
  <c r="AL7" i="1"/>
  <c r="AT7" i="1"/>
  <c r="BJ6" i="1"/>
  <c r="AX8" i="1"/>
  <c r="AX9" i="1"/>
  <c r="BF9" i="1"/>
  <c r="AM11" i="1"/>
  <c r="AU11" i="1"/>
  <c r="AI12" i="1"/>
  <c r="AQ12" i="1"/>
  <c r="AY12" i="1"/>
  <c r="BG11" i="1"/>
  <c r="AM13" i="1"/>
  <c r="AU12" i="1"/>
  <c r="AQ13" i="1"/>
  <c r="AZ14" i="1"/>
  <c r="BH13" i="1"/>
  <c r="AN14" i="1"/>
  <c r="BD15" i="1"/>
  <c r="AJ15" i="1"/>
  <c r="AR16" i="1"/>
  <c r="AJ2" i="1"/>
  <c r="BE2" i="1"/>
  <c r="AX18" i="1"/>
  <c r="AJ5" i="1"/>
  <c r="AO2" i="1"/>
  <c r="BF4" i="1"/>
  <c r="AT14" i="1"/>
  <c r="AX15" i="1"/>
  <c r="BF15" i="1"/>
  <c r="AT16" i="1"/>
  <c r="AX17" i="1"/>
  <c r="BC24" i="1"/>
  <c r="AZ17" i="1"/>
  <c r="AW2" i="1"/>
  <c r="AS12" i="1"/>
  <c r="AT6" i="1"/>
  <c r="BA8" i="1"/>
  <c r="BF20" i="1"/>
  <c r="BF14" i="1"/>
  <c r="AS18" i="1"/>
  <c r="BA18" i="1"/>
  <c r="BI18" i="1"/>
  <c r="AO20" i="1"/>
  <c r="AK20" i="1"/>
  <c r="AS21" i="1"/>
  <c r="BA21" i="1"/>
  <c r="BI21" i="1"/>
  <c r="AW21" i="1"/>
  <c r="AS23" i="1"/>
  <c r="AW23" i="1"/>
  <c r="AK25" i="1"/>
  <c r="AS25" i="1"/>
  <c r="BA25" i="1"/>
  <c r="BI24" i="1"/>
  <c r="AW26" i="1"/>
  <c r="BE26" i="1"/>
  <c r="AK26" i="1"/>
  <c r="AS26" i="1"/>
  <c r="BA27" i="1"/>
  <c r="BI27" i="1"/>
  <c r="AO28" i="1"/>
  <c r="BU28" i="1" s="1"/>
  <c r="DH28" i="1" s="1"/>
  <c r="AW27" i="1"/>
  <c r="BE27" i="1"/>
  <c r="AS28" i="1"/>
  <c r="BY28" i="1" s="1"/>
  <c r="DN28" i="1" s="1"/>
  <c r="BI28" i="1"/>
  <c r="CO28" i="1" s="1"/>
  <c r="DI28" i="1" s="1"/>
  <c r="AW7" i="1"/>
  <c r="AS2" i="1"/>
  <c r="BA2" i="1"/>
  <c r="BE13" i="1"/>
  <c r="AK14" i="1"/>
  <c r="AS15" i="1"/>
  <c r="AW16" i="1"/>
  <c r="AS17" i="1"/>
  <c r="BA17" i="1"/>
  <c r="BI17" i="1"/>
  <c r="AO18" i="1"/>
  <c r="AW18" i="1"/>
  <c r="AL19" i="1"/>
  <c r="AP20" i="1"/>
  <c r="AL21" i="1"/>
  <c r="BB21" i="1"/>
  <c r="AL23" i="1"/>
  <c r="BB23" i="1"/>
  <c r="AT25" i="1"/>
  <c r="BJ25" i="1"/>
  <c r="AP26" i="1"/>
  <c r="BF26" i="1"/>
  <c r="BJ27" i="1"/>
  <c r="AP28" i="1"/>
  <c r="BV28" i="1" s="1"/>
  <c r="DL28" i="1" s="1"/>
  <c r="AX27" i="1"/>
  <c r="BF27" i="1"/>
  <c r="BJ28" i="1"/>
  <c r="CP28" i="1" s="1"/>
  <c r="DQ28" i="1" s="1"/>
  <c r="AQ11" i="1"/>
  <c r="AV6" i="1"/>
  <c r="BD5" i="1"/>
  <c r="AJ6" i="1"/>
  <c r="AR6" i="1"/>
  <c r="AZ6" i="1"/>
  <c r="AV8" i="1"/>
  <c r="AJ9" i="1"/>
  <c r="AR8" i="1"/>
  <c r="AZ9" i="1"/>
  <c r="AN10" i="1"/>
  <c r="BD10" i="1"/>
  <c r="AK11" i="1"/>
  <c r="BI11" i="1"/>
  <c r="AO12" i="1"/>
  <c r="AW12" i="1"/>
  <c r="AK12" i="1"/>
  <c r="BA12" i="1"/>
  <c r="BI13" i="1"/>
  <c r="AO13" i="1"/>
  <c r="AL15" i="1"/>
  <c r="AP16" i="1"/>
  <c r="AT17" i="1"/>
  <c r="BB17" i="1"/>
  <c r="BC19" i="1"/>
  <c r="AQ20" i="1"/>
  <c r="AY19" i="1"/>
  <c r="AM20" i="1"/>
  <c r="AU21" i="1"/>
  <c r="BC21" i="1"/>
  <c r="AI22" i="1"/>
  <c r="AQ22" i="1"/>
  <c r="AY22" i="1"/>
  <c r="AM22" i="1"/>
  <c r="AU22" i="1"/>
  <c r="BC23" i="1"/>
  <c r="AI23" i="1"/>
  <c r="AQ24" i="1"/>
  <c r="BG23" i="1"/>
  <c r="AU24" i="1"/>
  <c r="AQ26" i="1"/>
  <c r="AY26" i="1"/>
  <c r="BC27" i="1"/>
  <c r="AQ28" i="1"/>
  <c r="BW28" i="1" s="1"/>
  <c r="DJ28" i="1" s="1"/>
  <c r="AY27" i="1"/>
  <c r="BG28" i="1"/>
  <c r="CM28" i="1" s="1"/>
  <c r="BC17" i="1"/>
  <c r="AI18" i="1"/>
  <c r="BD2" i="1"/>
  <c r="AJ4" i="1"/>
  <c r="BH3" i="1"/>
  <c r="AW4" i="1"/>
  <c r="BE5" i="1"/>
  <c r="BA6" i="1"/>
  <c r="BI6" i="1"/>
  <c r="BE9" i="1"/>
  <c r="AT12" i="1"/>
  <c r="BF13" i="1"/>
  <c r="BH19" i="1"/>
  <c r="BH21" i="1"/>
  <c r="BH23" i="1"/>
  <c r="AZ25" i="1"/>
  <c r="BH24" i="1"/>
  <c r="BH27" i="1"/>
  <c r="BH28" i="1"/>
  <c r="CN28" i="1" s="1"/>
  <c r="DG28" i="1" s="1"/>
  <c r="BH20" i="1"/>
  <c r="BJ17" i="1"/>
  <c r="BJ19" i="1"/>
  <c r="BD6" i="1"/>
  <c r="AT10" i="1"/>
  <c r="BJ20" i="1"/>
  <c r="AP27" i="1"/>
  <c r="AV3" i="1"/>
  <c r="AZ3" i="1"/>
  <c r="BE14" i="1"/>
  <c r="BA26" i="1"/>
  <c r="AV2" i="1"/>
  <c r="AL10" i="1"/>
  <c r="AZ4" i="1"/>
  <c r="AS20" i="1"/>
  <c r="AT3" i="1"/>
  <c r="BB3" i="1"/>
  <c r="AM5" i="1"/>
  <c r="AU5" i="1"/>
  <c r="AQ5" i="1"/>
  <c r="BG5" i="1"/>
  <c r="AU7" i="1"/>
  <c r="AY8" i="1"/>
  <c r="BG7" i="1"/>
  <c r="AU9" i="1"/>
  <c r="AQ9" i="1"/>
  <c r="BJ12" i="1"/>
  <c r="BB14" i="1"/>
  <c r="AK10" i="1"/>
  <c r="AR7" i="1"/>
  <c r="AS14" i="1"/>
  <c r="AS16" i="1"/>
  <c r="BB5" i="1"/>
  <c r="BA16" i="1"/>
  <c r="AO27" i="1"/>
  <c r="AK13" i="1"/>
  <c r="AS27" i="1"/>
  <c r="BB15" i="1"/>
  <c r="BB22" i="1"/>
  <c r="BB25" i="1"/>
  <c r="BB26" i="1"/>
  <c r="BB28" i="1"/>
  <c r="AV7" i="1"/>
  <c r="BD9" i="1"/>
  <c r="BA13" i="1"/>
  <c r="BA19" i="1"/>
  <c r="AI5" i="1"/>
  <c r="BI20" i="1"/>
  <c r="AM3" i="1"/>
  <c r="AU3" i="1"/>
  <c r="BC3" i="1"/>
  <c r="AI4" i="1"/>
  <c r="AY3" i="1"/>
  <c r="BG3" i="1"/>
  <c r="BI10" i="1"/>
  <c r="BJ11" i="1"/>
  <c r="BB10" i="1"/>
  <c r="BI16" i="1"/>
  <c r="BB11" i="1"/>
  <c r="BB27" i="1"/>
  <c r="BB4" i="1"/>
  <c r="AI19" i="1"/>
  <c r="BG21" i="1"/>
  <c r="BG14" i="1"/>
  <c r="AI15" i="1"/>
  <c r="BG17" i="1"/>
  <c r="BG19" i="1"/>
  <c r="BB6" i="1"/>
  <c r="BB9" i="1"/>
  <c r="AY7" i="1"/>
  <c r="BG13" i="1"/>
  <c r="BG18" i="1"/>
  <c r="BG20" i="1"/>
  <c r="AY25" i="1"/>
  <c r="AQ19" i="1"/>
  <c r="AM23" i="1"/>
  <c r="BC26" i="1"/>
  <c r="BC15" i="1"/>
  <c r="BC22" i="1"/>
  <c r="AQ25" i="1"/>
  <c r="AI11" i="1"/>
  <c r="BG22" i="1"/>
  <c r="AU6" i="1"/>
  <c r="AU8" i="1"/>
  <c r="AM10" i="1"/>
  <c r="BG4" i="1"/>
  <c r="AY4" i="1"/>
  <c r="AU2" i="1"/>
  <c r="AL9" i="1"/>
  <c r="BJ9" i="1"/>
  <c r="BH10" i="1"/>
  <c r="BB13" i="1"/>
  <c r="AM21" i="1"/>
  <c r="BE6" i="1"/>
  <c r="AR2" i="1"/>
  <c r="AZ2" i="1"/>
  <c r="AO5" i="1"/>
  <c r="BA5" i="1"/>
  <c r="AU4" i="1"/>
  <c r="AP5" i="1"/>
  <c r="BF5" i="1"/>
  <c r="AZ7" i="1"/>
  <c r="AN8" i="1"/>
  <c r="AV15" i="1"/>
  <c r="AQ17" i="1"/>
  <c r="AY18" i="1"/>
  <c r="AP19" i="1"/>
  <c r="AX19" i="1"/>
  <c r="BF19" i="1"/>
  <c r="AO21" i="1"/>
  <c r="AN21" i="1"/>
  <c r="AI24" i="1"/>
  <c r="AR25" i="1"/>
  <c r="AL13" i="1"/>
  <c r="AL14" i="1"/>
  <c r="AS7" i="1"/>
  <c r="AO7" i="1"/>
  <c r="AN17" i="1"/>
  <c r="BD17" i="1"/>
  <c r="AZ26" i="1"/>
  <c r="AV26" i="1"/>
  <c r="BA24" i="1"/>
  <c r="AW6" i="1"/>
  <c r="AX3" i="1"/>
  <c r="AX4" i="1"/>
  <c r="BE17" i="1"/>
  <c r="AI21" i="1"/>
  <c r="AQ21" i="1"/>
  <c r="AY21" i="1"/>
  <c r="AJ22" i="1"/>
  <c r="AS24" i="1"/>
  <c r="BE12" i="1"/>
  <c r="BE11" i="1"/>
  <c r="AO6" i="1"/>
  <c r="AK5" i="1"/>
  <c r="AS5" i="1"/>
  <c r="BI5" i="1"/>
  <c r="AI6" i="1"/>
  <c r="BG6" i="1"/>
  <c r="BB8" i="1"/>
  <c r="AJ10" i="1"/>
  <c r="BF10" i="1"/>
  <c r="AO11" i="1"/>
  <c r="AT13" i="1"/>
  <c r="AO16" i="1"/>
  <c r="BE16" i="1"/>
  <c r="BD16" i="1"/>
  <c r="AW17" i="1"/>
  <c r="BC20" i="1"/>
  <c r="AW22" i="1"/>
  <c r="BE22" i="1"/>
  <c r="BB24" i="1"/>
  <c r="BC4" i="1"/>
  <c r="BG10" i="1"/>
  <c r="AZ8" i="1"/>
  <c r="BH8" i="1"/>
  <c r="AY9" i="1"/>
  <c r="AP11" i="1"/>
  <c r="BF11" i="1"/>
  <c r="AY16" i="1"/>
  <c r="AY17" i="1"/>
  <c r="AX22" i="1"/>
  <c r="AY24" i="1"/>
  <c r="AY23" i="1"/>
  <c r="AJ26" i="1"/>
  <c r="AR26" i="1"/>
  <c r="AL12" i="1"/>
  <c r="BB12" i="1"/>
  <c r="AX13" i="1"/>
  <c r="AU14" i="1"/>
  <c r="AQ14" i="1"/>
  <c r="AQ15" i="1"/>
  <c r="BH16" i="1"/>
  <c r="BH18" i="1"/>
  <c r="BB19" i="1"/>
  <c r="BB20" i="1"/>
  <c r="AZ24" i="1"/>
  <c r="AO25" i="1"/>
  <c r="AW25" i="1"/>
  <c r="BE25" i="1"/>
  <c r="AL2" i="1"/>
  <c r="BB2" i="1"/>
  <c r="AN3" i="1"/>
  <c r="BC2" i="1"/>
  <c r="AO3" i="1"/>
  <c r="BE3" i="1"/>
  <c r="AM4" i="1"/>
  <c r="AR5" i="1"/>
  <c r="AL6" i="1"/>
  <c r="AI9" i="1"/>
  <c r="AK9" i="1"/>
  <c r="AZ13" i="1"/>
  <c r="AK15" i="1"/>
  <c r="AL18" i="1"/>
  <c r="BB18" i="1"/>
  <c r="BJ18" i="1"/>
  <c r="AO19" i="1"/>
  <c r="AW19" i="1"/>
  <c r="BE18" i="1"/>
  <c r="AU23" i="1"/>
  <c r="AM27" i="1"/>
  <c r="AU27" i="1"/>
  <c r="AL28" i="1"/>
  <c r="BR28" i="1" s="1"/>
  <c r="AM28" i="1"/>
  <c r="BS28" i="1" s="1"/>
  <c r="AU28" i="1"/>
  <c r="AJ27" i="1"/>
  <c r="BC28" i="1"/>
  <c r="AW28" i="1"/>
  <c r="BE28" i="1"/>
  <c r="CK28" i="1" s="1"/>
  <c r="AQ2" i="1"/>
  <c r="AY2" i="1"/>
  <c r="BA3" i="1"/>
  <c r="BI3" i="1"/>
  <c r="AN5" i="1"/>
  <c r="AV5" i="1"/>
  <c r="AQ6" i="1"/>
  <c r="AY6" i="1"/>
  <c r="AX7" i="1"/>
  <c r="BC8" i="1"/>
  <c r="AS11" i="1"/>
  <c r="AO14" i="1"/>
  <c r="AW15" i="1"/>
  <c r="BE15" i="1"/>
  <c r="AO15" i="1"/>
  <c r="AQ16" i="1"/>
  <c r="BF16" i="1"/>
  <c r="AP18" i="1"/>
  <c r="AK19" i="1"/>
  <c r="BI19" i="1"/>
  <c r="AQ23" i="1"/>
  <c r="AU25" i="1"/>
  <c r="AQ27" i="1"/>
  <c r="BG27" i="1"/>
  <c r="BF28" i="1"/>
  <c r="CL28" i="1" s="1"/>
  <c r="AT2" i="1"/>
  <c r="BJ2" i="1"/>
  <c r="BD3" i="1"/>
  <c r="AL4" i="1"/>
  <c r="AT4" i="1"/>
  <c r="AK6" i="1"/>
  <c r="AP9" i="1"/>
  <c r="BC12" i="1"/>
  <c r="AY13" i="1"/>
  <c r="BD14" i="1"/>
  <c r="AR14" i="1"/>
  <c r="AZ15" i="1"/>
  <c r="AR15" i="1"/>
  <c r="BD18" i="1"/>
  <c r="AK22" i="1"/>
  <c r="AS22" i="1"/>
  <c r="BA22" i="1"/>
  <c r="AT23" i="1"/>
  <c r="BJ23" i="1"/>
  <c r="BA23" i="1"/>
  <c r="BI23" i="1"/>
  <c r="AP25" i="1"/>
  <c r="AT27" i="1"/>
  <c r="BA28" i="1"/>
  <c r="CG28" i="1" s="1"/>
  <c r="AN6" i="1"/>
  <c r="AN7" i="1"/>
  <c r="AW9" i="1"/>
  <c r="AW10" i="1"/>
  <c r="AJ19" i="1"/>
  <c r="AJ18" i="1"/>
  <c r="AU10" i="1"/>
  <c r="BZ30" i="1"/>
  <c r="DP30" i="1" s="1"/>
  <c r="BZ31" i="1"/>
  <c r="DP31" i="1" s="1"/>
  <c r="BP34" i="1"/>
  <c r="DT34" i="1"/>
  <c r="DS34" i="1"/>
  <c r="BH6" i="1"/>
  <c r="BH7" i="1"/>
  <c r="AM24" i="1"/>
  <c r="AM25" i="1"/>
  <c r="BH5" i="1"/>
  <c r="BH4" i="1"/>
  <c r="AN25" i="1"/>
  <c r="AN24" i="1"/>
  <c r="AV9" i="1"/>
  <c r="AV10" i="1"/>
  <c r="BY29" i="1"/>
  <c r="DN29" i="1" s="1"/>
  <c r="AV20" i="1"/>
  <c r="AV19" i="1"/>
  <c r="CM31" i="1"/>
  <c r="AP8" i="1"/>
  <c r="AP7" i="1"/>
  <c r="CM30" i="1"/>
  <c r="ER37" i="1"/>
  <c r="CZ37" i="1"/>
  <c r="DK37" i="1"/>
  <c r="AQ7" i="1"/>
  <c r="AQ8" i="1"/>
  <c r="BG16" i="1"/>
  <c r="AK24" i="1"/>
  <c r="AK23" i="1"/>
  <c r="BV33" i="1"/>
  <c r="DL33" i="1" s="1"/>
  <c r="AY5" i="1"/>
  <c r="AN16" i="1"/>
  <c r="BG26" i="1"/>
  <c r="AZ5" i="1"/>
  <c r="AN26" i="1"/>
  <c r="DC37" i="1"/>
  <c r="BI25" i="1"/>
  <c r="CC33" i="1"/>
  <c r="CC34" i="1"/>
  <c r="BH15" i="1"/>
  <c r="BH14" i="1"/>
  <c r="BS29" i="1"/>
  <c r="BI15" i="1"/>
  <c r="BI14" i="1"/>
  <c r="BF17" i="1"/>
  <c r="AX11" i="1"/>
  <c r="AX10" i="1"/>
  <c r="CO29" i="1"/>
  <c r="DI29" i="1" s="1"/>
  <c r="BP31" i="1"/>
  <c r="BP30" i="1"/>
  <c r="CJ31" i="1"/>
  <c r="CJ29" i="1"/>
  <c r="CG32" i="1"/>
  <c r="CH35" i="1"/>
  <c r="CG36" i="1"/>
  <c r="EP37" i="1"/>
  <c r="CX37" i="1"/>
  <c r="AT8" i="1"/>
  <c r="AT9" i="1"/>
  <c r="AY11" i="1"/>
  <c r="AY10" i="1"/>
  <c r="AI17" i="1"/>
  <c r="AI16" i="1"/>
  <c r="BH17" i="1"/>
  <c r="BD19" i="1"/>
  <c r="AJ25" i="1"/>
  <c r="AJ24" i="1"/>
  <c r="BD25" i="1"/>
  <c r="BD24" i="1"/>
  <c r="CP29" i="1"/>
  <c r="DQ29" i="1" s="1"/>
  <c r="CK31" i="1"/>
  <c r="CK29" i="1"/>
  <c r="AL17" i="1"/>
  <c r="AL16" i="1"/>
  <c r="BR34" i="1"/>
  <c r="BR32" i="1"/>
  <c r="AU20" i="1"/>
  <c r="BW32" i="1"/>
  <c r="BW34" i="1"/>
  <c r="BW33" i="1"/>
  <c r="DJ33" i="1" s="1"/>
  <c r="CJ30" i="1"/>
  <c r="AX14" i="1"/>
  <c r="DK31" i="1"/>
  <c r="CZ31" i="1"/>
  <c r="AZ18" i="1"/>
  <c r="AR22" i="1"/>
  <c r="CL30" i="1"/>
  <c r="BJ7" i="1"/>
  <c r="BJ8" i="1"/>
  <c r="BR33" i="1"/>
  <c r="AX5" i="1"/>
  <c r="AI8" i="1"/>
  <c r="AM16" i="1"/>
  <c r="AV17" i="1"/>
  <c r="AV16" i="1"/>
  <c r="BE23" i="1"/>
  <c r="BE24" i="1"/>
  <c r="EN29" i="1"/>
  <c r="CZ32" i="1"/>
  <c r="ER32" i="1"/>
  <c r="DK32" i="1"/>
  <c r="AM26" i="1"/>
  <c r="AO8" i="1"/>
  <c r="BH26" i="1"/>
  <c r="AO4" i="1"/>
  <c r="BI26" i="1"/>
  <c r="DT31" i="1"/>
  <c r="CH37" i="1"/>
  <c r="BJ4" i="1"/>
  <c r="BD23" i="1"/>
  <c r="BD22" i="1"/>
  <c r="CM29" i="1"/>
  <c r="AW11" i="1"/>
  <c r="AP24" i="1"/>
  <c r="DT29" i="1"/>
  <c r="DS29" i="1"/>
  <c r="AR4" i="1"/>
  <c r="AS9" i="1"/>
  <c r="AS8" i="1"/>
  <c r="BJ15" i="1"/>
  <c r="DQ37" i="1"/>
  <c r="CW37" i="1"/>
  <c r="AR9" i="1"/>
  <c r="AZ10" i="1"/>
  <c r="AZ11" i="1"/>
  <c r="AJ17" i="1"/>
  <c r="AJ16" i="1"/>
  <c r="BE19" i="1"/>
  <c r="DM29" i="1"/>
  <c r="CL29" i="1"/>
  <c r="CJ35" i="1"/>
  <c r="BG24" i="1"/>
  <c r="BG25" i="1"/>
  <c r="DK30" i="1"/>
  <c r="DM34" i="1"/>
  <c r="BX34" i="1"/>
  <c r="DR34" i="1" s="1"/>
  <c r="BX33" i="1"/>
  <c r="DR33" i="1" s="1"/>
  <c r="BX31" i="1"/>
  <c r="DR31" i="1" s="1"/>
  <c r="CO33" i="1"/>
  <c r="DI33" i="1" s="1"/>
  <c r="CO31" i="1"/>
  <c r="DI31" i="1" s="1"/>
  <c r="BI7" i="1"/>
  <c r="BI8" i="1"/>
  <c r="CP33" i="1"/>
  <c r="DQ33" i="1" s="1"/>
  <c r="CP31" i="1"/>
  <c r="DQ31" i="1" s="1"/>
  <c r="AI14" i="1"/>
  <c r="AI13" i="1"/>
  <c r="BH25" i="1"/>
  <c r="DS31" i="1"/>
  <c r="BI4" i="1"/>
  <c r="AJ14" i="1"/>
  <c r="AJ13" i="1"/>
  <c r="AO26" i="1"/>
  <c r="BF18" i="1"/>
  <c r="AO24" i="1"/>
  <c r="AQ4" i="1"/>
  <c r="BJ24" i="1"/>
  <c r="DG29" i="1"/>
  <c r="CG35" i="1"/>
  <c r="BA11" i="1"/>
  <c r="BC11" i="1"/>
  <c r="AP14" i="1"/>
  <c r="BJ14" i="1"/>
  <c r="BJ13" i="1"/>
  <c r="AN15" i="1"/>
  <c r="AK17" i="1"/>
  <c r="AK16" i="1"/>
  <c r="AT21" i="1"/>
  <c r="AO23" i="1"/>
  <c r="AL24" i="1"/>
  <c r="AL25" i="1"/>
  <c r="BF24" i="1"/>
  <c r="BF25" i="1"/>
  <c r="BP29" i="1"/>
  <c r="DG35" i="1"/>
  <c r="BA15" i="1"/>
  <c r="BD8" i="1"/>
  <c r="AM9" i="1"/>
  <c r="BD7" i="1"/>
  <c r="BE8" i="1"/>
  <c r="BW30" i="1"/>
  <c r="DJ30" i="1" s="1"/>
  <c r="AJ3" i="1"/>
  <c r="AL8" i="1"/>
  <c r="BF8" i="1"/>
  <c r="AO9" i="1"/>
  <c r="BI9" i="1"/>
  <c r="AW14" i="1"/>
  <c r="AV24" i="1"/>
  <c r="AX28" i="1"/>
  <c r="BX30" i="1"/>
  <c r="DR30" i="1" s="1"/>
  <c r="CG31" i="1"/>
  <c r="BP33" i="1"/>
  <c r="BP32" i="1"/>
  <c r="CJ32" i="1"/>
  <c r="CJ33" i="1"/>
  <c r="CF33" i="1"/>
  <c r="BO36" i="1"/>
  <c r="BO35" i="1"/>
  <c r="EO35" i="1" s="1"/>
  <c r="BB7" i="1"/>
  <c r="BU30" i="1"/>
  <c r="DH30" i="1" s="1"/>
  <c r="CO30" i="1"/>
  <c r="DI30" i="1" s="1"/>
  <c r="CD30" i="1"/>
  <c r="BS31" i="1"/>
  <c r="CM32" i="1"/>
  <c r="BC7" i="1"/>
  <c r="CP30" i="1"/>
  <c r="DQ30" i="1" s="1"/>
  <c r="AJ7" i="1"/>
  <c r="BH9" i="1"/>
  <c r="AV14" i="1"/>
  <c r="AW24" i="1"/>
  <c r="BO32" i="1"/>
  <c r="BO33" i="1"/>
  <c r="AK3" i="1"/>
  <c r="AM8" i="1"/>
  <c r="BG8" i="1"/>
  <c r="AQ10" i="1"/>
  <c r="AR19" i="1"/>
  <c r="AR20" i="1"/>
  <c r="AY28" i="1"/>
  <c r="CH31" i="1"/>
  <c r="BS32" i="1"/>
  <c r="BQ33" i="1"/>
  <c r="BQ32" i="1"/>
  <c r="CE33" i="1"/>
  <c r="BA7" i="1"/>
  <c r="CC30" i="1"/>
  <c r="AI7" i="1"/>
  <c r="AJ8" i="1"/>
  <c r="BG9" i="1"/>
  <c r="BV30" i="1"/>
  <c r="DL30" i="1" s="1"/>
  <c r="CH32" i="1"/>
  <c r="AK8" i="1"/>
  <c r="AN9" i="1"/>
  <c r="DM30" i="1"/>
  <c r="AL3" i="1"/>
  <c r="BF3" i="1"/>
  <c r="AN4" i="1"/>
  <c r="AM7" i="1"/>
  <c r="AM6" i="1"/>
  <c r="AR10" i="1"/>
  <c r="AX24" i="1"/>
  <c r="AZ28" i="1"/>
  <c r="BZ29" i="1"/>
  <c r="DP29" i="1" s="1"/>
  <c r="BO31" i="1"/>
  <c r="CI31" i="1"/>
  <c r="DO31" i="1" s="1"/>
  <c r="CI29" i="1"/>
  <c r="DO29" i="1" s="1"/>
  <c r="BR29" i="1"/>
  <c r="BR31" i="1"/>
  <c r="BR30" i="1"/>
  <c r="CN32" i="1"/>
  <c r="CN31" i="1"/>
  <c r="AM2" i="1"/>
  <c r="AP3" i="1"/>
  <c r="CG34" i="1"/>
  <c r="BH2" i="1"/>
  <c r="AN12" i="1"/>
  <c r="BC16" i="1"/>
  <c r="BY33" i="1"/>
  <c r="DN33" i="1" s="1"/>
  <c r="CH34" i="1"/>
  <c r="CY35" i="1"/>
  <c r="BY36" i="1"/>
  <c r="DN36" i="1" s="1"/>
  <c r="BI12" i="1"/>
  <c r="AU13" i="1"/>
  <c r="AY20" i="1"/>
  <c r="AI28" i="1"/>
  <c r="BO28" i="1" s="1"/>
  <c r="AI27" i="1"/>
  <c r="CH29" i="1"/>
  <c r="BQ30" i="1"/>
  <c r="CA34" i="1"/>
  <c r="CA33" i="1"/>
  <c r="DT37" i="1"/>
  <c r="DS37" i="1"/>
  <c r="EU37" i="1"/>
  <c r="BG2" i="1"/>
  <c r="BG12" i="1"/>
  <c r="AW20" i="1"/>
  <c r="CL35" i="1"/>
  <c r="BX36" i="1"/>
  <c r="CV36" i="1" s="1"/>
  <c r="BH12" i="1"/>
  <c r="AV13" i="1"/>
  <c r="AZ20" i="1"/>
  <c r="AO22" i="1"/>
  <c r="BI22" i="1"/>
  <c r="AV23" i="1"/>
  <c r="AV27" i="1"/>
  <c r="BX32" i="1"/>
  <c r="DR32" i="1" s="1"/>
  <c r="BZ36" i="1"/>
  <c r="DP36" i="1" s="1"/>
  <c r="CB36" i="1"/>
  <c r="CB33" i="1"/>
  <c r="CL31" i="1"/>
  <c r="CF34" i="1"/>
  <c r="BQ35" i="1"/>
  <c r="CK35" i="1"/>
  <c r="BJ3" i="1"/>
  <c r="AM12" i="1"/>
  <c r="BB16" i="1"/>
  <c r="BS30" i="1"/>
  <c r="BR35" i="1"/>
  <c r="AN2" i="1"/>
  <c r="AQ3" i="1"/>
  <c r="AX20" i="1"/>
  <c r="AW13" i="1"/>
  <c r="BA20" i="1"/>
  <c r="AP22" i="1"/>
  <c r="BJ22" i="1"/>
  <c r="AK28" i="1"/>
  <c r="BQ28" i="1" s="1"/>
  <c r="AK27" i="1"/>
  <c r="CD33" i="1"/>
  <c r="CG33" i="1"/>
  <c r="BQ34" i="1"/>
  <c r="CA36" i="1"/>
  <c r="ES37" i="1"/>
  <c r="CE29" i="1"/>
  <c r="AP17" i="1"/>
  <c r="CF29" i="1"/>
  <c r="BA14" i="1"/>
  <c r="AK21" i="1"/>
  <c r="BE21" i="1"/>
  <c r="AZ23" i="1"/>
  <c r="AR27" i="1"/>
  <c r="CG29" i="1"/>
  <c r="CK32" i="1"/>
  <c r="BY35" i="1"/>
  <c r="DN35" i="1" s="1"/>
  <c r="BY34" i="1"/>
  <c r="DN34" i="1" s="1"/>
  <c r="CP34" i="1"/>
  <c r="DQ34" i="1" s="1"/>
  <c r="CP35" i="1"/>
  <c r="DQ35" i="1" s="1"/>
  <c r="AO17" i="1"/>
  <c r="AM15" i="1"/>
  <c r="BG15" i="1"/>
  <c r="AQ18" i="1"/>
  <c r="AJ20" i="1"/>
  <c r="CL32" i="1"/>
  <c r="AI20" i="1"/>
  <c r="CH30" i="1"/>
  <c r="CL33" i="1"/>
  <c r="EP33" i="1" s="1"/>
  <c r="BS35" i="1"/>
  <c r="EQ37" i="1"/>
  <c r="CY37" i="1"/>
  <c r="AU19" i="1"/>
  <c r="BD20" i="1"/>
  <c r="AT26" i="1"/>
  <c r="CA29" i="1"/>
  <c r="CI30" i="1"/>
  <c r="DO30" i="1" s="1"/>
  <c r="BS33" i="1"/>
  <c r="CM33" i="1"/>
  <c r="BT35" i="1"/>
  <c r="CN34" i="1"/>
  <c r="AK18" i="1"/>
  <c r="BE20" i="1"/>
  <c r="AT24" i="1"/>
  <c r="AI25" i="1"/>
  <c r="BC25" i="1"/>
  <c r="AU26" i="1"/>
  <c r="CB29" i="1"/>
  <c r="BT33" i="1"/>
  <c r="CN33" i="1"/>
  <c r="CO34" i="1"/>
  <c r="DI34" i="1" s="1"/>
  <c r="CO35" i="1"/>
  <c r="EO37" i="1"/>
  <c r="AX16" i="1"/>
  <c r="BZ35" i="1"/>
  <c r="DP35" i="1" s="1"/>
  <c r="AS19" i="1"/>
  <c r="CA35" i="1"/>
  <c r="AZ16" i="1"/>
  <c r="AT19" i="1"/>
  <c r="AN22" i="1"/>
  <c r="BH22" i="1"/>
  <c r="BT30" i="1"/>
  <c r="CN30" i="1"/>
  <c r="BO2" i="3" l="1"/>
  <c r="BV27" i="3"/>
  <c r="DL27" i="3" s="1"/>
  <c r="CP23" i="3"/>
  <c r="CO27" i="2"/>
  <c r="DI27" i="2" s="1"/>
  <c r="BV27" i="2"/>
  <c r="DL27" i="2" s="1"/>
  <c r="CJ27" i="2"/>
  <c r="CL27" i="2"/>
  <c r="BO27" i="2"/>
  <c r="CF27" i="3"/>
  <c r="CD25" i="3"/>
  <c r="CN27" i="3"/>
  <c r="DG27" i="3" s="1"/>
  <c r="BV23" i="2"/>
  <c r="DL23" i="2" s="1"/>
  <c r="BR22" i="3"/>
  <c r="BQ26" i="2"/>
  <c r="BY27" i="2"/>
  <c r="DN27" i="2" s="1"/>
  <c r="CZ35" i="3"/>
  <c r="CW33" i="3"/>
  <c r="ET29" i="3"/>
  <c r="CB27" i="3"/>
  <c r="CV35" i="3"/>
  <c r="EU29" i="3"/>
  <c r="BX27" i="3"/>
  <c r="CH25" i="3"/>
  <c r="EQ29" i="3"/>
  <c r="DK33" i="3"/>
  <c r="EN29" i="3"/>
  <c r="CD26" i="3"/>
  <c r="DB35" i="3"/>
  <c r="DT35" i="3"/>
  <c r="DA31" i="3"/>
  <c r="CV29" i="3"/>
  <c r="DB34" i="3"/>
  <c r="CZ31" i="3"/>
  <c r="DI31" i="3"/>
  <c r="DI34" i="3"/>
  <c r="DC33" i="3"/>
  <c r="EP32" i="3"/>
  <c r="EU33" i="3"/>
  <c r="DQ28" i="3"/>
  <c r="EP33" i="3"/>
  <c r="ER31" i="3"/>
  <c r="DI32" i="3"/>
  <c r="CX36" i="3"/>
  <c r="EP35" i="3"/>
  <c r="CZ30" i="3"/>
  <c r="CW29" i="3"/>
  <c r="DQ29" i="3"/>
  <c r="ET33" i="3"/>
  <c r="CZ33" i="3"/>
  <c r="CY29" i="3"/>
  <c r="EQ31" i="3"/>
  <c r="DQ30" i="3"/>
  <c r="DB29" i="3"/>
  <c r="DQ31" i="3"/>
  <c r="DI36" i="3"/>
  <c r="ES29" i="3"/>
  <c r="CY31" i="3"/>
  <c r="DC29" i="3"/>
  <c r="DQ23" i="3"/>
  <c r="DQ32" i="3"/>
  <c r="EO37" i="3"/>
  <c r="DA29" i="3"/>
  <c r="ER36" i="3"/>
  <c r="EP34" i="3"/>
  <c r="EO29" i="3"/>
  <c r="DI30" i="3"/>
  <c r="DI35" i="3"/>
  <c r="CX34" i="3"/>
  <c r="DA32" i="3"/>
  <c r="DB33" i="3"/>
  <c r="EO30" i="3"/>
  <c r="CG24" i="3"/>
  <c r="CH24" i="3"/>
  <c r="DI29" i="3"/>
  <c r="CH27" i="3"/>
  <c r="CC26" i="2"/>
  <c r="CH26" i="3"/>
  <c r="CP22" i="3"/>
  <c r="CP24" i="3"/>
  <c r="BU26" i="2"/>
  <c r="DH26" i="2" s="1"/>
  <c r="CP27" i="3"/>
  <c r="CL26" i="3"/>
  <c r="BP26" i="2"/>
  <c r="CN27" i="2"/>
  <c r="DG27" i="2" s="1"/>
  <c r="BR20" i="3"/>
  <c r="CD27" i="3"/>
  <c r="BU27" i="2"/>
  <c r="DH27" i="2" s="1"/>
  <c r="BU26" i="3"/>
  <c r="DH26" i="3" s="1"/>
  <c r="CE26" i="3"/>
  <c r="BU24" i="3"/>
  <c r="DH24" i="3" s="1"/>
  <c r="CD17" i="3"/>
  <c r="CH18" i="3"/>
  <c r="BZ27" i="3"/>
  <c r="DP27" i="3" s="1"/>
  <c r="BZ19" i="3"/>
  <c r="DP19" i="3" s="1"/>
  <c r="CP25" i="3"/>
  <c r="CP20" i="3"/>
  <c r="CP26" i="3"/>
  <c r="CL27" i="3"/>
  <c r="BR5" i="3"/>
  <c r="BZ26" i="3"/>
  <c r="DP26" i="3" s="1"/>
  <c r="BZ18" i="3"/>
  <c r="DP18" i="3" s="1"/>
  <c r="BZ22" i="3"/>
  <c r="DP22" i="3" s="1"/>
  <c r="CP19" i="3"/>
  <c r="CP21" i="3"/>
  <c r="CP8" i="3"/>
  <c r="CP18" i="3"/>
  <c r="BY25" i="3"/>
  <c r="DN25" i="3" s="1"/>
  <c r="CD19" i="3"/>
  <c r="CD21" i="3"/>
  <c r="BS25" i="3"/>
  <c r="BS27" i="3"/>
  <c r="CJ27" i="3"/>
  <c r="CD18" i="3"/>
  <c r="CJ23" i="3"/>
  <c r="BU6" i="3"/>
  <c r="DH6" i="3" s="1"/>
  <c r="CL22" i="3"/>
  <c r="CH21" i="3"/>
  <c r="CL25" i="3"/>
  <c r="BS25" i="2"/>
  <c r="CA16" i="3"/>
  <c r="DK16" i="3" s="1"/>
  <c r="CI27" i="3"/>
  <c r="DO27" i="3" s="1"/>
  <c r="CA24" i="3"/>
  <c r="DK24" i="3" s="1"/>
  <c r="CE27" i="2"/>
  <c r="CI26" i="3"/>
  <c r="DO26" i="3" s="1"/>
  <c r="CA27" i="3"/>
  <c r="DK27" i="3" s="1"/>
  <c r="BR21" i="3"/>
  <c r="CN24" i="2"/>
  <c r="DG24" i="2" s="1"/>
  <c r="BR27" i="3"/>
  <c r="BR6" i="2"/>
  <c r="BR25" i="3"/>
  <c r="BV21" i="2"/>
  <c r="DL21" i="2" s="1"/>
  <c r="CC25" i="2"/>
  <c r="BT25" i="3"/>
  <c r="DS25" i="3" s="1"/>
  <c r="BY24" i="3"/>
  <c r="DN24" i="3" s="1"/>
  <c r="BT24" i="3"/>
  <c r="DT24" i="3" s="1"/>
  <c r="BV15" i="3"/>
  <c r="DL15" i="3" s="1"/>
  <c r="BV25" i="3"/>
  <c r="DL25" i="3" s="1"/>
  <c r="DT28" i="3"/>
  <c r="BT27" i="3"/>
  <c r="DS27" i="3" s="1"/>
  <c r="BV22" i="3"/>
  <c r="DL22" i="3" s="1"/>
  <c r="CC27" i="2"/>
  <c r="BV17" i="3"/>
  <c r="DL17" i="3" s="1"/>
  <c r="BT26" i="2"/>
  <c r="DT26" i="2" s="1"/>
  <c r="BT25" i="2"/>
  <c r="DS25" i="2" s="1"/>
  <c r="BV19" i="3"/>
  <c r="DL19" i="3" s="1"/>
  <c r="BZ11" i="3"/>
  <c r="DP11" i="3" s="1"/>
  <c r="CH20" i="3"/>
  <c r="CD20" i="3"/>
  <c r="CD16" i="3"/>
  <c r="BZ20" i="3"/>
  <c r="DP20" i="3" s="1"/>
  <c r="CH23" i="3"/>
  <c r="CD23" i="3"/>
  <c r="BV16" i="3"/>
  <c r="DL16" i="3" s="1"/>
  <c r="BV24" i="3"/>
  <c r="DL24" i="3" s="1"/>
  <c r="BV26" i="3"/>
  <c r="DL26" i="3" s="1"/>
  <c r="BV20" i="3"/>
  <c r="DL20" i="3" s="1"/>
  <c r="BZ24" i="3"/>
  <c r="DP24" i="3" s="1"/>
  <c r="CH22" i="3"/>
  <c r="CD24" i="3"/>
  <c r="CD22" i="3"/>
  <c r="BU15" i="3"/>
  <c r="DH15" i="3" s="1"/>
  <c r="BV18" i="3"/>
  <c r="DL18" i="3" s="1"/>
  <c r="BV23" i="3"/>
  <c r="DL23" i="3" s="1"/>
  <c r="BV14" i="3"/>
  <c r="DL14" i="3" s="1"/>
  <c r="BV21" i="3"/>
  <c r="DL21" i="3" s="1"/>
  <c r="CH19" i="3"/>
  <c r="BR23" i="3"/>
  <c r="BW26" i="3"/>
  <c r="DJ26" i="3" s="1"/>
  <c r="BR17" i="3"/>
  <c r="BR19" i="3"/>
  <c r="BR24" i="3"/>
  <c r="BR18" i="3"/>
  <c r="BR26" i="3"/>
  <c r="CJ24" i="3"/>
  <c r="DS28" i="2"/>
  <c r="CK27" i="2"/>
  <c r="CK23" i="2"/>
  <c r="BU27" i="3"/>
  <c r="DH27" i="3" s="1"/>
  <c r="CE26" i="2"/>
  <c r="CA27" i="2"/>
  <c r="DK27" i="2" s="1"/>
  <c r="BW26" i="2"/>
  <c r="DJ26" i="2" s="1"/>
  <c r="CD4" i="2"/>
  <c r="CD25" i="2"/>
  <c r="CB23" i="3"/>
  <c r="BP3" i="2"/>
  <c r="BP24" i="2"/>
  <c r="BZ12" i="2"/>
  <c r="DP12" i="2" s="1"/>
  <c r="CO26" i="2"/>
  <c r="DI26" i="2" s="1"/>
  <c r="CN26" i="2"/>
  <c r="DG26" i="2" s="1"/>
  <c r="CK4" i="2"/>
  <c r="CO4" i="2"/>
  <c r="DI4" i="2" s="1"/>
  <c r="CG2" i="2"/>
  <c r="CB17" i="2"/>
  <c r="BQ4" i="2"/>
  <c r="BZ23" i="3"/>
  <c r="DP23" i="3" s="1"/>
  <c r="BS23" i="3"/>
  <c r="BZ25" i="3"/>
  <c r="DP25" i="3" s="1"/>
  <c r="BZ21" i="3"/>
  <c r="DP21" i="3" s="1"/>
  <c r="BP7" i="2"/>
  <c r="BS21" i="3"/>
  <c r="CI24" i="2"/>
  <c r="DO24" i="2" s="1"/>
  <c r="CB26" i="3"/>
  <c r="BV13" i="3"/>
  <c r="DL13" i="3" s="1"/>
  <c r="CA20" i="2"/>
  <c r="CK21" i="2"/>
  <c r="CA23" i="3"/>
  <c r="DK23" i="3" s="1"/>
  <c r="CB24" i="3"/>
  <c r="BU20" i="3"/>
  <c r="DH20" i="3" s="1"/>
  <c r="BW22" i="3"/>
  <c r="DJ22" i="3" s="1"/>
  <c r="BQ24" i="3"/>
  <c r="CD15" i="3"/>
  <c r="BT23" i="3"/>
  <c r="CB25" i="3"/>
  <c r="BW25" i="3"/>
  <c r="DJ25" i="3" s="1"/>
  <c r="BZ25" i="2"/>
  <c r="DP25" i="2" s="1"/>
  <c r="BS20" i="2"/>
  <c r="CF23" i="2"/>
  <c r="BU23" i="3"/>
  <c r="DH23" i="3" s="1"/>
  <c r="CN16" i="3"/>
  <c r="DG16" i="3" s="1"/>
  <c r="BO24" i="3"/>
  <c r="DM24" i="3" s="1"/>
  <c r="CG26" i="3"/>
  <c r="CF17" i="2"/>
  <c r="CD14" i="3"/>
  <c r="CC16" i="2"/>
  <c r="BT12" i="3"/>
  <c r="DT12" i="3" s="1"/>
  <c r="CG26" i="2"/>
  <c r="CC4" i="2"/>
  <c r="CA26" i="2"/>
  <c r="DK26" i="2" s="1"/>
  <c r="BX27" i="2"/>
  <c r="DR27" i="2" s="1"/>
  <c r="BU21" i="3"/>
  <c r="DH21" i="3" s="1"/>
  <c r="BU19" i="3"/>
  <c r="DH19" i="3" s="1"/>
  <c r="BY26" i="3"/>
  <c r="DN26" i="3" s="1"/>
  <c r="BU22" i="3"/>
  <c r="DH22" i="3" s="1"/>
  <c r="CF5" i="2"/>
  <c r="BU25" i="3"/>
  <c r="DH25" i="3" s="1"/>
  <c r="BS26" i="3"/>
  <c r="CE12" i="2"/>
  <c r="BX2" i="2"/>
  <c r="DR2" i="2" s="1"/>
  <c r="BP25" i="2"/>
  <c r="CI26" i="2"/>
  <c r="DO26" i="2" s="1"/>
  <c r="CF16" i="3"/>
  <c r="BU14" i="3"/>
  <c r="DH14" i="3" s="1"/>
  <c r="CE7" i="2"/>
  <c r="CA23" i="2"/>
  <c r="DK23" i="2" s="1"/>
  <c r="BU18" i="3"/>
  <c r="DH18" i="3" s="1"/>
  <c r="CJ25" i="3"/>
  <c r="CG25" i="3"/>
  <c r="DA28" i="2"/>
  <c r="BP27" i="2"/>
  <c r="CN23" i="2"/>
  <c r="DG23" i="2" s="1"/>
  <c r="BW27" i="2"/>
  <c r="DJ27" i="2" s="1"/>
  <c r="BW2" i="2"/>
  <c r="CB27" i="2"/>
  <c r="BO24" i="2"/>
  <c r="DM24" i="2" s="1"/>
  <c r="CF24" i="2"/>
  <c r="BT26" i="3"/>
  <c r="DS26" i="3" s="1"/>
  <c r="CD13" i="3"/>
  <c r="CJ26" i="3"/>
  <c r="CN25" i="2"/>
  <c r="DG25" i="2" s="1"/>
  <c r="BX19" i="2"/>
  <c r="DR19" i="2" s="1"/>
  <c r="CJ3" i="2"/>
  <c r="CF25" i="2"/>
  <c r="CF27" i="2"/>
  <c r="CM27" i="2"/>
  <c r="BP17" i="3"/>
  <c r="CO27" i="3"/>
  <c r="BT20" i="2"/>
  <c r="DS20" i="2" s="1"/>
  <c r="BP27" i="3"/>
  <c r="CC27" i="3"/>
  <c r="BT27" i="2"/>
  <c r="CK2" i="3"/>
  <c r="BS9" i="3"/>
  <c r="CK13" i="3"/>
  <c r="BT16" i="3"/>
  <c r="DS16" i="3" s="1"/>
  <c r="BQ5" i="3"/>
  <c r="CP6" i="3"/>
  <c r="BO21" i="3"/>
  <c r="DM21" i="3" s="1"/>
  <c r="BR14" i="3"/>
  <c r="BU16" i="3"/>
  <c r="DH16" i="3" s="1"/>
  <c r="CN5" i="3"/>
  <c r="CN23" i="3"/>
  <c r="DG23" i="3" s="1"/>
  <c r="CK5" i="3"/>
  <c r="CK23" i="3"/>
  <c r="BS14" i="3"/>
  <c r="BS11" i="3"/>
  <c r="CK7" i="3"/>
  <c r="CK8" i="3"/>
  <c r="CA19" i="3"/>
  <c r="DK19" i="3" s="1"/>
  <c r="CF19" i="3"/>
  <c r="BQ3" i="3"/>
  <c r="CL17" i="3"/>
  <c r="BV8" i="3"/>
  <c r="DL8" i="3" s="1"/>
  <c r="BU7" i="3"/>
  <c r="DH7" i="3" s="1"/>
  <c r="BQ17" i="3"/>
  <c r="CA25" i="3"/>
  <c r="DK25" i="3" s="1"/>
  <c r="CK18" i="3"/>
  <c r="CA17" i="3"/>
  <c r="DK17" i="3" s="1"/>
  <c r="CA14" i="3"/>
  <c r="DK14" i="3" s="1"/>
  <c r="CM25" i="3"/>
  <c r="CK15" i="3"/>
  <c r="CN22" i="3"/>
  <c r="CM23" i="3"/>
  <c r="CK25" i="3"/>
  <c r="CK9" i="3"/>
  <c r="CK22" i="3"/>
  <c r="CK6" i="3"/>
  <c r="CN4" i="3"/>
  <c r="CN9" i="3"/>
  <c r="CK20" i="3"/>
  <c r="BT6" i="2"/>
  <c r="DT6" i="2" s="1"/>
  <c r="CK27" i="3"/>
  <c r="CN19" i="3"/>
  <c r="CO3" i="3"/>
  <c r="CK17" i="3"/>
  <c r="CK10" i="3"/>
  <c r="CK3" i="3"/>
  <c r="CK26" i="3"/>
  <c r="CO20" i="3"/>
  <c r="CO26" i="3"/>
  <c r="CK12" i="3"/>
  <c r="CK24" i="3"/>
  <c r="CN24" i="3"/>
  <c r="BO23" i="3"/>
  <c r="DM23" i="3" s="1"/>
  <c r="CK11" i="3"/>
  <c r="CK14" i="3"/>
  <c r="CM20" i="3"/>
  <c r="CM15" i="3"/>
  <c r="BS22" i="3"/>
  <c r="BW4" i="3"/>
  <c r="DJ4" i="3" s="1"/>
  <c r="BW20" i="3"/>
  <c r="DJ20" i="3" s="1"/>
  <c r="BW15" i="3"/>
  <c r="DJ15" i="3" s="1"/>
  <c r="CC18" i="3"/>
  <c r="CC22" i="3"/>
  <c r="CF23" i="3"/>
  <c r="CC19" i="3"/>
  <c r="CF5" i="3"/>
  <c r="CE3" i="3"/>
  <c r="CE25" i="3"/>
  <c r="CG15" i="3"/>
  <c r="CF20" i="3"/>
  <c r="CG23" i="3"/>
  <c r="CE12" i="3"/>
  <c r="CC9" i="3"/>
  <c r="CE6" i="3"/>
  <c r="CF10" i="3"/>
  <c r="CM24" i="3"/>
  <c r="DT25" i="3"/>
  <c r="CO8" i="3"/>
  <c r="BO20" i="2"/>
  <c r="DM20" i="2" s="1"/>
  <c r="CL19" i="3"/>
  <c r="CL3" i="3"/>
  <c r="CO28" i="3"/>
  <c r="CL11" i="3"/>
  <c r="CN25" i="3"/>
  <c r="BR9" i="1"/>
  <c r="CM22" i="3"/>
  <c r="CA26" i="3"/>
  <c r="DK26" i="3" s="1"/>
  <c r="BQ26" i="3"/>
  <c r="CC26" i="3"/>
  <c r="BY11" i="3"/>
  <c r="DN11" i="3" s="1"/>
  <c r="CO19" i="3"/>
  <c r="CL18" i="3"/>
  <c r="CE21" i="3"/>
  <c r="CC3" i="3"/>
  <c r="CA6" i="3"/>
  <c r="DK6" i="3" s="1"/>
  <c r="BR4" i="3"/>
  <c r="BR7" i="3"/>
  <c r="BR2" i="3"/>
  <c r="CA21" i="3"/>
  <c r="DK21" i="3" s="1"/>
  <c r="CA18" i="3"/>
  <c r="DK18" i="3" s="1"/>
  <c r="CJ16" i="3"/>
  <c r="CA10" i="3"/>
  <c r="DK10" i="3" s="1"/>
  <c r="BQ27" i="3"/>
  <c r="CM14" i="3"/>
  <c r="BU12" i="3"/>
  <c r="DH12" i="3" s="1"/>
  <c r="CJ8" i="3"/>
  <c r="CM5" i="3"/>
  <c r="CC12" i="3"/>
  <c r="CA8" i="3"/>
  <c r="DK8" i="3" s="1"/>
  <c r="BU10" i="3"/>
  <c r="DH10" i="3" s="1"/>
  <c r="CC13" i="3"/>
  <c r="CD11" i="3"/>
  <c r="CL2" i="3"/>
  <c r="CC17" i="3"/>
  <c r="CK21" i="3"/>
  <c r="CC24" i="3"/>
  <c r="CC21" i="3"/>
  <c r="BQ25" i="3"/>
  <c r="CC23" i="3"/>
  <c r="CO17" i="3"/>
  <c r="BW21" i="3"/>
  <c r="DJ21" i="3" s="1"/>
  <c r="CA13" i="3"/>
  <c r="DK13" i="3" s="1"/>
  <c r="CE9" i="3"/>
  <c r="CC11" i="3"/>
  <c r="BV12" i="3"/>
  <c r="DL12" i="3" s="1"/>
  <c r="CP5" i="3"/>
  <c r="BV2" i="3"/>
  <c r="DL2" i="3" s="1"/>
  <c r="CC15" i="3"/>
  <c r="CM7" i="3"/>
  <c r="BV5" i="3"/>
  <c r="DL5" i="3" s="1"/>
  <c r="CO25" i="3"/>
  <c r="CA12" i="3"/>
  <c r="DK12" i="3" s="1"/>
  <c r="CA15" i="3"/>
  <c r="DK15" i="3" s="1"/>
  <c r="CI7" i="3"/>
  <c r="DO7" i="3" s="1"/>
  <c r="CC25" i="3"/>
  <c r="CG14" i="3"/>
  <c r="BW14" i="3"/>
  <c r="DJ14" i="3" s="1"/>
  <c r="BU11" i="3"/>
  <c r="DH11" i="3" s="1"/>
  <c r="CC10" i="3"/>
  <c r="CN7" i="3"/>
  <c r="CC4" i="3"/>
  <c r="CK19" i="3"/>
  <c r="CA11" i="3"/>
  <c r="DK11" i="3" s="1"/>
  <c r="CO24" i="3"/>
  <c r="BU5" i="3"/>
  <c r="DH5" i="3" s="1"/>
  <c r="EP28" i="3"/>
  <c r="BW23" i="3"/>
  <c r="DJ23" i="3" s="1"/>
  <c r="CE24" i="3"/>
  <c r="CO22" i="3"/>
  <c r="CA20" i="3"/>
  <c r="CE20" i="3"/>
  <c r="BO14" i="3"/>
  <c r="DM14" i="3" s="1"/>
  <c r="BU13" i="3"/>
  <c r="DH13" i="3" s="1"/>
  <c r="CG21" i="3"/>
  <c r="CC8" i="3"/>
  <c r="CC16" i="3"/>
  <c r="CK4" i="3"/>
  <c r="BU17" i="3"/>
  <c r="DH17" i="3" s="1"/>
  <c r="BW24" i="3"/>
  <c r="DJ24" i="3" s="1"/>
  <c r="CA22" i="3"/>
  <c r="DK22" i="3" s="1"/>
  <c r="CC20" i="3"/>
  <c r="CG16" i="3"/>
  <c r="CO16" i="3"/>
  <c r="CE13" i="3"/>
  <c r="BT3" i="3"/>
  <c r="CG2" i="3"/>
  <c r="BV6" i="3"/>
  <c r="DL6" i="3" s="1"/>
  <c r="CA2" i="3"/>
  <c r="DK2" i="3" s="1"/>
  <c r="CA4" i="3"/>
  <c r="DK4" i="3" s="1"/>
  <c r="BS24" i="3"/>
  <c r="CK16" i="3"/>
  <c r="CL24" i="3"/>
  <c r="CN26" i="3"/>
  <c r="BQ22" i="3"/>
  <c r="BO16" i="3"/>
  <c r="DM16" i="3" s="1"/>
  <c r="CD12" i="3"/>
  <c r="BW16" i="3"/>
  <c r="DJ16" i="3" s="1"/>
  <c r="BV10" i="3"/>
  <c r="DL10" i="3" s="1"/>
  <c r="CL23" i="3"/>
  <c r="CM26" i="3"/>
  <c r="BX2" i="3"/>
  <c r="DR2" i="3" s="1"/>
  <c r="BO26" i="3"/>
  <c r="DM26" i="3" s="1"/>
  <c r="CA9" i="3"/>
  <c r="DK9" i="3" s="1"/>
  <c r="BS8" i="3"/>
  <c r="BS5" i="3"/>
  <c r="BS7" i="3"/>
  <c r="BS4" i="3"/>
  <c r="BS2" i="3"/>
  <c r="BT13" i="3"/>
  <c r="CI6" i="3"/>
  <c r="DO6" i="3" s="1"/>
  <c r="CI4" i="3"/>
  <c r="DO4" i="3" s="1"/>
  <c r="CI2" i="3"/>
  <c r="DO2" i="3" s="1"/>
  <c r="CI3" i="3"/>
  <c r="DO3" i="3" s="1"/>
  <c r="CI5" i="3"/>
  <c r="DO5" i="3" s="1"/>
  <c r="CH17" i="3"/>
  <c r="CH16" i="3"/>
  <c r="CH2" i="3"/>
  <c r="CH14" i="3"/>
  <c r="CH15" i="3"/>
  <c r="CH12" i="3"/>
  <c r="CH13" i="3"/>
  <c r="CH8" i="3"/>
  <c r="CH7" i="3"/>
  <c r="CH11" i="3"/>
  <c r="DG4" i="3"/>
  <c r="BY5" i="3"/>
  <c r="DN5" i="3" s="1"/>
  <c r="BY3" i="3"/>
  <c r="DN3" i="3" s="1"/>
  <c r="BY4" i="3"/>
  <c r="DN4" i="3" s="1"/>
  <c r="BY2" i="3"/>
  <c r="DN2" i="3" s="1"/>
  <c r="CY30" i="3"/>
  <c r="EQ30" i="3"/>
  <c r="DC30" i="3"/>
  <c r="EU30" i="3"/>
  <c r="DS24" i="3"/>
  <c r="DJ34" i="3"/>
  <c r="CV34" i="3"/>
  <c r="BT15" i="3"/>
  <c r="BX10" i="3"/>
  <c r="DR10" i="3" s="1"/>
  <c r="CW35" i="3"/>
  <c r="DG35" i="3"/>
  <c r="EO35" i="3"/>
  <c r="ER35" i="3"/>
  <c r="CV30" i="3"/>
  <c r="BX24" i="3"/>
  <c r="ER30" i="3"/>
  <c r="BQ23" i="3"/>
  <c r="BQ21" i="3"/>
  <c r="BQ16" i="3"/>
  <c r="BQ20" i="3"/>
  <c r="BQ7" i="3"/>
  <c r="BQ19" i="3"/>
  <c r="BQ9" i="3"/>
  <c r="BQ11" i="3"/>
  <c r="BQ12" i="3"/>
  <c r="CH3" i="3"/>
  <c r="CY34" i="3"/>
  <c r="EQ34" i="3"/>
  <c r="EU34" i="3"/>
  <c r="DC34" i="3"/>
  <c r="DB28" i="3"/>
  <c r="ET28" i="3"/>
  <c r="DR27" i="3"/>
  <c r="CB17" i="3"/>
  <c r="CB16" i="3"/>
  <c r="CB13" i="3"/>
  <c r="CB12" i="3"/>
  <c r="CB15" i="3"/>
  <c r="CB3" i="3"/>
  <c r="CB14" i="3"/>
  <c r="BT22" i="3"/>
  <c r="BT20" i="3"/>
  <c r="BT21" i="3"/>
  <c r="BT19" i="3"/>
  <c r="CD7" i="3"/>
  <c r="CD6" i="3"/>
  <c r="CD5" i="3"/>
  <c r="DA34" i="3"/>
  <c r="ES34" i="3"/>
  <c r="DM34" i="3"/>
  <c r="CW34" i="3"/>
  <c r="EO34" i="3"/>
  <c r="CI25" i="3"/>
  <c r="DO25" i="3" s="1"/>
  <c r="CI15" i="3"/>
  <c r="DO15" i="3" s="1"/>
  <c r="CI13" i="3"/>
  <c r="DO13" i="3" s="1"/>
  <c r="CI18" i="3"/>
  <c r="DO18" i="3" s="1"/>
  <c r="CI11" i="3"/>
  <c r="DO11" i="3" s="1"/>
  <c r="CI9" i="3"/>
  <c r="DO9" i="3" s="1"/>
  <c r="CI14" i="3"/>
  <c r="DO14" i="3" s="1"/>
  <c r="CI17" i="3"/>
  <c r="DO17" i="3" s="1"/>
  <c r="CI22" i="3"/>
  <c r="DO22" i="3" s="1"/>
  <c r="CI12" i="3"/>
  <c r="DO12" i="3" s="1"/>
  <c r="CI21" i="3"/>
  <c r="DO21" i="3" s="1"/>
  <c r="CI19" i="3"/>
  <c r="DO19" i="3" s="1"/>
  <c r="CI10" i="3"/>
  <c r="DO10" i="3" s="1"/>
  <c r="CI20" i="3"/>
  <c r="DO20" i="3" s="1"/>
  <c r="ET31" i="3"/>
  <c r="CX31" i="3"/>
  <c r="DB31" i="3"/>
  <c r="CI16" i="3"/>
  <c r="DO16" i="3" s="1"/>
  <c r="BX15" i="3"/>
  <c r="DR15" i="3" s="1"/>
  <c r="BQ6" i="3"/>
  <c r="BT4" i="3"/>
  <c r="DG36" i="3"/>
  <c r="CW36" i="3"/>
  <c r="EO36" i="3"/>
  <c r="DB30" i="3"/>
  <c r="ET30" i="3"/>
  <c r="BZ17" i="3"/>
  <c r="DP17" i="3" s="1"/>
  <c r="BZ4" i="3"/>
  <c r="DP4" i="3" s="1"/>
  <c r="BZ7" i="3"/>
  <c r="DP7" i="3" s="1"/>
  <c r="BZ10" i="3"/>
  <c r="DP10" i="3" s="1"/>
  <c r="BZ3" i="3"/>
  <c r="DP3" i="3" s="1"/>
  <c r="BZ9" i="3"/>
  <c r="DP9" i="3" s="1"/>
  <c r="BZ12" i="3"/>
  <c r="DP12" i="3" s="1"/>
  <c r="BZ13" i="3"/>
  <c r="DP13" i="3" s="1"/>
  <c r="BZ5" i="3"/>
  <c r="DP5" i="3" s="1"/>
  <c r="BZ6" i="3"/>
  <c r="DP6" i="3" s="1"/>
  <c r="BZ14" i="3"/>
  <c r="DP14" i="3" s="1"/>
  <c r="BZ2" i="3"/>
  <c r="DP2" i="3" s="1"/>
  <c r="BZ16" i="3"/>
  <c r="DP16" i="3" s="1"/>
  <c r="BP26" i="3"/>
  <c r="BP6" i="3"/>
  <c r="BP11" i="3"/>
  <c r="BP20" i="3"/>
  <c r="BP24" i="3"/>
  <c r="BP8" i="3"/>
  <c r="BP21" i="3"/>
  <c r="BP9" i="3"/>
  <c r="BP25" i="3"/>
  <c r="BP22" i="3"/>
  <c r="BP10" i="3"/>
  <c r="BP14" i="3"/>
  <c r="BP12" i="3"/>
  <c r="BP23" i="3"/>
  <c r="BP15" i="3"/>
  <c r="BP16" i="3"/>
  <c r="BP13" i="3"/>
  <c r="BP4" i="3"/>
  <c r="BP19" i="3"/>
  <c r="BP18" i="3"/>
  <c r="DC32" i="3"/>
  <c r="EU32" i="3"/>
  <c r="ES32" i="3"/>
  <c r="CV31" i="3"/>
  <c r="EN31" i="3"/>
  <c r="DT31" i="3"/>
  <c r="DS31" i="3"/>
  <c r="DA36" i="3"/>
  <c r="ES36" i="3"/>
  <c r="EU31" i="3"/>
  <c r="ER32" i="3"/>
  <c r="CZ32" i="3"/>
  <c r="EQ33" i="3"/>
  <c r="EP36" i="3"/>
  <c r="CZ34" i="3"/>
  <c r="ER34" i="3"/>
  <c r="EO32" i="3"/>
  <c r="CI23" i="3"/>
  <c r="DO23" i="3" s="1"/>
  <c r="BY14" i="3"/>
  <c r="DN14" i="3" s="1"/>
  <c r="CJ14" i="3"/>
  <c r="CB6" i="3"/>
  <c r="BP3" i="3"/>
  <c r="BP2" i="3"/>
  <c r="BZ8" i="3"/>
  <c r="DP8" i="3" s="1"/>
  <c r="CB2" i="3"/>
  <c r="DC36" i="3"/>
  <c r="EU36" i="3"/>
  <c r="CB22" i="3"/>
  <c r="CB19" i="3"/>
  <c r="CB20" i="3"/>
  <c r="CB21" i="3"/>
  <c r="CY35" i="3"/>
  <c r="EQ35" i="3"/>
  <c r="DC28" i="3"/>
  <c r="EU28" i="3"/>
  <c r="ES28" i="3"/>
  <c r="DA28" i="3"/>
  <c r="CD4" i="3"/>
  <c r="CD3" i="3"/>
  <c r="CD2" i="3"/>
  <c r="BY23" i="3"/>
  <c r="DN23" i="3" s="1"/>
  <c r="BY7" i="3"/>
  <c r="DN7" i="3" s="1"/>
  <c r="BY6" i="3"/>
  <c r="DN6" i="3" s="1"/>
  <c r="BY22" i="3"/>
  <c r="DN22" i="3" s="1"/>
  <c r="BY20" i="3"/>
  <c r="DN20" i="3" s="1"/>
  <c r="BY10" i="3"/>
  <c r="DN10" i="3" s="1"/>
  <c r="BY19" i="3"/>
  <c r="DN19" i="3" s="1"/>
  <c r="BY21" i="3"/>
  <c r="DN21" i="3" s="1"/>
  <c r="ER28" i="3"/>
  <c r="CZ28" i="3"/>
  <c r="DM30" i="3"/>
  <c r="DA30" i="3"/>
  <c r="ES30" i="3"/>
  <c r="DI37" i="3"/>
  <c r="CY37" i="3"/>
  <c r="EQ37" i="3"/>
  <c r="CW37" i="3"/>
  <c r="EN30" i="3"/>
  <c r="CV32" i="3"/>
  <c r="EN32" i="3"/>
  <c r="DT32" i="3"/>
  <c r="DS32" i="3"/>
  <c r="CV37" i="3"/>
  <c r="DJ33" i="3"/>
  <c r="EN33" i="3"/>
  <c r="EP30" i="3"/>
  <c r="CX30" i="3"/>
  <c r="CW32" i="3"/>
  <c r="BQ13" i="3"/>
  <c r="BX26" i="3"/>
  <c r="DR26" i="3" s="1"/>
  <c r="BX17" i="3"/>
  <c r="DR17" i="3" s="1"/>
  <c r="BX12" i="3"/>
  <c r="DR12" i="3" s="1"/>
  <c r="BX13" i="3"/>
  <c r="DR13" i="3" s="1"/>
  <c r="BX8" i="3"/>
  <c r="DR8" i="3" s="1"/>
  <c r="BX20" i="3"/>
  <c r="DR20" i="3" s="1"/>
  <c r="BX21" i="3"/>
  <c r="DR21" i="3" s="1"/>
  <c r="BX18" i="3"/>
  <c r="DR18" i="3" s="1"/>
  <c r="BX9" i="3"/>
  <c r="DR9" i="3" s="1"/>
  <c r="BX23" i="3"/>
  <c r="DR23" i="3" s="1"/>
  <c r="BX19" i="3"/>
  <c r="DR19" i="3" s="1"/>
  <c r="BX25" i="3"/>
  <c r="DR25" i="3" s="1"/>
  <c r="BX22" i="3"/>
  <c r="DR22" i="3" s="1"/>
  <c r="BX14" i="3"/>
  <c r="DR14" i="3" s="1"/>
  <c r="BX11" i="3"/>
  <c r="DR11" i="3" s="1"/>
  <c r="BX16" i="3"/>
  <c r="DR16" i="3" s="1"/>
  <c r="CI24" i="3"/>
  <c r="DO24" i="3" s="1"/>
  <c r="CJ18" i="3"/>
  <c r="CJ15" i="3"/>
  <c r="EP31" i="3"/>
  <c r="BZ15" i="3"/>
  <c r="DP15" i="3" s="1"/>
  <c r="BY12" i="3"/>
  <c r="DN12" i="3" s="1"/>
  <c r="BP5" i="3"/>
  <c r="BY9" i="3"/>
  <c r="DN9" i="3" s="1"/>
  <c r="CJ3" i="3"/>
  <c r="DR35" i="3"/>
  <c r="DC35" i="3"/>
  <c r="DB32" i="3"/>
  <c r="ET32" i="3"/>
  <c r="EU35" i="3"/>
  <c r="ER33" i="3"/>
  <c r="EN28" i="3"/>
  <c r="CY36" i="3"/>
  <c r="DC31" i="3"/>
  <c r="EN36" i="3"/>
  <c r="ES33" i="3"/>
  <c r="DY33" i="3" s="1"/>
  <c r="DM33" i="3"/>
  <c r="DA33" i="3"/>
  <c r="BO25" i="3"/>
  <c r="BS20" i="3"/>
  <c r="BS15" i="3"/>
  <c r="CG19" i="3"/>
  <c r="BO20" i="3"/>
  <c r="CB18" i="3"/>
  <c r="BY16" i="3"/>
  <c r="DN16" i="3" s="1"/>
  <c r="BQ15" i="3"/>
  <c r="BR13" i="3"/>
  <c r="CB11" i="3"/>
  <c r="CF13" i="3"/>
  <c r="CE10" i="3"/>
  <c r="BO13" i="3"/>
  <c r="CP14" i="3"/>
  <c r="CF7" i="3"/>
  <c r="CF6" i="3"/>
  <c r="CN14" i="3"/>
  <c r="CD10" i="3"/>
  <c r="BO12" i="3"/>
  <c r="CJ5" i="3"/>
  <c r="BR11" i="3"/>
  <c r="CA5" i="3"/>
  <c r="CB8" i="3"/>
  <c r="BR15" i="3"/>
  <c r="CP10" i="3"/>
  <c r="CE8" i="3"/>
  <c r="CF4" i="3"/>
  <c r="CM11" i="3"/>
  <c r="BY8" i="3"/>
  <c r="DN8" i="3" s="1"/>
  <c r="CJ9" i="3"/>
  <c r="CJ7" i="3"/>
  <c r="BR6" i="3"/>
  <c r="CG3" i="3"/>
  <c r="CP2" i="3"/>
  <c r="CM6" i="3"/>
  <c r="CL8" i="3"/>
  <c r="BU4" i="3"/>
  <c r="DH4" i="3" s="1"/>
  <c r="BU8" i="3"/>
  <c r="DH8" i="3" s="1"/>
  <c r="CJ6" i="3"/>
  <c r="CJ2" i="3"/>
  <c r="CX33" i="3"/>
  <c r="DB37" i="3"/>
  <c r="ET37" i="3"/>
  <c r="CV28" i="3"/>
  <c r="EN35" i="3"/>
  <c r="DK29" i="3"/>
  <c r="CZ29" i="3"/>
  <c r="ER29" i="3"/>
  <c r="DY29" i="3" s="1"/>
  <c r="CF22" i="3"/>
  <c r="CF25" i="3"/>
  <c r="EP29" i="3"/>
  <c r="CX29" i="3"/>
  <c r="CO18" i="3"/>
  <c r="CO10" i="3"/>
  <c r="CM27" i="3"/>
  <c r="CM19" i="3"/>
  <c r="BT17" i="3"/>
  <c r="CL21" i="3"/>
  <c r="CM17" i="3"/>
  <c r="BS17" i="3"/>
  <c r="BT11" i="3"/>
  <c r="BT9" i="3"/>
  <c r="BT10" i="3"/>
  <c r="BW10" i="3"/>
  <c r="DJ10" i="3" s="1"/>
  <c r="CF12" i="3"/>
  <c r="BX7" i="3"/>
  <c r="DR7" i="3" s="1"/>
  <c r="BX6" i="3"/>
  <c r="DR6" i="3" s="1"/>
  <c r="CL9" i="3"/>
  <c r="BR8" i="3"/>
  <c r="CB5" i="3"/>
  <c r="CL10" i="3"/>
  <c r="CL15" i="3"/>
  <c r="CN8" i="3"/>
  <c r="CG4" i="3"/>
  <c r="CH9" i="3"/>
  <c r="CH6" i="3"/>
  <c r="BW8" i="3"/>
  <c r="DJ8" i="3" s="1"/>
  <c r="CN12" i="3"/>
  <c r="CE11" i="3"/>
  <c r="CO7" i="3"/>
  <c r="BR16" i="3"/>
  <c r="CF9" i="3"/>
  <c r="CB7" i="3"/>
  <c r="CC5" i="3"/>
  <c r="CM2" i="3"/>
  <c r="BX4" i="3"/>
  <c r="DR4" i="3" s="1"/>
  <c r="BT6" i="3"/>
  <c r="BW6" i="3"/>
  <c r="DJ6" i="3" s="1"/>
  <c r="BT2" i="3"/>
  <c r="CD8" i="3"/>
  <c r="BR3" i="3"/>
  <c r="CM8" i="3"/>
  <c r="ET36" i="3"/>
  <c r="DB36" i="3"/>
  <c r="CV33" i="3"/>
  <c r="CX32" i="3"/>
  <c r="DL34" i="3"/>
  <c r="EN34" i="3"/>
  <c r="CX28" i="3"/>
  <c r="CG22" i="3"/>
  <c r="CG18" i="3"/>
  <c r="CG13" i="3"/>
  <c r="CE27" i="3"/>
  <c r="CE22" i="3"/>
  <c r="CE19" i="3"/>
  <c r="CN21" i="3"/>
  <c r="CG17" i="3"/>
  <c r="BT18" i="3"/>
  <c r="CN20" i="3"/>
  <c r="CE17" i="3"/>
  <c r="BS19" i="3"/>
  <c r="CL16" i="3"/>
  <c r="BS16" i="3"/>
  <c r="CE14" i="3"/>
  <c r="BO10" i="3"/>
  <c r="CO15" i="3"/>
  <c r="CM18" i="3"/>
  <c r="CP13" i="3"/>
  <c r="BP7" i="3"/>
  <c r="CE7" i="3"/>
  <c r="BT5" i="3"/>
  <c r="CL14" i="3"/>
  <c r="CB10" i="3"/>
  <c r="CO14" i="3"/>
  <c r="CF8" i="3"/>
  <c r="BV4" i="3"/>
  <c r="DL4" i="3" s="1"/>
  <c r="CH10" i="3"/>
  <c r="BO8" i="3"/>
  <c r="BW11" i="3"/>
  <c r="DJ11" i="3" s="1"/>
  <c r="BV7" i="3"/>
  <c r="DL7" i="3" s="1"/>
  <c r="CP12" i="3"/>
  <c r="BT7" i="3"/>
  <c r="CE2" i="3"/>
  <c r="CN6" i="3"/>
  <c r="BO6" i="3"/>
  <c r="BW5" i="3"/>
  <c r="DJ5" i="3" s="1"/>
  <c r="BU3" i="3"/>
  <c r="DH3" i="3" s="1"/>
  <c r="CA7" i="3"/>
  <c r="BR10" i="3"/>
  <c r="CL13" i="3"/>
  <c r="CL12" i="3"/>
  <c r="CJ11" i="3"/>
  <c r="CJ10" i="3"/>
  <c r="CM10" i="3"/>
  <c r="CM9" i="3"/>
  <c r="CY32" i="3"/>
  <c r="EQ32" i="3"/>
  <c r="ES31" i="3"/>
  <c r="CV36" i="3"/>
  <c r="EN37" i="3"/>
  <c r="CF24" i="3"/>
  <c r="BY18" i="3"/>
  <c r="DN18" i="3" s="1"/>
  <c r="CE23" i="3"/>
  <c r="BW27" i="3"/>
  <c r="BW19" i="3"/>
  <c r="DJ19" i="3" s="1"/>
  <c r="BW18" i="3"/>
  <c r="DJ18" i="3" s="1"/>
  <c r="CG20" i="3"/>
  <c r="CM21" i="3"/>
  <c r="CN18" i="3"/>
  <c r="CN17" i="3"/>
  <c r="BW17" i="3"/>
  <c r="DJ17" i="3" s="1"/>
  <c r="CF21" i="3"/>
  <c r="CF18" i="3"/>
  <c r="BT14" i="3"/>
  <c r="BY17" i="3"/>
  <c r="DN17" i="3" s="1"/>
  <c r="CE15" i="3"/>
  <c r="BS12" i="3"/>
  <c r="CG10" i="3"/>
  <c r="BR12" i="3"/>
  <c r="BY15" i="3"/>
  <c r="DN15" i="3" s="1"/>
  <c r="CE18" i="3"/>
  <c r="BQ10" i="3"/>
  <c r="CC6" i="3"/>
  <c r="CN13" i="3"/>
  <c r="BQ8" i="3"/>
  <c r="CM13" i="3"/>
  <c r="CO6" i="3"/>
  <c r="CL4" i="3"/>
  <c r="BU9" i="3"/>
  <c r="DH9" i="3" s="1"/>
  <c r="BW12" i="3"/>
  <c r="DJ12" i="3" s="1"/>
  <c r="BO9" i="3"/>
  <c r="CN3" i="3"/>
  <c r="CM12" i="3"/>
  <c r="CC14" i="3"/>
  <c r="CP9" i="3"/>
  <c r="BW7" i="3"/>
  <c r="DJ7" i="3" s="1"/>
  <c r="BO7" i="3"/>
  <c r="BO11" i="3"/>
  <c r="BX5" i="3"/>
  <c r="DR5" i="3" s="1"/>
  <c r="BS6" i="3"/>
  <c r="BY13" i="3"/>
  <c r="DN13" i="3" s="1"/>
  <c r="BW2" i="3"/>
  <c r="DJ2" i="3" s="1"/>
  <c r="BW3" i="3"/>
  <c r="DJ3" i="3" s="1"/>
  <c r="CP3" i="3"/>
  <c r="CG5" i="3"/>
  <c r="CM3" i="3"/>
  <c r="CA3" i="3"/>
  <c r="CE5" i="3"/>
  <c r="BQ18" i="3"/>
  <c r="CF26" i="3"/>
  <c r="CF14" i="3"/>
  <c r="CO23" i="3"/>
  <c r="CO21" i="3"/>
  <c r="BO27" i="3"/>
  <c r="BO22" i="3"/>
  <c r="BS18" i="3"/>
  <c r="CF17" i="3"/>
  <c r="CL20" i="3"/>
  <c r="BO17" i="3"/>
  <c r="CM16" i="3"/>
  <c r="CE16" i="3"/>
  <c r="BO15" i="3"/>
  <c r="CB9" i="3"/>
  <c r="CF11" i="3"/>
  <c r="BO19" i="3"/>
  <c r="BS10" i="3"/>
  <c r="CN15" i="3"/>
  <c r="CN10" i="3"/>
  <c r="BO18" i="3"/>
  <c r="CO12" i="3"/>
  <c r="CI8" i="3"/>
  <c r="DO8" i="3" s="1"/>
  <c r="CG7" i="3"/>
  <c r="BW13" i="3"/>
  <c r="DJ13" i="3" s="1"/>
  <c r="CG6" i="3"/>
  <c r="CO13" i="3"/>
  <c r="CG8" i="3"/>
  <c r="CO11" i="3"/>
  <c r="CF3" i="3"/>
  <c r="BW9" i="3"/>
  <c r="DJ9" i="3" s="1"/>
  <c r="CL6" i="3"/>
  <c r="BS13" i="3"/>
  <c r="CO9" i="3"/>
  <c r="BQ4" i="3"/>
  <c r="CN11" i="3"/>
  <c r="CH5" i="3"/>
  <c r="CN2" i="3"/>
  <c r="BO3" i="3"/>
  <c r="CM4" i="3"/>
  <c r="CC2" i="3"/>
  <c r="BV3" i="3"/>
  <c r="DL3" i="3" s="1"/>
  <c r="CD9" i="3"/>
  <c r="CO5" i="3"/>
  <c r="BQ2" i="3"/>
  <c r="CJ4" i="3"/>
  <c r="BS3" i="3"/>
  <c r="BO5" i="3"/>
  <c r="CH4" i="3"/>
  <c r="ES35" i="3"/>
  <c r="DM35" i="3"/>
  <c r="DA35" i="3"/>
  <c r="EU37" i="3"/>
  <c r="DY37" i="3" s="1"/>
  <c r="DC37" i="3"/>
  <c r="EO31" i="3"/>
  <c r="DG31" i="3"/>
  <c r="CW31" i="3"/>
  <c r="DA37" i="3"/>
  <c r="CW30" i="3"/>
  <c r="CJ22" i="3"/>
  <c r="CJ19" i="3"/>
  <c r="CJ20" i="3"/>
  <c r="CP17" i="3"/>
  <c r="CP11" i="3"/>
  <c r="CP4" i="3"/>
  <c r="CP16" i="3"/>
  <c r="CP7" i="3"/>
  <c r="CJ17" i="3"/>
  <c r="CJ12" i="3"/>
  <c r="CJ21" i="3"/>
  <c r="CP15" i="3"/>
  <c r="CF15" i="3"/>
  <c r="CG12" i="3"/>
  <c r="CG11" i="3"/>
  <c r="BX3" i="3"/>
  <c r="DR3" i="3" s="1"/>
  <c r="CJ13" i="3"/>
  <c r="BR9" i="3"/>
  <c r="CG9" i="3"/>
  <c r="CC7" i="3"/>
  <c r="BQ14" i="3"/>
  <c r="BV11" i="3"/>
  <c r="DL11" i="3" s="1"/>
  <c r="BV9" i="3"/>
  <c r="DL9" i="3" s="1"/>
  <c r="BT8" i="3"/>
  <c r="CO4" i="3"/>
  <c r="CL7" i="3"/>
  <c r="CF2" i="3"/>
  <c r="BO4" i="3"/>
  <c r="CE4" i="3"/>
  <c r="BU2" i="3"/>
  <c r="DH2" i="3" s="1"/>
  <c r="CO2" i="3"/>
  <c r="CL5" i="3"/>
  <c r="CB4" i="3"/>
  <c r="CI12" i="2"/>
  <c r="DO12" i="2" s="1"/>
  <c r="CO28" i="2"/>
  <c r="DI28" i="2" s="1"/>
  <c r="CH26" i="2"/>
  <c r="CI23" i="2"/>
  <c r="DO23" i="2" s="1"/>
  <c r="CP24" i="2"/>
  <c r="DQ24" i="2" s="1"/>
  <c r="BW7" i="2"/>
  <c r="DJ7" i="2" s="1"/>
  <c r="CI25" i="2"/>
  <c r="DO25" i="2" s="1"/>
  <c r="CH25" i="2"/>
  <c r="CL24" i="2"/>
  <c r="CJ19" i="2"/>
  <c r="CC8" i="2"/>
  <c r="CF20" i="2"/>
  <c r="BT22" i="2"/>
  <c r="DS22" i="2" s="1"/>
  <c r="BU14" i="2"/>
  <c r="DH14" i="2" s="1"/>
  <c r="CC22" i="2"/>
  <c r="CM5" i="2"/>
  <c r="BS24" i="2"/>
  <c r="BY12" i="2"/>
  <c r="DN12" i="2" s="1"/>
  <c r="BY23" i="2"/>
  <c r="DN23" i="2" s="1"/>
  <c r="BO23" i="2"/>
  <c r="DM23" i="2" s="1"/>
  <c r="CM26" i="2"/>
  <c r="CF19" i="2"/>
  <c r="CK26" i="2"/>
  <c r="BQ11" i="2"/>
  <c r="CF13" i="2"/>
  <c r="BP23" i="2"/>
  <c r="BZ16" i="2"/>
  <c r="DP16" i="2" s="1"/>
  <c r="CJ8" i="2"/>
  <c r="CK15" i="2"/>
  <c r="CM15" i="2"/>
  <c r="CB25" i="2"/>
  <c r="BS26" i="2"/>
  <c r="BS16" i="2"/>
  <c r="CH6" i="2"/>
  <c r="BT27" i="1"/>
  <c r="DS27" i="1" s="1"/>
  <c r="BR22" i="2"/>
  <c r="CF21" i="2"/>
  <c r="CN13" i="2"/>
  <c r="DG13" i="2" s="1"/>
  <c r="BY4" i="2"/>
  <c r="DN4" i="2" s="1"/>
  <c r="CD16" i="2"/>
  <c r="CF22" i="2"/>
  <c r="CG12" i="2"/>
  <c r="BO26" i="2"/>
  <c r="DM26" i="2" s="1"/>
  <c r="BY26" i="2"/>
  <c r="DN26" i="2" s="1"/>
  <c r="CN17" i="2"/>
  <c r="DG17" i="2" s="1"/>
  <c r="BU23" i="2"/>
  <c r="DH23" i="2" s="1"/>
  <c r="CB18" i="2"/>
  <c r="BY16" i="2"/>
  <c r="DN16" i="2" s="1"/>
  <c r="CC18" i="2"/>
  <c r="BT23" i="2"/>
  <c r="DS23" i="2" s="1"/>
  <c r="CF11" i="2"/>
  <c r="CG27" i="2"/>
  <c r="BR11" i="2"/>
  <c r="CA25" i="2"/>
  <c r="DK25" i="2" s="1"/>
  <c r="CL16" i="2"/>
  <c r="CH13" i="2"/>
  <c r="CO9" i="2"/>
  <c r="DI9" i="2" s="1"/>
  <c r="CF26" i="2"/>
  <c r="BQ21" i="2"/>
  <c r="CK25" i="2"/>
  <c r="BP21" i="2"/>
  <c r="CD21" i="2"/>
  <c r="CA22" i="2"/>
  <c r="DK22" i="2" s="1"/>
  <c r="CF18" i="2"/>
  <c r="CL22" i="2"/>
  <c r="BU25" i="2"/>
  <c r="DH25" i="2" s="1"/>
  <c r="BV19" i="2"/>
  <c r="DL19" i="2" s="1"/>
  <c r="BT12" i="2"/>
  <c r="DS12" i="2" s="1"/>
  <c r="BX26" i="2"/>
  <c r="DR26" i="2" s="1"/>
  <c r="BW12" i="2"/>
  <c r="DJ12" i="2" s="1"/>
  <c r="CH12" i="2"/>
  <c r="CA24" i="2"/>
  <c r="DK24" i="2" s="1"/>
  <c r="BS27" i="2"/>
  <c r="CI22" i="2"/>
  <c r="DO22" i="2" s="1"/>
  <c r="CI27" i="2"/>
  <c r="DO27" i="2" s="1"/>
  <c r="CX28" i="2"/>
  <c r="CO25" i="2"/>
  <c r="DI25" i="2" s="1"/>
  <c r="BO25" i="2"/>
  <c r="CA6" i="2"/>
  <c r="DK6" i="2" s="1"/>
  <c r="ER28" i="2"/>
  <c r="BT24" i="2"/>
  <c r="DT24" i="2" s="1"/>
  <c r="EN28" i="2"/>
  <c r="EU28" i="2"/>
  <c r="BY25" i="2"/>
  <c r="DN25" i="2" s="1"/>
  <c r="CG4" i="2"/>
  <c r="CL25" i="2"/>
  <c r="CE3" i="2"/>
  <c r="DK20" i="2"/>
  <c r="ES34" i="2"/>
  <c r="ER34" i="2"/>
  <c r="DK34" i="2"/>
  <c r="CZ34" i="2"/>
  <c r="DC31" i="2"/>
  <c r="EU31" i="2"/>
  <c r="CX36" i="2"/>
  <c r="EP36" i="2"/>
  <c r="CV36" i="2"/>
  <c r="CZ28" i="2"/>
  <c r="CP25" i="2"/>
  <c r="DQ25" i="2" s="1"/>
  <c r="CG25" i="2"/>
  <c r="CG23" i="2"/>
  <c r="CG19" i="2"/>
  <c r="EN31" i="2"/>
  <c r="BZ24" i="2"/>
  <c r="DP24" i="2" s="1"/>
  <c r="BP22" i="2"/>
  <c r="BP20" i="2"/>
  <c r="BV20" i="2"/>
  <c r="DL20" i="2" s="1"/>
  <c r="BW24" i="2"/>
  <c r="DJ24" i="2" s="1"/>
  <c r="CP18" i="2"/>
  <c r="DQ18" i="2" s="1"/>
  <c r="BY22" i="2"/>
  <c r="DN22" i="2" s="1"/>
  <c r="BP18" i="2"/>
  <c r="BX21" i="2"/>
  <c r="DR21" i="2" s="1"/>
  <c r="BZ18" i="2"/>
  <c r="DP18" i="2" s="1"/>
  <c r="CM21" i="2"/>
  <c r="BZ23" i="2"/>
  <c r="DP23" i="2" s="1"/>
  <c r="CO20" i="2"/>
  <c r="DI20" i="2" s="1"/>
  <c r="CO19" i="2"/>
  <c r="DI19" i="2" s="1"/>
  <c r="BY15" i="2"/>
  <c r="DN15" i="2" s="1"/>
  <c r="BQ20" i="2"/>
  <c r="BO17" i="2"/>
  <c r="BX15" i="2"/>
  <c r="DR15" i="2" s="1"/>
  <c r="CB24" i="2"/>
  <c r="CB23" i="2"/>
  <c r="CB15" i="2"/>
  <c r="BW20" i="2"/>
  <c r="DJ20" i="2" s="1"/>
  <c r="BO14" i="2"/>
  <c r="CK13" i="2"/>
  <c r="CI17" i="2"/>
  <c r="DO17" i="2" s="1"/>
  <c r="CN11" i="2"/>
  <c r="CN5" i="2"/>
  <c r="CN16" i="2"/>
  <c r="BU12" i="2"/>
  <c r="DH12" i="2" s="1"/>
  <c r="CL9" i="2"/>
  <c r="BO13" i="2"/>
  <c r="CF10" i="2"/>
  <c r="CI9" i="2"/>
  <c r="DO9" i="2" s="1"/>
  <c r="CI6" i="2"/>
  <c r="DO6" i="2" s="1"/>
  <c r="CI11" i="2"/>
  <c r="DO11" i="2" s="1"/>
  <c r="CB13" i="2"/>
  <c r="CP9" i="2"/>
  <c r="DQ9" i="2" s="1"/>
  <c r="CP8" i="2"/>
  <c r="DQ8" i="2" s="1"/>
  <c r="BO8" i="2"/>
  <c r="BU7" i="2"/>
  <c r="DH7" i="2" s="1"/>
  <c r="BY13" i="2"/>
  <c r="DN13" i="2" s="1"/>
  <c r="BW10" i="2"/>
  <c r="DJ10" i="2" s="1"/>
  <c r="CG17" i="2"/>
  <c r="CK10" i="2"/>
  <c r="CB7" i="2"/>
  <c r="CB6" i="2"/>
  <c r="CB4" i="2"/>
  <c r="BS3" i="2"/>
  <c r="CM7" i="2"/>
  <c r="BO5" i="2"/>
  <c r="CL8" i="2"/>
  <c r="BU6" i="2"/>
  <c r="DH6" i="2" s="1"/>
  <c r="CK3" i="2"/>
  <c r="CF6" i="2"/>
  <c r="BY8" i="2"/>
  <c r="DN8" i="2" s="1"/>
  <c r="BU5" i="2"/>
  <c r="DH5" i="2" s="1"/>
  <c r="BR8" i="2"/>
  <c r="BR5" i="2"/>
  <c r="BY5" i="2"/>
  <c r="DN5" i="2" s="1"/>
  <c r="BY6" i="2"/>
  <c r="DN6" i="2" s="1"/>
  <c r="BS2" i="2"/>
  <c r="CL5" i="2"/>
  <c r="CN2" i="2"/>
  <c r="DB34" i="2"/>
  <c r="DK31" i="2"/>
  <c r="CZ31" i="2"/>
  <c r="ER31" i="2"/>
  <c r="CX33" i="2"/>
  <c r="EP33" i="2"/>
  <c r="EO31" i="2"/>
  <c r="EN33" i="2"/>
  <c r="DB30" i="2"/>
  <c r="ET30" i="2"/>
  <c r="DB28" i="2"/>
  <c r="ET28" i="2"/>
  <c r="DC33" i="2"/>
  <c r="CV31" i="2"/>
  <c r="DB32" i="2"/>
  <c r="ET32" i="2"/>
  <c r="BX25" i="2"/>
  <c r="DR25" i="2" s="1"/>
  <c r="BX24" i="2"/>
  <c r="DR24" i="2" s="1"/>
  <c r="CI21" i="2"/>
  <c r="DO21" i="2" s="1"/>
  <c r="CI19" i="2"/>
  <c r="DO19" i="2" s="1"/>
  <c r="DC28" i="2"/>
  <c r="BU24" i="2"/>
  <c r="DH24" i="2" s="1"/>
  <c r="BU22" i="2"/>
  <c r="DH22" i="2" s="1"/>
  <c r="BU21" i="2"/>
  <c r="DH21" i="2" s="1"/>
  <c r="BY21" i="2"/>
  <c r="DN21" i="2" s="1"/>
  <c r="BQ18" i="2"/>
  <c r="CH24" i="2"/>
  <c r="BQ22" i="2"/>
  <c r="CJ18" i="2"/>
  <c r="CP26" i="2"/>
  <c r="DQ26" i="2" s="1"/>
  <c r="BR23" i="2"/>
  <c r="CO23" i="2"/>
  <c r="BY19" i="2"/>
  <c r="DN19" i="2" s="1"/>
  <c r="BQ15" i="2"/>
  <c r="CG16" i="2"/>
  <c r="BX14" i="2"/>
  <c r="DR14" i="2" s="1"/>
  <c r="CJ14" i="2"/>
  <c r="CG13" i="2"/>
  <c r="BV15" i="2"/>
  <c r="DL15" i="2" s="1"/>
  <c r="CC13" i="2"/>
  <c r="CB19" i="2"/>
  <c r="BQ17" i="2"/>
  <c r="BX16" i="2"/>
  <c r="DR16" i="2" s="1"/>
  <c r="CN12" i="2"/>
  <c r="BX13" i="2"/>
  <c r="DR13" i="2" s="1"/>
  <c r="BV9" i="2"/>
  <c r="DL9" i="2" s="1"/>
  <c r="CC12" i="2"/>
  <c r="CL10" i="2"/>
  <c r="BZ13" i="2"/>
  <c r="DP13" i="2" s="1"/>
  <c r="BX10" i="2"/>
  <c r="DR10" i="2" s="1"/>
  <c r="BS9" i="2"/>
  <c r="CM11" i="2"/>
  <c r="BU18" i="2"/>
  <c r="DH18" i="2" s="1"/>
  <c r="BT13" i="2"/>
  <c r="CH9" i="2"/>
  <c r="CO7" i="2"/>
  <c r="DI7" i="2" s="1"/>
  <c r="BS12" i="2"/>
  <c r="CI16" i="2"/>
  <c r="DO16" i="2" s="1"/>
  <c r="BQ14" i="2"/>
  <c r="CA9" i="2"/>
  <c r="CM12" i="2"/>
  <c r="CK9" i="2"/>
  <c r="CF7" i="2"/>
  <c r="CE2" i="2"/>
  <c r="CI5" i="2"/>
  <c r="DO5" i="2" s="1"/>
  <c r="CO8" i="2"/>
  <c r="DI8" i="2" s="1"/>
  <c r="CL6" i="2"/>
  <c r="BQ3" i="2"/>
  <c r="CI10" i="2"/>
  <c r="DO10" i="2" s="1"/>
  <c r="BP6" i="2"/>
  <c r="CD8" i="2"/>
  <c r="BT3" i="2"/>
  <c r="CI7" i="2"/>
  <c r="DO7" i="2" s="1"/>
  <c r="BS6" i="2"/>
  <c r="BQ5" i="2"/>
  <c r="BQ6" i="2"/>
  <c r="CL3" i="2"/>
  <c r="CD5" i="2"/>
  <c r="CA4" i="2"/>
  <c r="BP2" i="2"/>
  <c r="DB35" i="2"/>
  <c r="CV33" i="2"/>
  <c r="DK33" i="2"/>
  <c r="CZ33" i="2"/>
  <c r="ER33" i="2"/>
  <c r="DY33" i="2" s="1"/>
  <c r="BQ23" i="2"/>
  <c r="EP28" i="2"/>
  <c r="BR27" i="2"/>
  <c r="DB29" i="2"/>
  <c r="ET29" i="2"/>
  <c r="CA21" i="2"/>
  <c r="CA19" i="2"/>
  <c r="CA14" i="2"/>
  <c r="CK19" i="2"/>
  <c r="CM23" i="2"/>
  <c r="BU20" i="2"/>
  <c r="DH20" i="2" s="1"/>
  <c r="CJ17" i="2"/>
  <c r="CP21" i="2"/>
  <c r="DQ21" i="2" s="1"/>
  <c r="CO21" i="2"/>
  <c r="DI21" i="2" s="1"/>
  <c r="CJ21" i="2"/>
  <c r="CH20" i="2"/>
  <c r="BV22" i="2"/>
  <c r="DL22" i="2" s="1"/>
  <c r="CO24" i="2"/>
  <c r="DI24" i="2" s="1"/>
  <c r="BQ19" i="2"/>
  <c r="CC15" i="2"/>
  <c r="CL14" i="2"/>
  <c r="BQ16" i="2"/>
  <c r="BP15" i="2"/>
  <c r="CB14" i="2"/>
  <c r="BT17" i="2"/>
  <c r="BS13" i="2"/>
  <c r="CD14" i="2"/>
  <c r="BU13" i="2"/>
  <c r="DH13" i="2" s="1"/>
  <c r="BT19" i="2"/>
  <c r="CO16" i="2"/>
  <c r="DI16" i="2" s="1"/>
  <c r="BX11" i="2"/>
  <c r="DR11" i="2" s="1"/>
  <c r="BX5" i="2"/>
  <c r="DR5" i="2" s="1"/>
  <c r="CL15" i="2"/>
  <c r="CF12" i="2"/>
  <c r="BP13" i="2"/>
  <c r="CP15" i="2"/>
  <c r="DQ15" i="2" s="1"/>
  <c r="BO10" i="2"/>
  <c r="CL13" i="2"/>
  <c r="BP10" i="2"/>
  <c r="BX8" i="2"/>
  <c r="DR8" i="2" s="1"/>
  <c r="CE11" i="2"/>
  <c r="BZ9" i="2"/>
  <c r="DP9" i="2" s="1"/>
  <c r="CG7" i="2"/>
  <c r="CA11" i="2"/>
  <c r="CN8" i="2"/>
  <c r="CO12" i="2"/>
  <c r="DI12" i="2" s="1"/>
  <c r="CC10" i="2"/>
  <c r="CN6" i="2"/>
  <c r="BZ3" i="2"/>
  <c r="DP3" i="2" s="1"/>
  <c r="CA5" i="2"/>
  <c r="CG8" i="2"/>
  <c r="CD6" i="2"/>
  <c r="CM2" i="2"/>
  <c r="CK5" i="2"/>
  <c r="CK2" i="2"/>
  <c r="CA10" i="2"/>
  <c r="CJ5" i="2"/>
  <c r="BV8" i="2"/>
  <c r="DL8" i="2" s="1"/>
  <c r="CD3" i="2"/>
  <c r="CP7" i="2"/>
  <c r="DQ7" i="2" s="1"/>
  <c r="CB8" i="2"/>
  <c r="CG3" i="2"/>
  <c r="CM4" i="2"/>
  <c r="BV3" i="2"/>
  <c r="DL3" i="2" s="1"/>
  <c r="BV5" i="2"/>
  <c r="DL5" i="2" s="1"/>
  <c r="BS4" i="2"/>
  <c r="EO33" i="2"/>
  <c r="DY34" i="2"/>
  <c r="EN30" i="2"/>
  <c r="DT30" i="2"/>
  <c r="DS30" i="2"/>
  <c r="CV30" i="2"/>
  <c r="EQ31" i="2"/>
  <c r="DC30" i="2"/>
  <c r="EU30" i="2"/>
  <c r="BR25" i="2"/>
  <c r="BZ27" i="2"/>
  <c r="CL26" i="2"/>
  <c r="CP27" i="2"/>
  <c r="DQ27" i="2" s="1"/>
  <c r="DA35" i="2"/>
  <c r="CB26" i="2"/>
  <c r="BS21" i="2"/>
  <c r="EQ30" i="2"/>
  <c r="CC23" i="2"/>
  <c r="BS22" i="2"/>
  <c r="BO19" i="2"/>
  <c r="CE23" i="2"/>
  <c r="BV24" i="2"/>
  <c r="DL24" i="2" s="1"/>
  <c r="BW21" i="2"/>
  <c r="DJ21" i="2" s="1"/>
  <c r="BT18" i="2"/>
  <c r="BZ26" i="2"/>
  <c r="DP26" i="2" s="1"/>
  <c r="BR21" i="2"/>
  <c r="CB21" i="2"/>
  <c r="BS23" i="2"/>
  <c r="BW19" i="2"/>
  <c r="DJ19" i="2" s="1"/>
  <c r="CG21" i="2"/>
  <c r="CG24" i="2"/>
  <c r="CA17" i="2"/>
  <c r="BU16" i="2"/>
  <c r="DH16" i="2" s="1"/>
  <c r="BV14" i="2"/>
  <c r="DL14" i="2" s="1"/>
  <c r="CI18" i="2"/>
  <c r="DO18" i="2" s="1"/>
  <c r="CD15" i="2"/>
  <c r="BP14" i="2"/>
  <c r="BT14" i="2"/>
  <c r="CK17" i="2"/>
  <c r="BX12" i="2"/>
  <c r="DR12" i="2" s="1"/>
  <c r="CP14" i="2"/>
  <c r="DQ14" i="2" s="1"/>
  <c r="CP11" i="2"/>
  <c r="DQ11" i="2" s="1"/>
  <c r="CL21" i="2"/>
  <c r="CA18" i="2"/>
  <c r="BP11" i="2"/>
  <c r="BS15" i="2"/>
  <c r="CM19" i="2"/>
  <c r="CM10" i="2"/>
  <c r="CH15" i="2"/>
  <c r="BO12" i="2"/>
  <c r="CJ9" i="2"/>
  <c r="CD13" i="2"/>
  <c r="CG10" i="2"/>
  <c r="CH7" i="2"/>
  <c r="BW11" i="2"/>
  <c r="DJ11" i="2" s="1"/>
  <c r="BW15" i="2"/>
  <c r="DJ15" i="2" s="1"/>
  <c r="CJ12" i="2"/>
  <c r="BR9" i="2"/>
  <c r="BY7" i="2"/>
  <c r="DN7" i="2" s="1"/>
  <c r="BY10" i="2"/>
  <c r="DN10" i="2" s="1"/>
  <c r="CC9" i="2"/>
  <c r="BX6" i="2"/>
  <c r="DR6" i="2" s="1"/>
  <c r="BW13" i="2"/>
  <c r="DJ13" i="2" s="1"/>
  <c r="BO7" i="2"/>
  <c r="BS5" i="2"/>
  <c r="BX7" i="2"/>
  <c r="DR7" i="2" s="1"/>
  <c r="BV6" i="2"/>
  <c r="DL6" i="2" s="1"/>
  <c r="CM9" i="2"/>
  <c r="CO5" i="2"/>
  <c r="DI5" i="2" s="1"/>
  <c r="CO3" i="2"/>
  <c r="DI3" i="2" s="1"/>
  <c r="BS10" i="2"/>
  <c r="BW5" i="2"/>
  <c r="DJ5" i="2" s="1"/>
  <c r="CK7" i="2"/>
  <c r="CJ2" i="2"/>
  <c r="CC6" i="2"/>
  <c r="BT8" i="2"/>
  <c r="BU4" i="2"/>
  <c r="DH4" i="2" s="1"/>
  <c r="BY3" i="2"/>
  <c r="DN3" i="2" s="1"/>
  <c r="BW4" i="2"/>
  <c r="DJ4" i="2" s="1"/>
  <c r="BP5" i="2"/>
  <c r="CP2" i="2"/>
  <c r="DQ2" i="2" s="1"/>
  <c r="CJ4" i="2"/>
  <c r="CA7" i="2"/>
  <c r="CW29" i="2"/>
  <c r="EO29" i="2"/>
  <c r="DG29" i="2"/>
  <c r="CY29" i="2"/>
  <c r="EQ29" i="2"/>
  <c r="EP35" i="2"/>
  <c r="DT29" i="2"/>
  <c r="DS29" i="2"/>
  <c r="CV29" i="2"/>
  <c r="EN29" i="2"/>
  <c r="BQ25" i="2"/>
  <c r="CL23" i="2"/>
  <c r="CW34" i="2"/>
  <c r="CE25" i="2"/>
  <c r="BV25" i="2"/>
  <c r="DL25" i="2" s="1"/>
  <c r="CL20" i="2"/>
  <c r="CL18" i="2"/>
  <c r="CL17" i="2"/>
  <c r="CY30" i="2"/>
  <c r="BW25" i="2"/>
  <c r="DJ25" i="2" s="1"/>
  <c r="CG22" i="2"/>
  <c r="BZ21" i="2"/>
  <c r="DP21" i="2" s="1"/>
  <c r="BR18" i="2"/>
  <c r="BW23" i="2"/>
  <c r="DJ23" i="2" s="1"/>
  <c r="CP19" i="2"/>
  <c r="DQ19" i="2" s="1"/>
  <c r="CP20" i="2"/>
  <c r="DQ20" i="2" s="1"/>
  <c r="BR26" i="2"/>
  <c r="CK20" i="2"/>
  <c r="CM22" i="2"/>
  <c r="BT21" i="2"/>
  <c r="CB22" i="2"/>
  <c r="BX18" i="2"/>
  <c r="DR18" i="2" s="1"/>
  <c r="BX17" i="2"/>
  <c r="DR17" i="2" s="1"/>
  <c r="CC20" i="2"/>
  <c r="BY24" i="2"/>
  <c r="DN24" i="2" s="1"/>
  <c r="BU15" i="2"/>
  <c r="DH15" i="2" s="1"/>
  <c r="CP12" i="2"/>
  <c r="DQ12" i="2" s="1"/>
  <c r="BZ17" i="2"/>
  <c r="DP17" i="2" s="1"/>
  <c r="CN15" i="2"/>
  <c r="CI13" i="2"/>
  <c r="DO13" i="2" s="1"/>
  <c r="CD17" i="2"/>
  <c r="BU17" i="2"/>
  <c r="DH17" i="2" s="1"/>
  <c r="CE21" i="2"/>
  <c r="CH14" i="2"/>
  <c r="CH11" i="2"/>
  <c r="CM18" i="2"/>
  <c r="BT15" i="2"/>
  <c r="BY14" i="2"/>
  <c r="DN14" i="2" s="1"/>
  <c r="CJ16" i="2"/>
  <c r="BQ10" i="2"/>
  <c r="BZ15" i="2"/>
  <c r="DP15" i="2" s="1"/>
  <c r="CL11" i="2"/>
  <c r="CI8" i="2"/>
  <c r="DO8" i="2" s="1"/>
  <c r="BV13" i="2"/>
  <c r="DL13" i="2" s="1"/>
  <c r="CP10" i="2"/>
  <c r="DQ10" i="2" s="1"/>
  <c r="BW14" i="2"/>
  <c r="DJ14" i="2" s="1"/>
  <c r="BO11" i="2"/>
  <c r="BO15" i="2"/>
  <c r="CB12" i="2"/>
  <c r="CF8" i="2"/>
  <c r="BQ7" i="2"/>
  <c r="BQ12" i="2"/>
  <c r="BU10" i="2"/>
  <c r="DH10" i="2" s="1"/>
  <c r="CC5" i="2"/>
  <c r="CN9" i="2"/>
  <c r="CM6" i="2"/>
  <c r="CM3" i="2"/>
  <c r="CL7" i="2"/>
  <c r="CE9" i="2"/>
  <c r="CF4" i="2"/>
  <c r="CF3" i="2"/>
  <c r="CA8" i="2"/>
  <c r="CH3" i="2"/>
  <c r="CG5" i="2"/>
  <c r="CC7" i="2"/>
  <c r="CN4" i="2"/>
  <c r="CC2" i="2"/>
  <c r="CN3" i="2"/>
  <c r="CL4" i="2"/>
  <c r="BZ2" i="2"/>
  <c r="DP2" i="2" s="1"/>
  <c r="BT4" i="2"/>
  <c r="DI31" i="2"/>
  <c r="CW31" i="2"/>
  <c r="DY36" i="2"/>
  <c r="DS35" i="2"/>
  <c r="CV35" i="2"/>
  <c r="EN35" i="2"/>
  <c r="DT35" i="2"/>
  <c r="ES35" i="2"/>
  <c r="DM27" i="2"/>
  <c r="CD26" i="2"/>
  <c r="CD24" i="2"/>
  <c r="CN22" i="2"/>
  <c r="CN20" i="2"/>
  <c r="DC32" i="2"/>
  <c r="EU32" i="2"/>
  <c r="DY32" i="2" s="1"/>
  <c r="BR24" i="2"/>
  <c r="CD20" i="2"/>
  <c r="CD18" i="2"/>
  <c r="ES30" i="2"/>
  <c r="CK24" i="2"/>
  <c r="CK22" i="2"/>
  <c r="BX22" i="2"/>
  <c r="DR22" i="2" s="1"/>
  <c r="BX20" i="2"/>
  <c r="DR20" i="2" s="1"/>
  <c r="BZ20" i="2"/>
  <c r="DP20" i="2" s="1"/>
  <c r="CH19" i="2"/>
  <c r="CD22" i="2"/>
  <c r="BR20" i="2"/>
  <c r="CE22" i="2"/>
  <c r="CJ20" i="2"/>
  <c r="CH21" i="2"/>
  <c r="CH17" i="2"/>
  <c r="CK16" i="2"/>
  <c r="CN19" i="2"/>
  <c r="BQ24" i="2"/>
  <c r="CI15" i="2"/>
  <c r="DO15" i="2" s="1"/>
  <c r="CL12" i="2"/>
  <c r="CM17" i="2"/>
  <c r="CM16" i="2"/>
  <c r="CN14" i="2"/>
  <c r="CK12" i="2"/>
  <c r="BV17" i="2"/>
  <c r="DL17" i="2" s="1"/>
  <c r="CB20" i="2"/>
  <c r="CA16" i="2"/>
  <c r="CG18" i="2"/>
  <c r="BZ14" i="2"/>
  <c r="DP14" i="2" s="1"/>
  <c r="BZ11" i="2"/>
  <c r="DP11" i="2" s="1"/>
  <c r="CE18" i="2"/>
  <c r="CP13" i="2"/>
  <c r="DQ13" i="2" s="1"/>
  <c r="BS19" i="2"/>
  <c r="CO13" i="2"/>
  <c r="DI13" i="2" s="1"/>
  <c r="CB16" i="2"/>
  <c r="CJ10" i="2"/>
  <c r="BR15" i="2"/>
  <c r="CO11" i="2"/>
  <c r="DI11" i="2" s="1"/>
  <c r="CJ15" i="2"/>
  <c r="CA12" i="2"/>
  <c r="CH10" i="2"/>
  <c r="CK11" i="2"/>
  <c r="CE10" i="2"/>
  <c r="CI14" i="2"/>
  <c r="DO14" i="2" s="1"/>
  <c r="CD11" i="2"/>
  <c r="CM8" i="2"/>
  <c r="BS17" i="2"/>
  <c r="CG9" i="2"/>
  <c r="BV16" i="2"/>
  <c r="DL16" i="2" s="1"/>
  <c r="BV11" i="2"/>
  <c r="DL11" i="2" s="1"/>
  <c r="CW35" i="2"/>
  <c r="BS11" i="2"/>
  <c r="BU9" i="2"/>
  <c r="DH9" i="2" s="1"/>
  <c r="BO3" i="2"/>
  <c r="CH8" i="2"/>
  <c r="BW6" i="2"/>
  <c r="DJ6" i="2" s="1"/>
  <c r="BS18" i="2"/>
  <c r="CD7" i="2"/>
  <c r="BZ5" i="2"/>
  <c r="DP5" i="2" s="1"/>
  <c r="BW9" i="2"/>
  <c r="DJ9" i="2" s="1"/>
  <c r="BP4" i="2"/>
  <c r="CN7" i="2"/>
  <c r="BU3" i="2"/>
  <c r="DH3" i="2" s="1"/>
  <c r="CE6" i="2"/>
  <c r="CE4" i="2"/>
  <c r="BT5" i="2"/>
  <c r="BR3" i="2"/>
  <c r="CP6" i="2"/>
  <c r="DQ6" i="2" s="1"/>
  <c r="BX4" i="2"/>
  <c r="DR4" i="2" s="1"/>
  <c r="BU2" i="2"/>
  <c r="BX3" i="2"/>
  <c r="DR3" i="2" s="1"/>
  <c r="BR2" i="2"/>
  <c r="CO2" i="2"/>
  <c r="CB3" i="2"/>
  <c r="CI4" i="2"/>
  <c r="DO4" i="2" s="1"/>
  <c r="EO34" i="2"/>
  <c r="DY35" i="2"/>
  <c r="CV34" i="2"/>
  <c r="EN34" i="2"/>
  <c r="DT34" i="2"/>
  <c r="DS34" i="2"/>
  <c r="DB31" i="2"/>
  <c r="ET31" i="2"/>
  <c r="CX31" i="2"/>
  <c r="EP31" i="2"/>
  <c r="ET34" i="2"/>
  <c r="CV32" i="2"/>
  <c r="EN32" i="2"/>
  <c r="DT32" i="2"/>
  <c r="DS32" i="2"/>
  <c r="CV28" i="2"/>
  <c r="ER35" i="2"/>
  <c r="ET33" i="2"/>
  <c r="CJ26" i="2"/>
  <c r="EP34" i="2"/>
  <c r="EU29" i="2"/>
  <c r="DC29" i="2"/>
  <c r="CD23" i="2"/>
  <c r="CX32" i="2"/>
  <c r="DA30" i="2"/>
  <c r="CL19" i="2"/>
  <c r="CM24" i="2"/>
  <c r="CH22" i="2"/>
  <c r="BZ19" i="2"/>
  <c r="DP19" i="2" s="1"/>
  <c r="CE19" i="2"/>
  <c r="ES28" i="2"/>
  <c r="CN21" i="2"/>
  <c r="CC19" i="2"/>
  <c r="BW22" i="2"/>
  <c r="DJ22" i="2" s="1"/>
  <c r="BY18" i="2"/>
  <c r="DN18" i="2" s="1"/>
  <c r="BY17" i="2"/>
  <c r="DN17" i="2" s="1"/>
  <c r="BO21" i="2"/>
  <c r="CP23" i="2"/>
  <c r="DQ23" i="2" s="1"/>
  <c r="BU19" i="2"/>
  <c r="DH19" i="2" s="1"/>
  <c r="CP22" i="2"/>
  <c r="DQ22" i="2" s="1"/>
  <c r="CH16" i="2"/>
  <c r="CO15" i="2"/>
  <c r="DI15" i="2" s="1"/>
  <c r="CG20" i="2"/>
  <c r="CE17" i="2"/>
  <c r="CE15" i="2"/>
  <c r="CE16" i="2"/>
  <c r="CF15" i="2"/>
  <c r="CJ24" i="2"/>
  <c r="CJ23" i="2"/>
  <c r="CF16" i="2"/>
  <c r="CM20" i="2"/>
  <c r="CA15" i="2"/>
  <c r="BR17" i="2"/>
  <c r="BR12" i="2"/>
  <c r="BR14" i="2"/>
  <c r="BP17" i="2"/>
  <c r="BW18" i="2"/>
  <c r="DJ18" i="2" s="1"/>
  <c r="BQ13" i="2"/>
  <c r="BV18" i="2"/>
  <c r="DL18" i="2" s="1"/>
  <c r="CA13" i="2"/>
  <c r="BT16" i="2"/>
  <c r="CB10" i="2"/>
  <c r="CM13" i="2"/>
  <c r="CG11" i="2"/>
  <c r="CK14" i="2"/>
  <c r="CJ11" i="2"/>
  <c r="BZ10" i="2"/>
  <c r="DP10" i="2" s="1"/>
  <c r="CC11" i="2"/>
  <c r="BP9" i="2"/>
  <c r="BS14" i="2"/>
  <c r="CD10" i="2"/>
  <c r="CE8" i="2"/>
  <c r="BO16" i="2"/>
  <c r="BY9" i="2"/>
  <c r="DN9" i="2" s="1"/>
  <c r="CO14" i="2"/>
  <c r="DI14" i="2" s="1"/>
  <c r="CB11" i="2"/>
  <c r="CC17" i="2"/>
  <c r="CO10" i="2"/>
  <c r="DI10" i="2" s="1"/>
  <c r="BQ8" i="2"/>
  <c r="CI3" i="2"/>
  <c r="DO3" i="2" s="1"/>
  <c r="BZ8" i="2"/>
  <c r="DP8" i="2" s="1"/>
  <c r="CP5" i="2"/>
  <c r="DQ5" i="2" s="1"/>
  <c r="CF9" i="2"/>
  <c r="BV7" i="2"/>
  <c r="DL7" i="2" s="1"/>
  <c r="CH4" i="2"/>
  <c r="BO9" i="2"/>
  <c r="BW3" i="2"/>
  <c r="DJ3" i="2" s="1"/>
  <c r="BS7" i="2"/>
  <c r="BO2" i="2"/>
  <c r="BO6" i="2"/>
  <c r="BO4" i="2"/>
  <c r="CB9" i="2"/>
  <c r="CP4" i="2"/>
  <c r="DQ4" i="2" s="1"/>
  <c r="BZ6" i="2"/>
  <c r="DP6" i="2" s="1"/>
  <c r="CP3" i="2"/>
  <c r="DQ3" i="2" s="1"/>
  <c r="BV2" i="2"/>
  <c r="DL2" i="2" s="1"/>
  <c r="CO6" i="2"/>
  <c r="DI6" i="2" s="1"/>
  <c r="BV4" i="2"/>
  <c r="DL4" i="2" s="1"/>
  <c r="CH2" i="2"/>
  <c r="BY2" i="2"/>
  <c r="DN2" i="2" s="1"/>
  <c r="BT2" i="2"/>
  <c r="CL2" i="2"/>
  <c r="CZ36" i="2"/>
  <c r="DK29" i="2"/>
  <c r="CZ29" i="2"/>
  <c r="ER29" i="2"/>
  <c r="DM29" i="2"/>
  <c r="DA29" i="2"/>
  <c r="ES29" i="2"/>
  <c r="CX30" i="2"/>
  <c r="EP30" i="2"/>
  <c r="CW33" i="2"/>
  <c r="EN36" i="2"/>
  <c r="EO30" i="2"/>
  <c r="BX23" i="2"/>
  <c r="DR23" i="2" s="1"/>
  <c r="BV26" i="2"/>
  <c r="DL26" i="2" s="1"/>
  <c r="CM25" i="2"/>
  <c r="CY32" i="2"/>
  <c r="EQ32" i="2"/>
  <c r="DI32" i="2"/>
  <c r="CH27" i="2"/>
  <c r="CC24" i="2"/>
  <c r="CC21" i="2"/>
  <c r="CD19" i="2"/>
  <c r="CE24" i="2"/>
  <c r="BZ22" i="2"/>
  <c r="DP22" i="2" s="1"/>
  <c r="BR19" i="2"/>
  <c r="CO22" i="2"/>
  <c r="DI22" i="2" s="1"/>
  <c r="CO18" i="2"/>
  <c r="DI18" i="2" s="1"/>
  <c r="CN18" i="2"/>
  <c r="BO22" i="2"/>
  <c r="CI20" i="2"/>
  <c r="DO20" i="2" s="1"/>
  <c r="CH23" i="2"/>
  <c r="CH18" i="2"/>
  <c r="CJ22" i="2"/>
  <c r="BR16" i="2"/>
  <c r="CG15" i="2"/>
  <c r="BY20" i="2"/>
  <c r="DN20" i="2" s="1"/>
  <c r="BW17" i="2"/>
  <c r="DJ17" i="2" s="1"/>
  <c r="BW16" i="2"/>
  <c r="DJ16" i="2" s="1"/>
  <c r="CF14" i="2"/>
  <c r="CJ25" i="2"/>
  <c r="BP16" i="2"/>
  <c r="CE20" i="2"/>
  <c r="CE14" i="2"/>
  <c r="CP16" i="2"/>
  <c r="DQ16" i="2" s="1"/>
  <c r="BR13" i="2"/>
  <c r="BP19" i="2"/>
  <c r="BO18" i="2"/>
  <c r="BV12" i="2"/>
  <c r="DL12" i="2" s="1"/>
  <c r="CP17" i="2"/>
  <c r="DQ17" i="2" s="1"/>
  <c r="CD12" i="2"/>
  <c r="CM14" i="2"/>
  <c r="BT10" i="2"/>
  <c r="CE13" i="2"/>
  <c r="BY11" i="2"/>
  <c r="DN11" i="2" s="1"/>
  <c r="CC14" i="2"/>
  <c r="CN10" i="2"/>
  <c r="BR10" i="2"/>
  <c r="BU11" i="2"/>
  <c r="DH11" i="2" s="1"/>
  <c r="CK18" i="2"/>
  <c r="CJ13" i="2"/>
  <c r="CD9" i="2"/>
  <c r="BW8" i="2"/>
  <c r="DJ8" i="2" s="1"/>
  <c r="BP12" i="2"/>
  <c r="BQ9" i="2"/>
  <c r="CG14" i="2"/>
  <c r="BT11" i="2"/>
  <c r="CO17" i="2"/>
  <c r="DI17" i="2" s="1"/>
  <c r="BV10" i="2"/>
  <c r="DL10" i="2" s="1"/>
  <c r="BS8" i="2"/>
  <c r="CA2" i="2"/>
  <c r="CA3" i="2"/>
  <c r="BZ7" i="2"/>
  <c r="DP7" i="2" s="1"/>
  <c r="CB5" i="2"/>
  <c r="BP8" i="2"/>
  <c r="CK6" i="2"/>
  <c r="BR4" i="2"/>
  <c r="BT7" i="2"/>
  <c r="CB2" i="2"/>
  <c r="CJ7" i="2"/>
  <c r="CJ6" i="2"/>
  <c r="BX9" i="2"/>
  <c r="DR9" i="2" s="1"/>
  <c r="CH5" i="2"/>
  <c r="CK8" i="2"/>
  <c r="BZ4" i="2"/>
  <c r="DP4" i="2" s="1"/>
  <c r="BT9" i="2"/>
  <c r="CE5" i="2"/>
  <c r="CC3" i="2"/>
  <c r="BU8" i="2"/>
  <c r="DH8" i="2" s="1"/>
  <c r="CG6" i="2"/>
  <c r="CI2" i="2"/>
  <c r="DO2" i="2" s="1"/>
  <c r="BR7" i="2"/>
  <c r="BQ2" i="2"/>
  <c r="CF2" i="2"/>
  <c r="CD2" i="2"/>
  <c r="BT26" i="1"/>
  <c r="DS26" i="1" s="1"/>
  <c r="BU27" i="1"/>
  <c r="DH27" i="1" s="1"/>
  <c r="BX27" i="1"/>
  <c r="DR27" i="1" s="1"/>
  <c r="DB37" i="1"/>
  <c r="EU31" i="1"/>
  <c r="DA34" i="1"/>
  <c r="CV31" i="1"/>
  <c r="EU29" i="1"/>
  <c r="EQ35" i="1"/>
  <c r="CY36" i="1"/>
  <c r="DB30" i="1"/>
  <c r="CW29" i="1"/>
  <c r="CX36" i="1"/>
  <c r="EO29" i="1"/>
  <c r="CV37" i="1"/>
  <c r="DT32" i="1"/>
  <c r="DS32" i="1"/>
  <c r="CW36" i="1"/>
  <c r="CV29" i="1"/>
  <c r="DP37" i="1"/>
  <c r="ET37" i="1"/>
  <c r="CY34" i="1"/>
  <c r="BP27" i="1"/>
  <c r="BZ27" i="1"/>
  <c r="DP27" i="1" s="1"/>
  <c r="CJ27" i="1"/>
  <c r="CC26" i="1"/>
  <c r="CP25" i="1"/>
  <c r="DQ25" i="1" s="1"/>
  <c r="CJ26" i="1"/>
  <c r="CJ25" i="1"/>
  <c r="CO27" i="1"/>
  <c r="DI27" i="1" s="1"/>
  <c r="CC27" i="1"/>
  <c r="BX23" i="1"/>
  <c r="DR23" i="1" s="1"/>
  <c r="BW21" i="1"/>
  <c r="DJ21" i="1" s="1"/>
  <c r="CG21" i="1"/>
  <c r="CK25" i="1"/>
  <c r="CK12" i="1"/>
  <c r="CF21" i="1"/>
  <c r="CC25" i="1"/>
  <c r="BV25" i="1"/>
  <c r="DL25" i="1" s="1"/>
  <c r="CH21" i="1"/>
  <c r="CD25" i="1"/>
  <c r="BY17" i="1"/>
  <c r="DN17" i="1" s="1"/>
  <c r="BV12" i="1"/>
  <c r="DL12" i="1" s="1"/>
  <c r="BV23" i="1"/>
  <c r="DL23" i="1" s="1"/>
  <c r="BY16" i="1"/>
  <c r="DN16" i="1" s="1"/>
  <c r="BY21" i="1"/>
  <c r="DN21" i="1" s="1"/>
  <c r="BY27" i="1"/>
  <c r="DN27" i="1" s="1"/>
  <c r="BY12" i="1"/>
  <c r="DN12" i="1" s="1"/>
  <c r="BY20" i="1"/>
  <c r="DN20" i="1" s="1"/>
  <c r="CL25" i="1"/>
  <c r="CA23" i="1"/>
  <c r="DK23" i="1" s="1"/>
  <c r="BS10" i="1"/>
  <c r="CD20" i="1"/>
  <c r="CL6" i="1"/>
  <c r="CH26" i="1"/>
  <c r="BY15" i="1"/>
  <c r="DN15" i="1" s="1"/>
  <c r="CH22" i="1"/>
  <c r="CE18" i="1"/>
  <c r="CD24" i="1"/>
  <c r="CL14" i="1"/>
  <c r="CO13" i="1"/>
  <c r="DI13" i="1" s="1"/>
  <c r="BT10" i="1"/>
  <c r="DT10" i="1" s="1"/>
  <c r="CJ20" i="1"/>
  <c r="CI19" i="1"/>
  <c r="DO19" i="1" s="1"/>
  <c r="CD16" i="1"/>
  <c r="CD17" i="1"/>
  <c r="CD22" i="1"/>
  <c r="CF14" i="1"/>
  <c r="CF19" i="1"/>
  <c r="CC20" i="1"/>
  <c r="CE6" i="1"/>
  <c r="CE15" i="1"/>
  <c r="CB24" i="1"/>
  <c r="CB21" i="1"/>
  <c r="CB25" i="1"/>
  <c r="CA15" i="1"/>
  <c r="DK15" i="1" s="1"/>
  <c r="CO26" i="1"/>
  <c r="DI26" i="1" s="1"/>
  <c r="CO16" i="1"/>
  <c r="DI16" i="1" s="1"/>
  <c r="BY11" i="1"/>
  <c r="DN11" i="1" s="1"/>
  <c r="BY6" i="1"/>
  <c r="DN6" i="1" s="1"/>
  <c r="CN27" i="1"/>
  <c r="DG27" i="1" s="1"/>
  <c r="BY13" i="1"/>
  <c r="DN13" i="1" s="1"/>
  <c r="CN26" i="1"/>
  <c r="DG26" i="1" s="1"/>
  <c r="CI26" i="1"/>
  <c r="DO26" i="1" s="1"/>
  <c r="BV15" i="1"/>
  <c r="DL15" i="1" s="1"/>
  <c r="BY25" i="1"/>
  <c r="DN25" i="1" s="1"/>
  <c r="CA21" i="1"/>
  <c r="DK21" i="1" s="1"/>
  <c r="CN20" i="1"/>
  <c r="DG20" i="1" s="1"/>
  <c r="BS4" i="1"/>
  <c r="BS5" i="1"/>
  <c r="BS2" i="1"/>
  <c r="CO17" i="1"/>
  <c r="DI17" i="1" s="1"/>
  <c r="BU7" i="1"/>
  <c r="DH7" i="1" s="1"/>
  <c r="BU11" i="1"/>
  <c r="DH11" i="1" s="1"/>
  <c r="CH27" i="1"/>
  <c r="BS19" i="1"/>
  <c r="BU6" i="1"/>
  <c r="DH6" i="1" s="1"/>
  <c r="BU19" i="1"/>
  <c r="DH19" i="1" s="1"/>
  <c r="BZ14" i="1"/>
  <c r="DP14" i="1" s="1"/>
  <c r="BR25" i="1"/>
  <c r="BW19" i="1"/>
  <c r="DJ19" i="1" s="1"/>
  <c r="BR22" i="1"/>
  <c r="CL15" i="1"/>
  <c r="CL22" i="1"/>
  <c r="CL20" i="1"/>
  <c r="BR19" i="1"/>
  <c r="BR26" i="1"/>
  <c r="BW20" i="1"/>
  <c r="DJ20" i="1" s="1"/>
  <c r="BQ25" i="1"/>
  <c r="CK27" i="1"/>
  <c r="BR12" i="1"/>
  <c r="BR21" i="1"/>
  <c r="CK26" i="1"/>
  <c r="BP20" i="1"/>
  <c r="CF9" i="1"/>
  <c r="BX20" i="1"/>
  <c r="DR20" i="1" s="1"/>
  <c r="BX22" i="1"/>
  <c r="DR22" i="1" s="1"/>
  <c r="CG15" i="1"/>
  <c r="CG16" i="1"/>
  <c r="CP16" i="1"/>
  <c r="DQ16" i="1" s="1"/>
  <c r="CP26" i="1"/>
  <c r="DQ26" i="1" s="1"/>
  <c r="CP27" i="1"/>
  <c r="DQ27" i="1" s="1"/>
  <c r="CG22" i="1"/>
  <c r="CG24" i="1"/>
  <c r="CC22" i="1"/>
  <c r="BR5" i="1"/>
  <c r="CG3" i="1"/>
  <c r="CG20" i="1"/>
  <c r="BY10" i="1"/>
  <c r="DN10" i="1" s="1"/>
  <c r="CM27" i="1"/>
  <c r="CP17" i="1"/>
  <c r="DQ17" i="1" s="1"/>
  <c r="CC16" i="1"/>
  <c r="BY26" i="1"/>
  <c r="DN26" i="1" s="1"/>
  <c r="BZ10" i="1"/>
  <c r="DP10" i="1" s="1"/>
  <c r="CD27" i="1"/>
  <c r="BR7" i="1"/>
  <c r="BQ13" i="1"/>
  <c r="CK18" i="1"/>
  <c r="CH28" i="1"/>
  <c r="CK22" i="1"/>
  <c r="BW27" i="1"/>
  <c r="DJ27" i="1" s="1"/>
  <c r="CH25" i="1"/>
  <c r="CC3" i="1"/>
  <c r="BR23" i="1"/>
  <c r="CG25" i="1"/>
  <c r="BU26" i="1"/>
  <c r="DH26" i="1" s="1"/>
  <c r="BR20" i="1"/>
  <c r="CG23" i="1"/>
  <c r="CK21" i="1"/>
  <c r="BQ18" i="1"/>
  <c r="CC23" i="1"/>
  <c r="CG26" i="1"/>
  <c r="BW23" i="1"/>
  <c r="DJ23" i="1" s="1"/>
  <c r="CC15" i="1"/>
  <c r="BW24" i="1"/>
  <c r="DJ24" i="1" s="1"/>
  <c r="BU21" i="1"/>
  <c r="DH21" i="1" s="1"/>
  <c r="CP12" i="1"/>
  <c r="DQ12" i="1" s="1"/>
  <c r="BU13" i="1"/>
  <c r="DH13" i="1" s="1"/>
  <c r="BW25" i="1"/>
  <c r="DJ25" i="1" s="1"/>
  <c r="CH20" i="1"/>
  <c r="CI12" i="1"/>
  <c r="DO12" i="1" s="1"/>
  <c r="BU18" i="1"/>
  <c r="DH18" i="1" s="1"/>
  <c r="CA20" i="1"/>
  <c r="DK20" i="1" s="1"/>
  <c r="CL26" i="1"/>
  <c r="BY23" i="1"/>
  <c r="DN23" i="1" s="1"/>
  <c r="CG27" i="1"/>
  <c r="BV17" i="1"/>
  <c r="DL17" i="1" s="1"/>
  <c r="BY22" i="1"/>
  <c r="DN22" i="1" s="1"/>
  <c r="CI3" i="1"/>
  <c r="DO3" i="1" s="1"/>
  <c r="BX25" i="1"/>
  <c r="DR25" i="1" s="1"/>
  <c r="BS23" i="1"/>
  <c r="CG18" i="1"/>
  <c r="BV27" i="1"/>
  <c r="DL27" i="1" s="1"/>
  <c r="CN19" i="1"/>
  <c r="DG19" i="1" s="1"/>
  <c r="BY14" i="1"/>
  <c r="DN14" i="1" s="1"/>
  <c r="BO26" i="1"/>
  <c r="DM26" i="1" s="1"/>
  <c r="BX13" i="1"/>
  <c r="DR13" i="1" s="1"/>
  <c r="CO5" i="1"/>
  <c r="DI5" i="1" s="1"/>
  <c r="CC28" i="1"/>
  <c r="CH24" i="1"/>
  <c r="BV26" i="1"/>
  <c r="DL26" i="1" s="1"/>
  <c r="BY24" i="1"/>
  <c r="DN24" i="1" s="1"/>
  <c r="BX24" i="1"/>
  <c r="DR24" i="1" s="1"/>
  <c r="CC14" i="1"/>
  <c r="BS26" i="1"/>
  <c r="CD3" i="1"/>
  <c r="BO5" i="1"/>
  <c r="DM5" i="1" s="1"/>
  <c r="CM16" i="1"/>
  <c r="CH17" i="1"/>
  <c r="CM5" i="1"/>
  <c r="CM14" i="1"/>
  <c r="CF26" i="1"/>
  <c r="BZ13" i="1"/>
  <c r="DP13" i="1" s="1"/>
  <c r="CP2" i="1"/>
  <c r="DQ2" i="1" s="1"/>
  <c r="CH23" i="1"/>
  <c r="BU14" i="1"/>
  <c r="DH14" i="1" s="1"/>
  <c r="CE23" i="1"/>
  <c r="BV18" i="1"/>
  <c r="DL18" i="1" s="1"/>
  <c r="BU24" i="1"/>
  <c r="DH24" i="1" s="1"/>
  <c r="BS27" i="1"/>
  <c r="BV19" i="1"/>
  <c r="DL19" i="1" s="1"/>
  <c r="CI15" i="1"/>
  <c r="DO15" i="1" s="1"/>
  <c r="CD23" i="1"/>
  <c r="BY7" i="1"/>
  <c r="DN7" i="1" s="1"/>
  <c r="BU22" i="1"/>
  <c r="DH22" i="1" s="1"/>
  <c r="CJ24" i="1"/>
  <c r="BT21" i="1"/>
  <c r="BR27" i="1"/>
  <c r="CH18" i="1"/>
  <c r="BW26" i="1"/>
  <c r="DJ26" i="1" s="1"/>
  <c r="BR17" i="1"/>
  <c r="BQ22" i="1"/>
  <c r="BP26" i="1"/>
  <c r="CK17" i="1"/>
  <c r="CC24" i="1"/>
  <c r="BX26" i="1"/>
  <c r="DR26" i="1" s="1"/>
  <c r="CN14" i="1"/>
  <c r="DG14" i="1" s="1"/>
  <c r="CC21" i="1"/>
  <c r="CC12" i="1"/>
  <c r="CL27" i="1"/>
  <c r="CJ23" i="1"/>
  <c r="BV16" i="1"/>
  <c r="DL16" i="1" s="1"/>
  <c r="BP25" i="1"/>
  <c r="BX21" i="1"/>
  <c r="DR21" i="1" s="1"/>
  <c r="CD19" i="1"/>
  <c r="CG19" i="1"/>
  <c r="CO8" i="1"/>
  <c r="DI8" i="1" s="1"/>
  <c r="BQ17" i="1"/>
  <c r="CC19" i="1"/>
  <c r="CN15" i="1"/>
  <c r="DG15" i="1" s="1"/>
  <c r="CI27" i="1"/>
  <c r="DO27" i="1" s="1"/>
  <c r="CI28" i="1"/>
  <c r="DO28" i="1" s="1"/>
  <c r="BV24" i="1"/>
  <c r="DL24" i="1" s="1"/>
  <c r="CM26" i="1"/>
  <c r="CH19" i="1"/>
  <c r="CK20" i="1"/>
  <c r="CK24" i="1"/>
  <c r="BR6" i="1"/>
  <c r="BT5" i="1"/>
  <c r="DS5" i="1" s="1"/>
  <c r="CA27" i="1"/>
  <c r="DK27" i="1" s="1"/>
  <c r="CA28" i="1"/>
  <c r="DK28" i="1" s="1"/>
  <c r="BW22" i="1"/>
  <c r="DJ22" i="1" s="1"/>
  <c r="CH15" i="1"/>
  <c r="CH16" i="1"/>
  <c r="CH11" i="1"/>
  <c r="CH8" i="1"/>
  <c r="CH9" i="1"/>
  <c r="CH12" i="1"/>
  <c r="CH10" i="1"/>
  <c r="CH3" i="1"/>
  <c r="ET32" i="1"/>
  <c r="DB32" i="1"/>
  <c r="CA5" i="1"/>
  <c r="EO32" i="1"/>
  <c r="DG32" i="1"/>
  <c r="CW32" i="1"/>
  <c r="CP7" i="1"/>
  <c r="DQ7" i="1" s="1"/>
  <c r="CP6" i="1"/>
  <c r="DQ6" i="1" s="1"/>
  <c r="CP5" i="1"/>
  <c r="DQ5" i="1" s="1"/>
  <c r="CN13" i="1"/>
  <c r="CP3" i="1"/>
  <c r="DQ3" i="1" s="1"/>
  <c r="CE20" i="1"/>
  <c r="CE16" i="1"/>
  <c r="CE14" i="1"/>
  <c r="CE13" i="1"/>
  <c r="CE12" i="1"/>
  <c r="DC32" i="1"/>
  <c r="EU32" i="1"/>
  <c r="CD15" i="1"/>
  <c r="CB19" i="1"/>
  <c r="CB18" i="1"/>
  <c r="CB15" i="1"/>
  <c r="CA2" i="1"/>
  <c r="EU34" i="1"/>
  <c r="DC34" i="1"/>
  <c r="EU33" i="1"/>
  <c r="DC33" i="1"/>
  <c r="CA6" i="1"/>
  <c r="CB20" i="1"/>
  <c r="CA3" i="1"/>
  <c r="DC35" i="1"/>
  <c r="EU35" i="1"/>
  <c r="CA13" i="1"/>
  <c r="CA8" i="1"/>
  <c r="CA7" i="1"/>
  <c r="CA11" i="1"/>
  <c r="CA12" i="1"/>
  <c r="CA9" i="1"/>
  <c r="CA4" i="1"/>
  <c r="BQ5" i="1"/>
  <c r="CH14" i="1"/>
  <c r="ES30" i="1"/>
  <c r="CE7" i="1"/>
  <c r="ET30" i="1"/>
  <c r="BQ4" i="1"/>
  <c r="BR4" i="1"/>
  <c r="CM23" i="1"/>
  <c r="CJ19" i="1"/>
  <c r="CJ13" i="1"/>
  <c r="CJ10" i="1"/>
  <c r="CJ12" i="1"/>
  <c r="CJ18" i="1"/>
  <c r="CJ9" i="1"/>
  <c r="CJ14" i="1"/>
  <c r="CJ15" i="1"/>
  <c r="CJ17" i="1"/>
  <c r="CJ16" i="1"/>
  <c r="CJ3" i="1"/>
  <c r="CB6" i="1"/>
  <c r="BO20" i="1"/>
  <c r="BO19" i="1"/>
  <c r="CE28" i="1"/>
  <c r="CE26" i="1"/>
  <c r="CE24" i="1"/>
  <c r="CE22" i="1"/>
  <c r="CE21" i="1"/>
  <c r="CE27" i="1"/>
  <c r="BP3" i="1"/>
  <c r="BP2" i="1"/>
  <c r="BP18" i="1"/>
  <c r="BP15" i="1"/>
  <c r="CI25" i="1"/>
  <c r="DO25" i="1" s="1"/>
  <c r="CI21" i="1"/>
  <c r="DO21" i="1" s="1"/>
  <c r="CI24" i="1"/>
  <c r="DO24" i="1" s="1"/>
  <c r="CI22" i="1"/>
  <c r="DO22" i="1" s="1"/>
  <c r="CI17" i="1"/>
  <c r="DO17" i="1" s="1"/>
  <c r="CI20" i="1"/>
  <c r="DO20" i="1" s="1"/>
  <c r="CI18" i="1"/>
  <c r="DO18" i="1" s="1"/>
  <c r="CI23" i="1"/>
  <c r="DO23" i="1" s="1"/>
  <c r="BQ27" i="1"/>
  <c r="BQ26" i="1"/>
  <c r="DA31" i="1"/>
  <c r="ES31" i="1"/>
  <c r="DM31" i="1"/>
  <c r="CK2" i="1"/>
  <c r="CG2" i="1"/>
  <c r="CE19" i="1"/>
  <c r="CX30" i="1"/>
  <c r="BS17" i="1"/>
  <c r="BS25" i="1"/>
  <c r="BZ18" i="1"/>
  <c r="DP18" i="1" s="1"/>
  <c r="CZ30" i="1"/>
  <c r="ER30" i="1"/>
  <c r="CB12" i="1"/>
  <c r="ER36" i="1"/>
  <c r="CZ36" i="1"/>
  <c r="DK36" i="1"/>
  <c r="EO36" i="1"/>
  <c r="CN12" i="1"/>
  <c r="CN11" i="1"/>
  <c r="CN10" i="1"/>
  <c r="CN3" i="1"/>
  <c r="CX35" i="1"/>
  <c r="EP35" i="1"/>
  <c r="DR36" i="1"/>
  <c r="DC36" i="1"/>
  <c r="EU36" i="1"/>
  <c r="EN36" i="1"/>
  <c r="BQ12" i="1"/>
  <c r="CK19" i="1"/>
  <c r="CK11" i="1"/>
  <c r="CK16" i="1"/>
  <c r="CK10" i="1"/>
  <c r="CK15" i="1"/>
  <c r="CK13" i="1"/>
  <c r="CK5" i="1"/>
  <c r="CK4" i="1"/>
  <c r="CJ11" i="1"/>
  <c r="ET33" i="1"/>
  <c r="DB33" i="1"/>
  <c r="ES36" i="1"/>
  <c r="DA36" i="1"/>
  <c r="DM36" i="1"/>
  <c r="CN25" i="1"/>
  <c r="CN24" i="1"/>
  <c r="CK9" i="1"/>
  <c r="BW6" i="1"/>
  <c r="DJ6" i="1" s="1"/>
  <c r="CF3" i="1"/>
  <c r="CF6" i="1"/>
  <c r="CA26" i="1"/>
  <c r="CA24" i="1"/>
  <c r="CA22" i="1"/>
  <c r="CF23" i="1"/>
  <c r="CF22" i="1"/>
  <c r="CI11" i="1"/>
  <c r="DO11" i="1" s="1"/>
  <c r="CI9" i="1"/>
  <c r="DO9" i="1" s="1"/>
  <c r="CI10" i="1"/>
  <c r="DO10" i="1" s="1"/>
  <c r="BX5" i="1"/>
  <c r="DR5" i="1" s="1"/>
  <c r="BO25" i="1"/>
  <c r="BO22" i="1"/>
  <c r="BO23" i="1"/>
  <c r="BO21" i="1"/>
  <c r="BO24" i="1"/>
  <c r="CA25" i="1"/>
  <c r="BQ21" i="1"/>
  <c r="BQ20" i="1"/>
  <c r="BQ19" i="1"/>
  <c r="BP4" i="1"/>
  <c r="BO13" i="1"/>
  <c r="BO12" i="1"/>
  <c r="BO10" i="1"/>
  <c r="BO11" i="1"/>
  <c r="BO9" i="1"/>
  <c r="CF11" i="1"/>
  <c r="BZ15" i="1"/>
  <c r="DP15" i="1" s="1"/>
  <c r="BS18" i="1"/>
  <c r="BS24" i="1"/>
  <c r="BS20" i="1"/>
  <c r="BS21" i="1"/>
  <c r="BQ9" i="1"/>
  <c r="DJ34" i="1"/>
  <c r="EN34" i="1"/>
  <c r="EQ34" i="1"/>
  <c r="CV34" i="1"/>
  <c r="BZ26" i="1"/>
  <c r="DP26" i="1" s="1"/>
  <c r="BZ25" i="1"/>
  <c r="DP25" i="1" s="1"/>
  <c r="BP13" i="1"/>
  <c r="BP11" i="1"/>
  <c r="EO31" i="1"/>
  <c r="CW31" i="1"/>
  <c r="DG31" i="1"/>
  <c r="CG14" i="1"/>
  <c r="CG12" i="1"/>
  <c r="CG13" i="1"/>
  <c r="CJ2" i="1"/>
  <c r="ES34" i="1"/>
  <c r="BW18" i="1"/>
  <c r="DJ18" i="1" s="1"/>
  <c r="BW17" i="1"/>
  <c r="DJ17" i="1" s="1"/>
  <c r="BW16" i="1"/>
  <c r="DJ16" i="1" s="1"/>
  <c r="BW12" i="1"/>
  <c r="DJ12" i="1" s="1"/>
  <c r="BW11" i="1"/>
  <c r="DJ11" i="1" s="1"/>
  <c r="BW15" i="1"/>
  <c r="DJ15" i="1" s="1"/>
  <c r="BX6" i="1"/>
  <c r="DR6" i="1" s="1"/>
  <c r="CH13" i="1"/>
  <c r="ER33" i="1"/>
  <c r="DK33" i="1"/>
  <c r="CZ33" i="1"/>
  <c r="CA14" i="1"/>
  <c r="CD10" i="1"/>
  <c r="CD9" i="1"/>
  <c r="CD6" i="1"/>
  <c r="CD8" i="1"/>
  <c r="CD4" i="1"/>
  <c r="CD7" i="1"/>
  <c r="CD2" i="1"/>
  <c r="CB23" i="1"/>
  <c r="CB22" i="1"/>
  <c r="BP8" i="1"/>
  <c r="BP6" i="1"/>
  <c r="BP5" i="1"/>
  <c r="CP24" i="1"/>
  <c r="DQ24" i="1" s="1"/>
  <c r="CP23" i="1"/>
  <c r="DQ23" i="1" s="1"/>
  <c r="CO7" i="1"/>
  <c r="DI7" i="1" s="1"/>
  <c r="CO6" i="1"/>
  <c r="DI6" i="1" s="1"/>
  <c r="CO2" i="1"/>
  <c r="DI2" i="1" s="1"/>
  <c r="CO3" i="1"/>
  <c r="DI3" i="1" s="1"/>
  <c r="BW9" i="1"/>
  <c r="DJ9" i="1" s="1"/>
  <c r="CD11" i="1"/>
  <c r="CE17" i="1"/>
  <c r="DA30" i="1"/>
  <c r="BX10" i="1"/>
  <c r="DR10" i="1" s="1"/>
  <c r="BO7" i="1"/>
  <c r="BO4" i="1"/>
  <c r="BO6" i="1"/>
  <c r="CM4" i="1"/>
  <c r="CM8" i="1"/>
  <c r="CM3" i="1"/>
  <c r="CM7" i="1"/>
  <c r="CI5" i="1"/>
  <c r="DO5" i="1" s="1"/>
  <c r="CI6" i="1"/>
  <c r="DO6" i="1" s="1"/>
  <c r="CI7" i="1"/>
  <c r="DO7" i="1" s="1"/>
  <c r="CI4" i="1"/>
  <c r="DO4" i="1" s="1"/>
  <c r="CI2" i="1"/>
  <c r="DO2" i="1" s="1"/>
  <c r="CE25" i="1"/>
  <c r="BW4" i="1"/>
  <c r="DJ4" i="1" s="1"/>
  <c r="BZ9" i="1"/>
  <c r="DP9" i="1" s="1"/>
  <c r="CL17" i="1"/>
  <c r="CL12" i="1"/>
  <c r="CL5" i="1"/>
  <c r="CL9" i="1"/>
  <c r="CL11" i="1"/>
  <c r="CL4" i="1"/>
  <c r="CL2" i="1"/>
  <c r="CL13" i="1"/>
  <c r="CL16" i="1"/>
  <c r="BT16" i="1"/>
  <c r="BT13" i="1"/>
  <c r="BV8" i="1"/>
  <c r="DL8" i="1" s="1"/>
  <c r="BV4" i="1"/>
  <c r="DL4" i="1" s="1"/>
  <c r="BV6" i="1"/>
  <c r="DL6" i="1" s="1"/>
  <c r="BV5" i="1"/>
  <c r="DL5" i="1" s="1"/>
  <c r="BZ16" i="1"/>
  <c r="DP16" i="1" s="1"/>
  <c r="CI8" i="1"/>
  <c r="DO8" i="1" s="1"/>
  <c r="BQ16" i="1"/>
  <c r="BQ15" i="1"/>
  <c r="BQ14" i="1"/>
  <c r="BQ10" i="1"/>
  <c r="BQ11" i="1"/>
  <c r="BZ7" i="1"/>
  <c r="DP7" i="1" s="1"/>
  <c r="ES29" i="1"/>
  <c r="DA29" i="1"/>
  <c r="CY30" i="1"/>
  <c r="EQ30" i="1"/>
  <c r="BW14" i="1"/>
  <c r="DJ14" i="1" s="1"/>
  <c r="CF4" i="1"/>
  <c r="DS30" i="1"/>
  <c r="DT30" i="1"/>
  <c r="EN30" i="1"/>
  <c r="CV30" i="1"/>
  <c r="CM15" i="1"/>
  <c r="CM13" i="1"/>
  <c r="BR16" i="1"/>
  <c r="BR15" i="1"/>
  <c r="BR14" i="1"/>
  <c r="BR13" i="1"/>
  <c r="BR11" i="1"/>
  <c r="CB27" i="1"/>
  <c r="CB26" i="1"/>
  <c r="CM9" i="1"/>
  <c r="CE11" i="1"/>
  <c r="BP9" i="1"/>
  <c r="CF13" i="1"/>
  <c r="BS6" i="1"/>
  <c r="BS3" i="1"/>
  <c r="BS8" i="1"/>
  <c r="CN23" i="1"/>
  <c r="BS16" i="1"/>
  <c r="BZ5" i="1"/>
  <c r="DP5" i="1" s="1"/>
  <c r="BZ2" i="1"/>
  <c r="DP2" i="1" s="1"/>
  <c r="BZ3" i="1"/>
  <c r="DP3" i="1" s="1"/>
  <c r="BZ8" i="1"/>
  <c r="DP8" i="1" s="1"/>
  <c r="BZ4" i="1"/>
  <c r="DP4" i="1" s="1"/>
  <c r="BZ6" i="1"/>
  <c r="DP6" i="1" s="1"/>
  <c r="CO14" i="1"/>
  <c r="DI14" i="1" s="1"/>
  <c r="BP12" i="1"/>
  <c r="CB7" i="1"/>
  <c r="CB10" i="1"/>
  <c r="CB3" i="1"/>
  <c r="CB8" i="1"/>
  <c r="BS14" i="1"/>
  <c r="BV2" i="1"/>
  <c r="DL2" i="1" s="1"/>
  <c r="BV3" i="1"/>
  <c r="DL3" i="1" s="1"/>
  <c r="DJ32" i="1"/>
  <c r="CV32" i="1"/>
  <c r="EN32" i="1"/>
  <c r="BS12" i="1"/>
  <c r="BS11" i="1"/>
  <c r="BZ24" i="1"/>
  <c r="DP24" i="1" s="1"/>
  <c r="BZ22" i="1"/>
  <c r="DP22" i="1" s="1"/>
  <c r="CF10" i="1"/>
  <c r="CF7" i="1"/>
  <c r="CF8" i="1"/>
  <c r="CF2" i="1"/>
  <c r="DG30" i="1"/>
  <c r="CW30" i="1"/>
  <c r="EO30" i="1"/>
  <c r="BW13" i="1"/>
  <c r="DJ13" i="1" s="1"/>
  <c r="BZ23" i="1"/>
  <c r="DP23" i="1" s="1"/>
  <c r="BX19" i="1"/>
  <c r="DR19" i="1" s="1"/>
  <c r="BX12" i="1"/>
  <c r="DR12" i="1" s="1"/>
  <c r="BX17" i="1"/>
  <c r="DR17" i="1" s="1"/>
  <c r="BX18" i="1"/>
  <c r="DR18" i="1" s="1"/>
  <c r="BX16" i="1"/>
  <c r="DR16" i="1" s="1"/>
  <c r="BX14" i="1"/>
  <c r="DR14" i="1" s="1"/>
  <c r="BX15" i="1"/>
  <c r="DR15" i="1" s="1"/>
  <c r="CE10" i="1"/>
  <c r="CE9" i="1"/>
  <c r="CE2" i="1"/>
  <c r="CE8" i="1"/>
  <c r="CC13" i="1"/>
  <c r="CC6" i="1"/>
  <c r="BS22" i="1"/>
  <c r="BP10" i="1"/>
  <c r="BR10" i="1"/>
  <c r="CK14" i="1"/>
  <c r="BO18" i="1"/>
  <c r="BS7" i="1"/>
  <c r="CM6" i="1"/>
  <c r="BZ21" i="1"/>
  <c r="DP21" i="1" s="1"/>
  <c r="BZ20" i="1"/>
  <c r="DP20" i="1" s="1"/>
  <c r="CM21" i="1"/>
  <c r="BX4" i="1"/>
  <c r="DR4" i="1" s="1"/>
  <c r="BX3" i="1"/>
  <c r="DR3" i="1" s="1"/>
  <c r="BX2" i="1"/>
  <c r="DR2" i="1" s="1"/>
  <c r="BZ11" i="1"/>
  <c r="DP11" i="1" s="1"/>
  <c r="BT8" i="1"/>
  <c r="CL10" i="1"/>
  <c r="BX11" i="1"/>
  <c r="DR11" i="1" s="1"/>
  <c r="CN22" i="1"/>
  <c r="DG34" i="1"/>
  <c r="CW34" i="1"/>
  <c r="EO34" i="1"/>
  <c r="BS15" i="1"/>
  <c r="CO12" i="1"/>
  <c r="DI12" i="1" s="1"/>
  <c r="CO11" i="1"/>
  <c r="DI11" i="1" s="1"/>
  <c r="CO10" i="1"/>
  <c r="DI10" i="1" s="1"/>
  <c r="BT4" i="1"/>
  <c r="BT3" i="1"/>
  <c r="BQ3" i="1"/>
  <c r="ET31" i="1"/>
  <c r="DB31" i="1"/>
  <c r="BO14" i="1"/>
  <c r="CD18" i="1"/>
  <c r="CK23" i="1"/>
  <c r="CB9" i="1"/>
  <c r="BP19" i="1"/>
  <c r="BT22" i="1"/>
  <c r="BT19" i="1"/>
  <c r="EN35" i="1"/>
  <c r="CV35" i="1"/>
  <c r="DT35" i="1"/>
  <c r="DS35" i="1"/>
  <c r="DT28" i="1"/>
  <c r="DS28" i="1"/>
  <c r="CV28" i="1"/>
  <c r="EN28" i="1"/>
  <c r="CP22" i="1"/>
  <c r="DQ22" i="1" s="1"/>
  <c r="CM12" i="1"/>
  <c r="CM11" i="1"/>
  <c r="CM10" i="1"/>
  <c r="CL3" i="1"/>
  <c r="DM33" i="1"/>
  <c r="ES33" i="1"/>
  <c r="DA33" i="1"/>
  <c r="BP16" i="1"/>
  <c r="CC11" i="1"/>
  <c r="DC29" i="1"/>
  <c r="CE5" i="1"/>
  <c r="CC17" i="1"/>
  <c r="CC10" i="1"/>
  <c r="CE3" i="1"/>
  <c r="CD21" i="1"/>
  <c r="CM17" i="1"/>
  <c r="BZ19" i="1"/>
  <c r="DP19" i="1" s="1"/>
  <c r="EQ33" i="1"/>
  <c r="CY33" i="1"/>
  <c r="BU17" i="1"/>
  <c r="DH17" i="1" s="1"/>
  <c r="BV22" i="1"/>
  <c r="DL22" i="1" s="1"/>
  <c r="CM2" i="1"/>
  <c r="CX34" i="1"/>
  <c r="BR3" i="1"/>
  <c r="BR2" i="1"/>
  <c r="CF27" i="1"/>
  <c r="DA32" i="1"/>
  <c r="ES32" i="1"/>
  <c r="DM32" i="1"/>
  <c r="CY32" i="1"/>
  <c r="EQ32" i="1"/>
  <c r="CD28" i="1"/>
  <c r="CD26" i="1"/>
  <c r="CK7" i="1"/>
  <c r="CK8" i="1"/>
  <c r="BT14" i="1"/>
  <c r="BT15" i="1"/>
  <c r="CL18" i="1"/>
  <c r="CG9" i="1"/>
  <c r="BP17" i="1"/>
  <c r="CB4" i="1"/>
  <c r="BU4" i="1"/>
  <c r="DH4" i="1" s="1"/>
  <c r="BU3" i="1"/>
  <c r="DH3" i="1" s="1"/>
  <c r="BU2" i="1"/>
  <c r="DH2" i="1" s="1"/>
  <c r="BP24" i="1"/>
  <c r="CC4" i="1"/>
  <c r="BU15" i="1"/>
  <c r="DH15" i="1" s="1"/>
  <c r="CN7" i="1"/>
  <c r="CC7" i="1"/>
  <c r="CC9" i="1"/>
  <c r="CC5" i="1"/>
  <c r="BP23" i="1"/>
  <c r="CF16" i="1"/>
  <c r="CF25" i="1"/>
  <c r="CJ5" i="1"/>
  <c r="CJ6" i="1"/>
  <c r="CJ7" i="1"/>
  <c r="CO21" i="1"/>
  <c r="DI21" i="1" s="1"/>
  <c r="CP9" i="1"/>
  <c r="DQ9" i="1" s="1"/>
  <c r="CP13" i="1"/>
  <c r="DQ13" i="1" s="1"/>
  <c r="CP10" i="1"/>
  <c r="DQ10" i="1" s="1"/>
  <c r="BQ2" i="1"/>
  <c r="EQ29" i="1"/>
  <c r="CY29" i="1"/>
  <c r="CF18" i="1"/>
  <c r="BV21" i="1"/>
  <c r="DL21" i="1" s="1"/>
  <c r="CO25" i="1"/>
  <c r="DI25" i="1" s="1"/>
  <c r="BQ23" i="1"/>
  <c r="CN6" i="1"/>
  <c r="CO24" i="1"/>
  <c r="DI24" i="1" s="1"/>
  <c r="CZ35" i="1"/>
  <c r="ER35" i="1"/>
  <c r="DY35" i="1" s="1"/>
  <c r="DK35" i="1"/>
  <c r="BP21" i="1"/>
  <c r="CL21" i="1"/>
  <c r="CP14" i="1"/>
  <c r="DQ14" i="1" s="1"/>
  <c r="BP22" i="1"/>
  <c r="CB16" i="1"/>
  <c r="CP18" i="1"/>
  <c r="DQ18" i="1" s="1"/>
  <c r="DB36" i="1"/>
  <c r="ET36" i="1"/>
  <c r="EN31" i="1"/>
  <c r="BQ24" i="1"/>
  <c r="CN21" i="1"/>
  <c r="BT17" i="1"/>
  <c r="BY19" i="1"/>
  <c r="DN19" i="1" s="1"/>
  <c r="BY18" i="1"/>
  <c r="DN18" i="1" s="1"/>
  <c r="CZ29" i="1"/>
  <c r="DK29" i="1"/>
  <c r="ER29" i="1"/>
  <c r="CP20" i="1"/>
  <c r="DQ20" i="1" s="1"/>
  <c r="CA17" i="1"/>
  <c r="BV14" i="1"/>
  <c r="DL14" i="1" s="1"/>
  <c r="CG17" i="1"/>
  <c r="CF12" i="1"/>
  <c r="CC18" i="1"/>
  <c r="BU12" i="1"/>
  <c r="DH12" i="1" s="1"/>
  <c r="CJ21" i="1"/>
  <c r="CJ22" i="1"/>
  <c r="BU8" i="1"/>
  <c r="DH8" i="1" s="1"/>
  <c r="CB17" i="1"/>
  <c r="CB2" i="1"/>
  <c r="CP19" i="1"/>
  <c r="DQ19" i="1" s="1"/>
  <c r="CP21" i="1"/>
  <c r="DQ21" i="1" s="1"/>
  <c r="BT18" i="1"/>
  <c r="BV7" i="1"/>
  <c r="DL7" i="1" s="1"/>
  <c r="BU20" i="1"/>
  <c r="DH20" i="1" s="1"/>
  <c r="BV13" i="1"/>
  <c r="DL13" i="1" s="1"/>
  <c r="CG8" i="1"/>
  <c r="EP34" i="1"/>
  <c r="CO22" i="1"/>
  <c r="DI22" i="1" s="1"/>
  <c r="CO20" i="1"/>
  <c r="DI20" i="1" s="1"/>
  <c r="CF28" i="1"/>
  <c r="EU28" i="1" s="1"/>
  <c r="CF24" i="1"/>
  <c r="CB14" i="1"/>
  <c r="BO8" i="1"/>
  <c r="CO18" i="1"/>
  <c r="DI18" i="1" s="1"/>
  <c r="DI35" i="1"/>
  <c r="CW35" i="1"/>
  <c r="DC30" i="1"/>
  <c r="EU30" i="1"/>
  <c r="BQ8" i="1"/>
  <c r="CP11" i="1"/>
  <c r="DQ11" i="1" s="1"/>
  <c r="CD14" i="1"/>
  <c r="CN17" i="1"/>
  <c r="CF17" i="1"/>
  <c r="CB5" i="1"/>
  <c r="CD12" i="1"/>
  <c r="DY37" i="1"/>
  <c r="BT2" i="1"/>
  <c r="CN8" i="1"/>
  <c r="CN9" i="1"/>
  <c r="CH6" i="1"/>
  <c r="CH4" i="1"/>
  <c r="CH5" i="1"/>
  <c r="CH7" i="1"/>
  <c r="CL24" i="1"/>
  <c r="BU10" i="1"/>
  <c r="DH10" i="1" s="1"/>
  <c r="BU16" i="1"/>
  <c r="DH16" i="1" s="1"/>
  <c r="BT7" i="1"/>
  <c r="CW33" i="1"/>
  <c r="EO33" i="1"/>
  <c r="DG33" i="1"/>
  <c r="BO27" i="1"/>
  <c r="ET34" i="1"/>
  <c r="DB34" i="1"/>
  <c r="CM22" i="1"/>
  <c r="BO3" i="1"/>
  <c r="BS13" i="1"/>
  <c r="CL7" i="1"/>
  <c r="CL8" i="1"/>
  <c r="CN18" i="1"/>
  <c r="CO4" i="1"/>
  <c r="DI4" i="1" s="1"/>
  <c r="CP15" i="1"/>
  <c r="DQ15" i="1" s="1"/>
  <c r="BV20" i="1"/>
  <c r="DL20" i="1" s="1"/>
  <c r="BU25" i="1"/>
  <c r="DH25" i="1" s="1"/>
  <c r="EP29" i="1"/>
  <c r="CX29" i="1"/>
  <c r="BO16" i="1"/>
  <c r="CC8" i="1"/>
  <c r="BW8" i="1"/>
  <c r="DJ8" i="1" s="1"/>
  <c r="CD13" i="1"/>
  <c r="BT20" i="1"/>
  <c r="CA10" i="1"/>
  <c r="BT6" i="1"/>
  <c r="BZ12" i="1"/>
  <c r="DP12" i="1" s="1"/>
  <c r="CL19" i="1"/>
  <c r="CI16" i="1"/>
  <c r="DO16" i="1" s="1"/>
  <c r="BP14" i="1"/>
  <c r="CM25" i="1"/>
  <c r="BX9" i="1"/>
  <c r="DR9" i="1" s="1"/>
  <c r="BX8" i="1"/>
  <c r="DR8" i="1" s="1"/>
  <c r="BX7" i="1"/>
  <c r="DR7" i="1" s="1"/>
  <c r="CM20" i="1"/>
  <c r="CM18" i="1"/>
  <c r="BT24" i="1"/>
  <c r="BT23" i="1"/>
  <c r="CA18" i="1"/>
  <c r="BW3" i="1"/>
  <c r="DJ3" i="1" s="1"/>
  <c r="BW2" i="1"/>
  <c r="DJ2" i="1" s="1"/>
  <c r="CO9" i="1"/>
  <c r="DI9" i="1" s="1"/>
  <c r="CD5" i="1"/>
  <c r="EQ31" i="1"/>
  <c r="CY31" i="1"/>
  <c r="CF15" i="1"/>
  <c r="CF20" i="1"/>
  <c r="CL23" i="1"/>
  <c r="BU9" i="1"/>
  <c r="DH9" i="1" s="1"/>
  <c r="BV10" i="1"/>
  <c r="DL10" i="1" s="1"/>
  <c r="BV11" i="1"/>
  <c r="DL11" i="1" s="1"/>
  <c r="CI13" i="1"/>
  <c r="DO13" i="1" s="1"/>
  <c r="EN33" i="1"/>
  <c r="CV33" i="1"/>
  <c r="DT33" i="1"/>
  <c r="DS33" i="1"/>
  <c r="CX33" i="1"/>
  <c r="BZ17" i="1"/>
  <c r="DP17" i="1" s="1"/>
  <c r="DA28" i="1"/>
  <c r="DM28" i="1"/>
  <c r="ES28" i="1"/>
  <c r="CG6" i="1"/>
  <c r="CG7" i="1"/>
  <c r="CG4" i="1"/>
  <c r="BW10" i="1"/>
  <c r="DJ10" i="1" s="1"/>
  <c r="BP7" i="1"/>
  <c r="BR8" i="1"/>
  <c r="BR24" i="1"/>
  <c r="BR18" i="1"/>
  <c r="DB35" i="1"/>
  <c r="ET35" i="1"/>
  <c r="EP30" i="1"/>
  <c r="BY8" i="1"/>
  <c r="DN8" i="1" s="1"/>
  <c r="BY5" i="1"/>
  <c r="DN5" i="1" s="1"/>
  <c r="BY3" i="1"/>
  <c r="DN3" i="1" s="1"/>
  <c r="BY2" i="1"/>
  <c r="DN2" i="1" s="1"/>
  <c r="CN16" i="1"/>
  <c r="EP31" i="1"/>
  <c r="CX31" i="1"/>
  <c r="BO17" i="1"/>
  <c r="CF5" i="1"/>
  <c r="BW7" i="1"/>
  <c r="DJ7" i="1" s="1"/>
  <c r="CN4" i="1"/>
  <c r="CO23" i="1"/>
  <c r="DI23" i="1" s="1"/>
  <c r="CG5" i="1"/>
  <c r="CA19" i="1"/>
  <c r="DK34" i="1"/>
  <c r="CZ34" i="1"/>
  <c r="ER34" i="1"/>
  <c r="BT9" i="1"/>
  <c r="CO19" i="1"/>
  <c r="DI19" i="1" s="1"/>
  <c r="CG11" i="1"/>
  <c r="CG10" i="1"/>
  <c r="CB11" i="1"/>
  <c r="CO15" i="1"/>
  <c r="DI15" i="1" s="1"/>
  <c r="EP32" i="1"/>
  <c r="CX32" i="1"/>
  <c r="BT12" i="1"/>
  <c r="BT11" i="1"/>
  <c r="CM19" i="1"/>
  <c r="BS9" i="1"/>
  <c r="CM24" i="1"/>
  <c r="BQ7" i="1"/>
  <c r="BT25" i="1"/>
  <c r="DB29" i="1"/>
  <c r="ET29" i="1"/>
  <c r="CN2" i="1"/>
  <c r="DG2" i="1" s="1"/>
  <c r="CJ8" i="1"/>
  <c r="CP4" i="1"/>
  <c r="DQ4" i="1" s="1"/>
  <c r="CB13" i="1"/>
  <c r="BV9" i="1"/>
  <c r="DL9" i="1" s="1"/>
  <c r="CK6" i="1"/>
  <c r="ES35" i="1"/>
  <c r="DA35" i="1"/>
  <c r="DM35" i="1"/>
  <c r="BQ6" i="1"/>
  <c r="CJ4" i="1"/>
  <c r="BU23" i="1"/>
  <c r="DH23" i="1" s="1"/>
  <c r="BY9" i="1"/>
  <c r="DN9" i="1" s="1"/>
  <c r="CP8" i="1"/>
  <c r="DQ8" i="1" s="1"/>
  <c r="CI14" i="1"/>
  <c r="DO14" i="1" s="1"/>
  <c r="BU5" i="1"/>
  <c r="DH5" i="1" s="1"/>
  <c r="DC31" i="1"/>
  <c r="BO15" i="1"/>
  <c r="BY4" i="1"/>
  <c r="DN4" i="1" s="1"/>
  <c r="CH2" i="1"/>
  <c r="CA16" i="1"/>
  <c r="CN5" i="1"/>
  <c r="CK3" i="1"/>
  <c r="CE4" i="1"/>
  <c r="BW5" i="1"/>
  <c r="DJ5" i="1" s="1"/>
  <c r="CC2" i="1"/>
  <c r="CZ2" i="2" l="1"/>
  <c r="DH2" i="2"/>
  <c r="CV2" i="2"/>
  <c r="CW2" i="2"/>
  <c r="CY2" i="2"/>
  <c r="DJ2" i="2"/>
  <c r="DI2" i="2"/>
  <c r="DS26" i="2"/>
  <c r="DI9" i="3"/>
  <c r="DQ11" i="3"/>
  <c r="DI22" i="3"/>
  <c r="DI2" i="3"/>
  <c r="DQ16" i="3"/>
  <c r="DI13" i="3"/>
  <c r="DQ9" i="3"/>
  <c r="DI6" i="3"/>
  <c r="DI24" i="3"/>
  <c r="DI17" i="3"/>
  <c r="DI20" i="3"/>
  <c r="DQ21" i="3"/>
  <c r="DQ20" i="3"/>
  <c r="DG22" i="3"/>
  <c r="DQ19" i="3"/>
  <c r="DQ25" i="3"/>
  <c r="DQ24" i="3"/>
  <c r="DQ5" i="3"/>
  <c r="DI8" i="3"/>
  <c r="DG9" i="3"/>
  <c r="DQ6" i="3"/>
  <c r="DQ22" i="3"/>
  <c r="DQ13" i="3"/>
  <c r="DG7" i="3"/>
  <c r="DI27" i="3"/>
  <c r="DQ4" i="3"/>
  <c r="DQ17" i="3"/>
  <c r="DI12" i="3"/>
  <c r="DI10" i="3"/>
  <c r="DQ14" i="3"/>
  <c r="DI16" i="3"/>
  <c r="DI25" i="3"/>
  <c r="DI19" i="3"/>
  <c r="DI3" i="3"/>
  <c r="DQ2" i="3"/>
  <c r="DI4" i="3"/>
  <c r="DI5" i="3"/>
  <c r="DI11" i="3"/>
  <c r="DI21" i="3"/>
  <c r="DI14" i="3"/>
  <c r="DI15" i="3"/>
  <c r="DI18" i="3"/>
  <c r="DI28" i="3"/>
  <c r="DG19" i="3"/>
  <c r="DG5" i="3"/>
  <c r="DQ18" i="3"/>
  <c r="DQ10" i="3"/>
  <c r="DQ15" i="3"/>
  <c r="DI7" i="3"/>
  <c r="DQ7" i="3"/>
  <c r="DI23" i="3"/>
  <c r="DQ3" i="3"/>
  <c r="DQ12" i="3"/>
  <c r="DI26" i="3"/>
  <c r="DQ8" i="3"/>
  <c r="DQ26" i="3"/>
  <c r="DQ27" i="3"/>
  <c r="EP27" i="3"/>
  <c r="DT26" i="3"/>
  <c r="DT25" i="2"/>
  <c r="DT27" i="3"/>
  <c r="EQ26" i="2"/>
  <c r="DT12" i="2"/>
  <c r="DS6" i="2"/>
  <c r="EO27" i="3"/>
  <c r="EP27" i="2"/>
  <c r="ER24" i="3"/>
  <c r="CV27" i="2"/>
  <c r="CZ27" i="2"/>
  <c r="CY20" i="3"/>
  <c r="ET27" i="3"/>
  <c r="DS12" i="3"/>
  <c r="DA23" i="2"/>
  <c r="CX25" i="2"/>
  <c r="EO28" i="2"/>
  <c r="CZ25" i="3"/>
  <c r="EU27" i="3"/>
  <c r="CX23" i="3"/>
  <c r="DT23" i="3"/>
  <c r="DS23" i="3"/>
  <c r="CW28" i="2"/>
  <c r="DA27" i="2"/>
  <c r="EQ28" i="2"/>
  <c r="DY28" i="2" s="1"/>
  <c r="DT23" i="2"/>
  <c r="CY28" i="2"/>
  <c r="DT20" i="2"/>
  <c r="DS24" i="2"/>
  <c r="DT16" i="3"/>
  <c r="CX25" i="3"/>
  <c r="DT26" i="1"/>
  <c r="DB27" i="3"/>
  <c r="ES25" i="2"/>
  <c r="ES27" i="2"/>
  <c r="CX27" i="2"/>
  <c r="CZ26" i="3"/>
  <c r="CZ23" i="3"/>
  <c r="DT27" i="2"/>
  <c r="DS27" i="2"/>
  <c r="EQ20" i="3"/>
  <c r="EQ26" i="3"/>
  <c r="ER20" i="3"/>
  <c r="ER27" i="2"/>
  <c r="CX27" i="3"/>
  <c r="DA25" i="2"/>
  <c r="CV20" i="2"/>
  <c r="ER27" i="3"/>
  <c r="EN24" i="3"/>
  <c r="CY26" i="3"/>
  <c r="EP25" i="3"/>
  <c r="DM25" i="2"/>
  <c r="CZ20" i="3"/>
  <c r="DK20" i="3"/>
  <c r="ER19" i="3"/>
  <c r="DA26" i="3"/>
  <c r="CX22" i="3"/>
  <c r="CZ19" i="3"/>
  <c r="CY24" i="3"/>
  <c r="CW24" i="3"/>
  <c r="EO28" i="3"/>
  <c r="DG24" i="3"/>
  <c r="DG25" i="3"/>
  <c r="EQ24" i="3"/>
  <c r="EQ28" i="3"/>
  <c r="CW28" i="3"/>
  <c r="EO19" i="3"/>
  <c r="EO25" i="3"/>
  <c r="ER25" i="3"/>
  <c r="ET15" i="3"/>
  <c r="DA24" i="3"/>
  <c r="EP12" i="3"/>
  <c r="CY25" i="3"/>
  <c r="ER6" i="3"/>
  <c r="DB15" i="3"/>
  <c r="EQ25" i="3"/>
  <c r="ER13" i="3"/>
  <c r="CW25" i="3"/>
  <c r="ET23" i="3"/>
  <c r="CZ13" i="3"/>
  <c r="DB25" i="3"/>
  <c r="CW26" i="3"/>
  <c r="EN3" i="3"/>
  <c r="DB23" i="3"/>
  <c r="CY28" i="3"/>
  <c r="EP9" i="3"/>
  <c r="DT27" i="1"/>
  <c r="EP22" i="3"/>
  <c r="ES24" i="3"/>
  <c r="DT3" i="3"/>
  <c r="EP19" i="3"/>
  <c r="EO24" i="3"/>
  <c r="CV26" i="3"/>
  <c r="EQ23" i="3"/>
  <c r="DA23" i="3"/>
  <c r="DS3" i="3"/>
  <c r="CZ4" i="3"/>
  <c r="ET21" i="3"/>
  <c r="CY22" i="3"/>
  <c r="CZ8" i="3"/>
  <c r="DB24" i="3"/>
  <c r="EN26" i="3"/>
  <c r="EP26" i="3"/>
  <c r="EO26" i="3"/>
  <c r="CX26" i="3"/>
  <c r="EP3" i="3"/>
  <c r="EP13" i="3"/>
  <c r="CX18" i="3"/>
  <c r="EQ14" i="3"/>
  <c r="DG26" i="3"/>
  <c r="ER22" i="3"/>
  <c r="ES16" i="3"/>
  <c r="ET14" i="3"/>
  <c r="CY14" i="3"/>
  <c r="CX13" i="3"/>
  <c r="DA16" i="3"/>
  <c r="EU17" i="3"/>
  <c r="CY23" i="3"/>
  <c r="DA21" i="3"/>
  <c r="EP23" i="3"/>
  <c r="CX11" i="3"/>
  <c r="ER17" i="3"/>
  <c r="CW19" i="3"/>
  <c r="ES14" i="3"/>
  <c r="CX19" i="3"/>
  <c r="CX12" i="3"/>
  <c r="CZ6" i="3"/>
  <c r="DC25" i="3"/>
  <c r="CZ24" i="3"/>
  <c r="CX3" i="3"/>
  <c r="EP24" i="3"/>
  <c r="CX24" i="3"/>
  <c r="DB2" i="3"/>
  <c r="CZ2" i="3"/>
  <c r="ES3" i="3"/>
  <c r="DA3" i="3"/>
  <c r="DM3" i="3"/>
  <c r="ER10" i="3"/>
  <c r="CZ10" i="3"/>
  <c r="DC17" i="3"/>
  <c r="CX9" i="3"/>
  <c r="DM2" i="3"/>
  <c r="DA2" i="3"/>
  <c r="ES2" i="3"/>
  <c r="CW14" i="3"/>
  <c r="EO14" i="3"/>
  <c r="DG14" i="3"/>
  <c r="EP2" i="3"/>
  <c r="EU21" i="3"/>
  <c r="DC21" i="3"/>
  <c r="DM4" i="3"/>
  <c r="ES4" i="3"/>
  <c r="DA4" i="3"/>
  <c r="ER8" i="3"/>
  <c r="DC2" i="3"/>
  <c r="EU2" i="3"/>
  <c r="CW2" i="3"/>
  <c r="EO2" i="3"/>
  <c r="DG2" i="3"/>
  <c r="DM15" i="3"/>
  <c r="DA15" i="3"/>
  <c r="ES15" i="3"/>
  <c r="DM17" i="3"/>
  <c r="DA17" i="3"/>
  <c r="ES17" i="3"/>
  <c r="CZ22" i="3"/>
  <c r="DJ27" i="3"/>
  <c r="CV27" i="3"/>
  <c r="CV5" i="3"/>
  <c r="EN5" i="3"/>
  <c r="DT5" i="3"/>
  <c r="DS5" i="3"/>
  <c r="DB17" i="3"/>
  <c r="ET17" i="3"/>
  <c r="EO16" i="3"/>
  <c r="CW8" i="3"/>
  <c r="EO8" i="3"/>
  <c r="DG8" i="3"/>
  <c r="CV17" i="3"/>
  <c r="DT17" i="3"/>
  <c r="EN17" i="3"/>
  <c r="DS17" i="3"/>
  <c r="DC15" i="3"/>
  <c r="EU15" i="3"/>
  <c r="ET2" i="3"/>
  <c r="DC3" i="3"/>
  <c r="DT21" i="3"/>
  <c r="DS21" i="3"/>
  <c r="CV21" i="3"/>
  <c r="EN21" i="3"/>
  <c r="DC12" i="3"/>
  <c r="EU12" i="3"/>
  <c r="DC23" i="3"/>
  <c r="EU23" i="3"/>
  <c r="CZ27" i="3"/>
  <c r="CW5" i="3"/>
  <c r="DB26" i="3"/>
  <c r="CV16" i="3"/>
  <c r="CY17" i="3"/>
  <c r="EQ17" i="3"/>
  <c r="ER11" i="3"/>
  <c r="CZ11" i="3"/>
  <c r="DC14" i="3"/>
  <c r="EU14" i="3"/>
  <c r="EU18" i="3"/>
  <c r="DC18" i="3"/>
  <c r="DT18" i="3"/>
  <c r="CV18" i="3"/>
  <c r="DS18" i="3"/>
  <c r="EN18" i="3"/>
  <c r="ET9" i="3"/>
  <c r="DB9" i="3"/>
  <c r="DM18" i="3"/>
  <c r="DA18" i="3"/>
  <c r="ES18" i="3"/>
  <c r="CX20" i="3"/>
  <c r="EP20" i="3"/>
  <c r="DM22" i="3"/>
  <c r="DA22" i="3"/>
  <c r="ES22" i="3"/>
  <c r="CY13" i="3"/>
  <c r="EQ13" i="3"/>
  <c r="ET10" i="3"/>
  <c r="DB10" i="3"/>
  <c r="DM8" i="3"/>
  <c r="DA8" i="3"/>
  <c r="ES8" i="3"/>
  <c r="CW21" i="3"/>
  <c r="DG21" i="3"/>
  <c r="EO21" i="3"/>
  <c r="CW16" i="3"/>
  <c r="CV6" i="3"/>
  <c r="DT6" i="3"/>
  <c r="DS6" i="3"/>
  <c r="EN6" i="3"/>
  <c r="EP15" i="3"/>
  <c r="CX15" i="3"/>
  <c r="DM25" i="3"/>
  <c r="DA25" i="3"/>
  <c r="ES25" i="3"/>
  <c r="EQ7" i="3"/>
  <c r="EP18" i="3"/>
  <c r="EU22" i="3"/>
  <c r="CV3" i="3"/>
  <c r="ES21" i="3"/>
  <c r="DA14" i="3"/>
  <c r="CV20" i="3"/>
  <c r="EN20" i="3"/>
  <c r="DT20" i="3"/>
  <c r="DS20" i="3"/>
  <c r="ER16" i="3"/>
  <c r="CZ16" i="3"/>
  <c r="DY34" i="3"/>
  <c r="EU11" i="3"/>
  <c r="DC11" i="3"/>
  <c r="DY30" i="3"/>
  <c r="EO4" i="3"/>
  <c r="CX6" i="3"/>
  <c r="EP6" i="3"/>
  <c r="EO20" i="3"/>
  <c r="DG20" i="3"/>
  <c r="CW20" i="3"/>
  <c r="EQ10" i="3"/>
  <c r="CY10" i="3"/>
  <c r="DY36" i="3"/>
  <c r="CX7" i="3"/>
  <c r="EP7" i="3"/>
  <c r="EO11" i="3"/>
  <c r="DG11" i="3"/>
  <c r="CW11" i="3"/>
  <c r="DB8" i="3"/>
  <c r="ET8" i="3"/>
  <c r="EO10" i="3"/>
  <c r="DG10" i="3"/>
  <c r="CW10" i="3"/>
  <c r="EP11" i="3"/>
  <c r="ES27" i="3"/>
  <c r="DA27" i="3"/>
  <c r="DM27" i="3"/>
  <c r="EQ12" i="3"/>
  <c r="CY12" i="3"/>
  <c r="DC8" i="3"/>
  <c r="EU8" i="3"/>
  <c r="CW17" i="3"/>
  <c r="EO17" i="3"/>
  <c r="DG17" i="3"/>
  <c r="EP17" i="3"/>
  <c r="CX17" i="3"/>
  <c r="CW27" i="3"/>
  <c r="DM6" i="3"/>
  <c r="ES6" i="3"/>
  <c r="DA6" i="3"/>
  <c r="EP10" i="3"/>
  <c r="CX10" i="3"/>
  <c r="DT10" i="3"/>
  <c r="CV10" i="3"/>
  <c r="EN10" i="3"/>
  <c r="DS10" i="3"/>
  <c r="DK5" i="3"/>
  <c r="CZ5" i="3"/>
  <c r="ER5" i="3"/>
  <c r="CZ17" i="3"/>
  <c r="EO22" i="3"/>
  <c r="CZ21" i="3"/>
  <c r="ER21" i="3"/>
  <c r="CY7" i="3"/>
  <c r="DC22" i="3"/>
  <c r="DT4" i="3"/>
  <c r="DS4" i="3"/>
  <c r="CV4" i="3"/>
  <c r="EN4" i="3"/>
  <c r="EN27" i="3"/>
  <c r="CV22" i="3"/>
  <c r="EN22" i="3"/>
  <c r="DT22" i="3"/>
  <c r="DS22" i="3"/>
  <c r="EN12" i="3"/>
  <c r="EU9" i="3"/>
  <c r="DC9" i="3"/>
  <c r="EN15" i="3"/>
  <c r="DT15" i="3"/>
  <c r="DS15" i="3"/>
  <c r="CV15" i="3"/>
  <c r="EO5" i="3"/>
  <c r="CW4" i="3"/>
  <c r="CY5" i="3"/>
  <c r="EN16" i="3"/>
  <c r="DB7" i="3"/>
  <c r="ET7" i="3"/>
  <c r="ET3" i="3"/>
  <c r="DB3" i="3"/>
  <c r="CY16" i="3"/>
  <c r="EQ16" i="3"/>
  <c r="CX4" i="3"/>
  <c r="EP4" i="3"/>
  <c r="DK7" i="3"/>
  <c r="CZ7" i="3"/>
  <c r="ER7" i="3"/>
  <c r="DB22" i="3"/>
  <c r="ET22" i="3"/>
  <c r="DB12" i="3"/>
  <c r="ET12" i="3"/>
  <c r="DC4" i="3"/>
  <c r="EU4" i="3"/>
  <c r="CW15" i="3"/>
  <c r="EO15" i="3"/>
  <c r="DG15" i="3"/>
  <c r="CW3" i="3"/>
  <c r="EO3" i="3"/>
  <c r="DG3" i="3"/>
  <c r="EO13" i="3"/>
  <c r="CW13" i="3"/>
  <c r="DG13" i="3"/>
  <c r="CW18" i="3"/>
  <c r="EO18" i="3"/>
  <c r="DG18" i="3"/>
  <c r="CW6" i="3"/>
  <c r="EO6" i="3"/>
  <c r="DG6" i="3"/>
  <c r="EP16" i="3"/>
  <c r="CX16" i="3"/>
  <c r="ET13" i="3"/>
  <c r="DB13" i="3"/>
  <c r="DB21" i="3"/>
  <c r="EQ2" i="3"/>
  <c r="CY2" i="3"/>
  <c r="EO12" i="3"/>
  <c r="DG12" i="3"/>
  <c r="CW12" i="3"/>
  <c r="DT9" i="3"/>
  <c r="EN9" i="3"/>
  <c r="CV9" i="3"/>
  <c r="DS9" i="3"/>
  <c r="CX8" i="3"/>
  <c r="EP8" i="3"/>
  <c r="DA13" i="3"/>
  <c r="ES13" i="3"/>
  <c r="DM13" i="3"/>
  <c r="CW23" i="3"/>
  <c r="CW22" i="3"/>
  <c r="CW9" i="3"/>
  <c r="ER4" i="3"/>
  <c r="ET24" i="3"/>
  <c r="CV25" i="3"/>
  <c r="ET25" i="3"/>
  <c r="EU6" i="3"/>
  <c r="DC6" i="3"/>
  <c r="EQ22" i="3"/>
  <c r="EN25" i="3"/>
  <c r="CV12" i="3"/>
  <c r="DC27" i="3"/>
  <c r="DC19" i="3"/>
  <c r="EU19" i="3"/>
  <c r="CV23" i="3"/>
  <c r="ES26" i="3"/>
  <c r="EQ5" i="3"/>
  <c r="DM7" i="3"/>
  <c r="DA7" i="3"/>
  <c r="ES7" i="3"/>
  <c r="EQ9" i="3"/>
  <c r="CY9" i="3"/>
  <c r="CX2" i="3"/>
  <c r="CX14" i="3"/>
  <c r="EP14" i="3"/>
  <c r="ET4" i="3"/>
  <c r="DB4" i="3"/>
  <c r="CX21" i="3"/>
  <c r="EP21" i="3"/>
  <c r="CW7" i="3"/>
  <c r="ER12" i="3"/>
  <c r="CZ12" i="3"/>
  <c r="DR24" i="3"/>
  <c r="EU24" i="3"/>
  <c r="DC24" i="3"/>
  <c r="ET26" i="3"/>
  <c r="CX5" i="3"/>
  <c r="EP5" i="3"/>
  <c r="CV8" i="3"/>
  <c r="EN8" i="3"/>
  <c r="DT8" i="3"/>
  <c r="DS8" i="3"/>
  <c r="DB6" i="3"/>
  <c r="ET6" i="3"/>
  <c r="DK3" i="3"/>
  <c r="CZ3" i="3"/>
  <c r="ER3" i="3"/>
  <c r="DA9" i="3"/>
  <c r="DM9" i="3"/>
  <c r="ES9" i="3"/>
  <c r="EQ21" i="3"/>
  <c r="CY21" i="3"/>
  <c r="ET16" i="3"/>
  <c r="CY18" i="3"/>
  <c r="EQ18" i="3"/>
  <c r="DB18" i="3"/>
  <c r="ET18" i="3"/>
  <c r="EQ8" i="3"/>
  <c r="CY8" i="3"/>
  <c r="CV11" i="3"/>
  <c r="DT11" i="3"/>
  <c r="EN11" i="3"/>
  <c r="DS11" i="3"/>
  <c r="CY19" i="3"/>
  <c r="EQ19" i="3"/>
  <c r="CY6" i="3"/>
  <c r="EQ6" i="3"/>
  <c r="CY11" i="3"/>
  <c r="EQ11" i="3"/>
  <c r="ER23" i="3"/>
  <c r="DY35" i="3"/>
  <c r="EO9" i="3"/>
  <c r="EU26" i="3"/>
  <c r="CY15" i="3"/>
  <c r="CZ14" i="3"/>
  <c r="ER14" i="3"/>
  <c r="ER2" i="3"/>
  <c r="EU7" i="3"/>
  <c r="DC7" i="3"/>
  <c r="CV24" i="3"/>
  <c r="DT13" i="3"/>
  <c r="DS13" i="3"/>
  <c r="EN13" i="3"/>
  <c r="CV13" i="3"/>
  <c r="EU5" i="3"/>
  <c r="ER26" i="3"/>
  <c r="ET5" i="3"/>
  <c r="DB5" i="3"/>
  <c r="DA10" i="3"/>
  <c r="ES10" i="3"/>
  <c r="DM10" i="3"/>
  <c r="DM20" i="3"/>
  <c r="DA20" i="3"/>
  <c r="ES20" i="3"/>
  <c r="ER15" i="3"/>
  <c r="CZ15" i="3"/>
  <c r="EU16" i="3"/>
  <c r="DC16" i="3"/>
  <c r="ER9" i="3"/>
  <c r="CZ9" i="3"/>
  <c r="CV2" i="3"/>
  <c r="EN2" i="3"/>
  <c r="DT2" i="3"/>
  <c r="DS2" i="3"/>
  <c r="DB19" i="3"/>
  <c r="ET19" i="3"/>
  <c r="EU3" i="3"/>
  <c r="ES23" i="3"/>
  <c r="ET11" i="3"/>
  <c r="DB11" i="3"/>
  <c r="DA5" i="3"/>
  <c r="ES5" i="3"/>
  <c r="DM5" i="3"/>
  <c r="EQ4" i="3"/>
  <c r="CY4" i="3"/>
  <c r="DM19" i="3"/>
  <c r="DA19" i="3"/>
  <c r="ES19" i="3"/>
  <c r="CY3" i="3"/>
  <c r="EQ3" i="3"/>
  <c r="DA11" i="3"/>
  <c r="DM11" i="3"/>
  <c r="ES11" i="3"/>
  <c r="DC10" i="3"/>
  <c r="EU10" i="3"/>
  <c r="CV14" i="3"/>
  <c r="EN14" i="3"/>
  <c r="DS14" i="3"/>
  <c r="DT14" i="3"/>
  <c r="DB20" i="3"/>
  <c r="ET20" i="3"/>
  <c r="DB16" i="3"/>
  <c r="DT7" i="3"/>
  <c r="DS7" i="3"/>
  <c r="EN7" i="3"/>
  <c r="CV7" i="3"/>
  <c r="CY27" i="3"/>
  <c r="EQ27" i="3"/>
  <c r="EU25" i="3"/>
  <c r="DM12" i="3"/>
  <c r="DA12" i="3"/>
  <c r="ES12" i="3"/>
  <c r="ER18" i="3"/>
  <c r="CZ18" i="3"/>
  <c r="EO23" i="3"/>
  <c r="EO7" i="3"/>
  <c r="DC13" i="3"/>
  <c r="EU13" i="3"/>
  <c r="DC26" i="3"/>
  <c r="DY31" i="3"/>
  <c r="DY32" i="3"/>
  <c r="EQ15" i="3"/>
  <c r="DB14" i="3"/>
  <c r="CV19" i="3"/>
  <c r="EN19" i="3"/>
  <c r="DT19" i="3"/>
  <c r="DS19" i="3"/>
  <c r="DC20" i="3"/>
  <c r="EU20" i="3"/>
  <c r="DC5" i="3"/>
  <c r="EN23" i="3"/>
  <c r="DT21" i="1"/>
  <c r="DS21" i="1"/>
  <c r="EO26" i="2"/>
  <c r="CW26" i="2"/>
  <c r="ET4" i="2"/>
  <c r="CY27" i="2"/>
  <c r="DA26" i="2"/>
  <c r="ES23" i="2"/>
  <c r="DT22" i="2"/>
  <c r="ET26" i="2"/>
  <c r="ES24" i="2"/>
  <c r="EU26" i="2"/>
  <c r="EP21" i="2"/>
  <c r="ES26" i="2"/>
  <c r="EP25" i="2"/>
  <c r="DC26" i="2"/>
  <c r="EO25" i="2"/>
  <c r="CW25" i="2"/>
  <c r="CW27" i="2"/>
  <c r="CZ25" i="2"/>
  <c r="CX15" i="2"/>
  <c r="ER6" i="2"/>
  <c r="DB12" i="2"/>
  <c r="EO27" i="2"/>
  <c r="CX23" i="2"/>
  <c r="CZ20" i="2"/>
  <c r="ES20" i="2"/>
  <c r="EP4" i="2"/>
  <c r="ER22" i="2"/>
  <c r="DB2" i="2"/>
  <c r="DK3" i="2"/>
  <c r="CZ3" i="2"/>
  <c r="ER3" i="2"/>
  <c r="DM18" i="2"/>
  <c r="DA18" i="2"/>
  <c r="ES18" i="2"/>
  <c r="DM4" i="2"/>
  <c r="ES4" i="2"/>
  <c r="DA4" i="2"/>
  <c r="CY20" i="2"/>
  <c r="EQ20" i="2"/>
  <c r="DB20" i="2"/>
  <c r="ET20" i="2"/>
  <c r="CW14" i="2"/>
  <c r="DG14" i="2"/>
  <c r="EO14" i="2"/>
  <c r="EN20" i="2"/>
  <c r="EO4" i="2"/>
  <c r="DG4" i="2"/>
  <c r="CW4" i="2"/>
  <c r="CX20" i="2"/>
  <c r="EP20" i="2"/>
  <c r="DB22" i="2"/>
  <c r="ET22" i="2"/>
  <c r="CY26" i="2"/>
  <c r="DT14" i="2"/>
  <c r="DS14" i="2"/>
  <c r="EN14" i="2"/>
  <c r="CV14" i="2"/>
  <c r="DK10" i="2"/>
  <c r="CZ10" i="2"/>
  <c r="ER10" i="2"/>
  <c r="DG6" i="2"/>
  <c r="CW6" i="2"/>
  <c r="EO6" i="2"/>
  <c r="CZ22" i="2"/>
  <c r="EN3" i="2"/>
  <c r="DS3" i="2"/>
  <c r="DT3" i="2"/>
  <c r="CV3" i="2"/>
  <c r="ET16" i="2"/>
  <c r="DB16" i="2"/>
  <c r="EN22" i="2"/>
  <c r="EO2" i="2"/>
  <c r="DG2" i="2"/>
  <c r="DA8" i="2"/>
  <c r="ES8" i="2"/>
  <c r="DM8" i="2"/>
  <c r="DM13" i="2"/>
  <c r="ES13" i="2"/>
  <c r="DA13" i="2"/>
  <c r="DA14" i="2"/>
  <c r="ES14" i="2"/>
  <c r="DM14" i="2"/>
  <c r="CZ6" i="2"/>
  <c r="CY5" i="2"/>
  <c r="DC4" i="2"/>
  <c r="CW13" i="2"/>
  <c r="DK2" i="2"/>
  <c r="ER2" i="2"/>
  <c r="DA6" i="2"/>
  <c r="ES6" i="2"/>
  <c r="DM6" i="2"/>
  <c r="DC13" i="2"/>
  <c r="EU13" i="2"/>
  <c r="CW7" i="2"/>
  <c r="DG7" i="2"/>
  <c r="EO7" i="2"/>
  <c r="ES3" i="2"/>
  <c r="DA3" i="2"/>
  <c r="DM3" i="2"/>
  <c r="EQ8" i="2"/>
  <c r="CY8" i="2"/>
  <c r="CY16" i="2"/>
  <c r="EQ16" i="2"/>
  <c r="EQ3" i="2"/>
  <c r="CY3" i="2"/>
  <c r="DB10" i="2"/>
  <c r="ET10" i="2"/>
  <c r="CV25" i="2"/>
  <c r="EN26" i="2"/>
  <c r="EQ4" i="2"/>
  <c r="CY4" i="2"/>
  <c r="EP2" i="2"/>
  <c r="CX2" i="2"/>
  <c r="DC19" i="2"/>
  <c r="EU19" i="2"/>
  <c r="ER4" i="2"/>
  <c r="DK4" i="2"/>
  <c r="CZ4" i="2"/>
  <c r="EU15" i="2"/>
  <c r="DC15" i="2"/>
  <c r="DC18" i="2"/>
  <c r="EU18" i="2"/>
  <c r="CV22" i="2"/>
  <c r="CV12" i="2"/>
  <c r="EQ5" i="2"/>
  <c r="EU4" i="2"/>
  <c r="CV9" i="2"/>
  <c r="EN9" i="2"/>
  <c r="DT9" i="2"/>
  <c r="DS9" i="2"/>
  <c r="DS7" i="2"/>
  <c r="CV7" i="2"/>
  <c r="EN7" i="2"/>
  <c r="DT7" i="2"/>
  <c r="DM22" i="2"/>
  <c r="ES22" i="2"/>
  <c r="DA22" i="2"/>
  <c r="ES2" i="2"/>
  <c r="DM2" i="2"/>
  <c r="DA2" i="2"/>
  <c r="ES16" i="2"/>
  <c r="DM16" i="2"/>
  <c r="DA16" i="2"/>
  <c r="EP14" i="2"/>
  <c r="CX14" i="2"/>
  <c r="CY17" i="2"/>
  <c r="EQ17" i="2"/>
  <c r="CX22" i="2"/>
  <c r="EP22" i="2"/>
  <c r="CW20" i="2"/>
  <c r="EO20" i="2"/>
  <c r="DG20" i="2"/>
  <c r="ET5" i="2"/>
  <c r="DB5" i="2"/>
  <c r="CY6" i="2"/>
  <c r="EQ6" i="2"/>
  <c r="DM15" i="2"/>
  <c r="ES15" i="2"/>
  <c r="DA15" i="2"/>
  <c r="DC10" i="2"/>
  <c r="EU10" i="2"/>
  <c r="CV26" i="2"/>
  <c r="CV8" i="2"/>
  <c r="DT8" i="2"/>
  <c r="EN8" i="2"/>
  <c r="DS8" i="2"/>
  <c r="CY9" i="2"/>
  <c r="EQ9" i="2"/>
  <c r="CZ18" i="2"/>
  <c r="ER18" i="2"/>
  <c r="DK18" i="2"/>
  <c r="DK17" i="2"/>
  <c r="ER17" i="2"/>
  <c r="CZ17" i="2"/>
  <c r="EN18" i="2"/>
  <c r="DT18" i="2"/>
  <c r="CV18" i="2"/>
  <c r="DS18" i="2"/>
  <c r="CX26" i="2"/>
  <c r="EP26" i="2"/>
  <c r="DB3" i="2"/>
  <c r="ET3" i="2"/>
  <c r="CX5" i="2"/>
  <c r="EP5" i="2"/>
  <c r="EU23" i="2"/>
  <c r="DC23" i="2"/>
  <c r="CX9" i="2"/>
  <c r="EP9" i="2"/>
  <c r="CV13" i="2"/>
  <c r="EN13" i="2"/>
  <c r="DT13" i="2"/>
  <c r="DS13" i="2"/>
  <c r="DB13" i="2"/>
  <c r="ET13" i="2"/>
  <c r="DB26" i="2"/>
  <c r="CX3" i="2"/>
  <c r="EP3" i="2"/>
  <c r="EO24" i="2"/>
  <c r="ET2" i="2"/>
  <c r="EN12" i="2"/>
  <c r="EQ15" i="2"/>
  <c r="ET12" i="2"/>
  <c r="DC11" i="2"/>
  <c r="EO13" i="2"/>
  <c r="DC2" i="2"/>
  <c r="EU2" i="2"/>
  <c r="EN10" i="2"/>
  <c r="DT10" i="2"/>
  <c r="DS10" i="2"/>
  <c r="CV10" i="2"/>
  <c r="EO18" i="2"/>
  <c r="DG18" i="2"/>
  <c r="CW18" i="2"/>
  <c r="CY25" i="2"/>
  <c r="EQ25" i="2"/>
  <c r="DB11" i="2"/>
  <c r="ET11" i="2"/>
  <c r="CW21" i="2"/>
  <c r="EO21" i="2"/>
  <c r="DG21" i="2"/>
  <c r="EQ24" i="2"/>
  <c r="CY24" i="2"/>
  <c r="DY29" i="2"/>
  <c r="DB18" i="2"/>
  <c r="ET18" i="2"/>
  <c r="CX24" i="2"/>
  <c r="EP24" i="2"/>
  <c r="EO22" i="2"/>
  <c r="DG22" i="2"/>
  <c r="CW22" i="2"/>
  <c r="DT4" i="2"/>
  <c r="CV4" i="2"/>
  <c r="EN4" i="2"/>
  <c r="DS4" i="2"/>
  <c r="CW9" i="2"/>
  <c r="EO9" i="2"/>
  <c r="DG9" i="2"/>
  <c r="DM11" i="2"/>
  <c r="DA11" i="2"/>
  <c r="ES11" i="2"/>
  <c r="ER7" i="2"/>
  <c r="CZ7" i="2"/>
  <c r="DK7" i="2"/>
  <c r="DB24" i="2"/>
  <c r="ET24" i="2"/>
  <c r="DP27" i="2"/>
  <c r="EN27" i="2"/>
  <c r="EQ2" i="2"/>
  <c r="EO8" i="2"/>
  <c r="DG8" i="2"/>
  <c r="CW8" i="2"/>
  <c r="DM10" i="2"/>
  <c r="DA10" i="2"/>
  <c r="ES10" i="2"/>
  <c r="EN19" i="2"/>
  <c r="DT19" i="2"/>
  <c r="DS19" i="2"/>
  <c r="CV19" i="2"/>
  <c r="EN24" i="2"/>
  <c r="DK14" i="2"/>
  <c r="CZ14" i="2"/>
  <c r="ER14" i="2"/>
  <c r="CY12" i="2"/>
  <c r="EQ12" i="2"/>
  <c r="DI23" i="2"/>
  <c r="CW23" i="2"/>
  <c r="EO23" i="2"/>
  <c r="DA24" i="2"/>
  <c r="EP10" i="2"/>
  <c r="CX10" i="2"/>
  <c r="CW16" i="2"/>
  <c r="DG16" i="2"/>
  <c r="EO16" i="2"/>
  <c r="CZ23" i="2"/>
  <c r="ER23" i="2"/>
  <c r="CW24" i="2"/>
  <c r="ET19" i="2"/>
  <c r="DB19" i="2"/>
  <c r="CY15" i="2"/>
  <c r="EU11" i="2"/>
  <c r="DB4" i="2"/>
  <c r="EP8" i="2"/>
  <c r="CX8" i="2"/>
  <c r="CX6" i="2"/>
  <c r="EP6" i="2"/>
  <c r="EP18" i="2"/>
  <c r="CX18" i="2"/>
  <c r="CY14" i="2"/>
  <c r="EQ14" i="2"/>
  <c r="DB15" i="2"/>
  <c r="ET15" i="2"/>
  <c r="EU8" i="2"/>
  <c r="DC8" i="2"/>
  <c r="CY13" i="2"/>
  <c r="EQ13" i="2"/>
  <c r="DK16" i="2"/>
  <c r="ER16" i="2"/>
  <c r="CZ16" i="2"/>
  <c r="ER8" i="2"/>
  <c r="CZ8" i="2"/>
  <c r="DK8" i="2"/>
  <c r="DC25" i="2"/>
  <c r="EU25" i="2"/>
  <c r="DA12" i="2"/>
  <c r="ES12" i="2"/>
  <c r="DM12" i="2"/>
  <c r="EN25" i="2"/>
  <c r="DB21" i="2"/>
  <c r="ET21" i="2"/>
  <c r="CZ26" i="2"/>
  <c r="ER26" i="2"/>
  <c r="DK11" i="2"/>
  <c r="CZ11" i="2"/>
  <c r="ER11" i="2"/>
  <c r="CV24" i="2"/>
  <c r="DK19" i="2"/>
  <c r="CZ19" i="2"/>
  <c r="ER19" i="2"/>
  <c r="DC6" i="2"/>
  <c r="EU6" i="2"/>
  <c r="DC3" i="2"/>
  <c r="EU3" i="2"/>
  <c r="ER9" i="2"/>
  <c r="CZ9" i="2"/>
  <c r="DK9" i="2"/>
  <c r="CY11" i="2"/>
  <c r="EQ11" i="2"/>
  <c r="CW12" i="2"/>
  <c r="DG12" i="2"/>
  <c r="EO12" i="2"/>
  <c r="DA20" i="2"/>
  <c r="DC27" i="2"/>
  <c r="ET17" i="2"/>
  <c r="DB17" i="2"/>
  <c r="CW5" i="2"/>
  <c r="EO5" i="2"/>
  <c r="DG5" i="2"/>
  <c r="ER24" i="2"/>
  <c r="CZ24" i="2"/>
  <c r="CY21" i="2"/>
  <c r="EQ21" i="2"/>
  <c r="ET23" i="2"/>
  <c r="DB23" i="2"/>
  <c r="DY31" i="2"/>
  <c r="EU21" i="2"/>
  <c r="EP15" i="2"/>
  <c r="CV6" i="2"/>
  <c r="EO17" i="2"/>
  <c r="DT11" i="2"/>
  <c r="DS11" i="2"/>
  <c r="CV11" i="2"/>
  <c r="EN11" i="2"/>
  <c r="DM9" i="2"/>
  <c r="ES9" i="2"/>
  <c r="DA9" i="2"/>
  <c r="DS5" i="2"/>
  <c r="CV5" i="2"/>
  <c r="EN5" i="2"/>
  <c r="DT5" i="2"/>
  <c r="CX11" i="2"/>
  <c r="EP11" i="2"/>
  <c r="DC24" i="2"/>
  <c r="EU24" i="2"/>
  <c r="CV15" i="2"/>
  <c r="EN15" i="2"/>
  <c r="DT15" i="2"/>
  <c r="DS15" i="2"/>
  <c r="CW15" i="2"/>
  <c r="EO15" i="2"/>
  <c r="DG15" i="2"/>
  <c r="EQ27" i="2"/>
  <c r="CX7" i="2"/>
  <c r="EP7" i="2"/>
  <c r="DY30" i="2"/>
  <c r="ET8" i="2"/>
  <c r="DB8" i="2"/>
  <c r="ET7" i="2"/>
  <c r="DB7" i="2"/>
  <c r="DK21" i="2"/>
  <c r="CZ21" i="2"/>
  <c r="ER21" i="2"/>
  <c r="DC5" i="2"/>
  <c r="EU5" i="2"/>
  <c r="EU14" i="2"/>
  <c r="DC14" i="2"/>
  <c r="EU27" i="2"/>
  <c r="ES5" i="2"/>
  <c r="DM5" i="2"/>
  <c r="DA5" i="2"/>
  <c r="CW11" i="2"/>
  <c r="EO11" i="2"/>
  <c r="DG11" i="2"/>
  <c r="DB25" i="2"/>
  <c r="ET25" i="2"/>
  <c r="DC21" i="2"/>
  <c r="ER25" i="2"/>
  <c r="CX21" i="2"/>
  <c r="ET6" i="2"/>
  <c r="DB6" i="2"/>
  <c r="ET14" i="2"/>
  <c r="DB14" i="2"/>
  <c r="DS2" i="2"/>
  <c r="EN2" i="2"/>
  <c r="DT2" i="2"/>
  <c r="DS16" i="2"/>
  <c r="DT16" i="2"/>
  <c r="CV16" i="2"/>
  <c r="EN16" i="2"/>
  <c r="DM21" i="2"/>
  <c r="DA21" i="2"/>
  <c r="ES21" i="2"/>
  <c r="DG19" i="2"/>
  <c r="EO19" i="2"/>
  <c r="CW19" i="2"/>
  <c r="DG3" i="2"/>
  <c r="CW3" i="2"/>
  <c r="EO3" i="2"/>
  <c r="DC12" i="2"/>
  <c r="EU12" i="2"/>
  <c r="CY18" i="2"/>
  <c r="EQ18" i="2"/>
  <c r="CV21" i="2"/>
  <c r="EN21" i="2"/>
  <c r="DT21" i="2"/>
  <c r="DS21" i="2"/>
  <c r="ES7" i="2"/>
  <c r="DM7" i="2"/>
  <c r="DA7" i="2"/>
  <c r="CY10" i="2"/>
  <c r="EQ10" i="2"/>
  <c r="DA19" i="2"/>
  <c r="ES19" i="2"/>
  <c r="DM19" i="2"/>
  <c r="DK5" i="2"/>
  <c r="CZ5" i="2"/>
  <c r="ER5" i="2"/>
  <c r="EU16" i="2"/>
  <c r="DC16" i="2"/>
  <c r="EN23" i="2"/>
  <c r="CY23" i="2"/>
  <c r="EQ23" i="2"/>
  <c r="EU17" i="2"/>
  <c r="DC17" i="2"/>
  <c r="EP23" i="2"/>
  <c r="EQ7" i="2"/>
  <c r="CY7" i="2"/>
  <c r="ES17" i="2"/>
  <c r="DM17" i="2"/>
  <c r="DA17" i="2"/>
  <c r="ER20" i="2"/>
  <c r="CX4" i="2"/>
  <c r="CW17" i="2"/>
  <c r="EU9" i="2"/>
  <c r="DC9" i="2"/>
  <c r="CW10" i="2"/>
  <c r="EO10" i="2"/>
  <c r="DG10" i="2"/>
  <c r="ET27" i="2"/>
  <c r="DB27" i="2"/>
  <c r="CZ13" i="2"/>
  <c r="ER13" i="2"/>
  <c r="DK13" i="2"/>
  <c r="ER15" i="2"/>
  <c r="CZ15" i="2"/>
  <c r="DK15" i="2"/>
  <c r="DB9" i="2"/>
  <c r="ET9" i="2"/>
  <c r="ER12" i="2"/>
  <c r="CZ12" i="2"/>
  <c r="DK12" i="2"/>
  <c r="EP12" i="2"/>
  <c r="CX12" i="2"/>
  <c r="CX16" i="2"/>
  <c r="EP16" i="2"/>
  <c r="DC7" i="2"/>
  <c r="EU7" i="2"/>
  <c r="EQ22" i="2"/>
  <c r="CY22" i="2"/>
  <c r="CY19" i="2"/>
  <c r="EQ19" i="2"/>
  <c r="EP17" i="2"/>
  <c r="CX17" i="2"/>
  <c r="DT17" i="2"/>
  <c r="DS17" i="2"/>
  <c r="CV17" i="2"/>
  <c r="EN17" i="2"/>
  <c r="CV23" i="2"/>
  <c r="CX19" i="2"/>
  <c r="EP19" i="2"/>
  <c r="EU22" i="2"/>
  <c r="DC22" i="2"/>
  <c r="CX13" i="2"/>
  <c r="EP13" i="2"/>
  <c r="DC20" i="2"/>
  <c r="EU20" i="2"/>
  <c r="EN6" i="2"/>
  <c r="DY31" i="1"/>
  <c r="DY36" i="1"/>
  <c r="DY32" i="1"/>
  <c r="DS10" i="1"/>
  <c r="EQ27" i="1"/>
  <c r="CY27" i="1"/>
  <c r="EQ26" i="1"/>
  <c r="CY26" i="1"/>
  <c r="CX26" i="1"/>
  <c r="CW26" i="1"/>
  <c r="CY28" i="1"/>
  <c r="EP27" i="1"/>
  <c r="EN27" i="1"/>
  <c r="CV27" i="1"/>
  <c r="CX27" i="1"/>
  <c r="DB20" i="1"/>
  <c r="DT5" i="1"/>
  <c r="EP20" i="1"/>
  <c r="DB27" i="1"/>
  <c r="ET27" i="1"/>
  <c r="ER15" i="1"/>
  <c r="CZ20" i="1"/>
  <c r="CV26" i="1"/>
  <c r="ET20" i="1"/>
  <c r="CX24" i="1"/>
  <c r="DB26" i="1"/>
  <c r="EP22" i="1"/>
  <c r="ET26" i="1"/>
  <c r="CX18" i="1"/>
  <c r="ET19" i="1"/>
  <c r="ES26" i="1"/>
  <c r="ER23" i="1"/>
  <c r="DB28" i="1"/>
  <c r="ET28" i="1"/>
  <c r="EU22" i="1"/>
  <c r="EP17" i="1"/>
  <c r="EN26" i="1"/>
  <c r="ER28" i="1"/>
  <c r="EO26" i="1"/>
  <c r="DB22" i="1"/>
  <c r="DB3" i="1"/>
  <c r="EU25" i="1"/>
  <c r="ER20" i="1"/>
  <c r="CW28" i="1"/>
  <c r="CX21" i="1"/>
  <c r="EU13" i="1"/>
  <c r="EP26" i="1"/>
  <c r="EP12" i="1"/>
  <c r="EP18" i="1"/>
  <c r="ES5" i="1"/>
  <c r="DA26" i="1"/>
  <c r="CZ15" i="1"/>
  <c r="CX12" i="1"/>
  <c r="DC28" i="1"/>
  <c r="CX17" i="1"/>
  <c r="DB16" i="1"/>
  <c r="EQ5" i="1"/>
  <c r="DB19" i="1"/>
  <c r="CZ23" i="1"/>
  <c r="DB15" i="1"/>
  <c r="EO28" i="1"/>
  <c r="DT16" i="1"/>
  <c r="DS16" i="1"/>
  <c r="CV16" i="1"/>
  <c r="EN16" i="1"/>
  <c r="DM23" i="1"/>
  <c r="ES23" i="1"/>
  <c r="DA23" i="1"/>
  <c r="EQ19" i="1"/>
  <c r="CY19" i="1"/>
  <c r="EQ6" i="1"/>
  <c r="CY6" i="1"/>
  <c r="EN11" i="1"/>
  <c r="DS11" i="1"/>
  <c r="DT11" i="1"/>
  <c r="CV11" i="1"/>
  <c r="DK18" i="1"/>
  <c r="CZ18" i="1"/>
  <c r="ER18" i="1"/>
  <c r="CW6" i="1"/>
  <c r="EO6" i="1"/>
  <c r="DG6" i="1"/>
  <c r="EP7" i="1"/>
  <c r="CX7" i="1"/>
  <c r="ET22" i="1"/>
  <c r="ES2" i="1"/>
  <c r="DM2" i="1"/>
  <c r="DA2" i="1"/>
  <c r="CW3" i="1"/>
  <c r="DG3" i="1"/>
  <c r="EO3" i="1"/>
  <c r="EU4" i="1"/>
  <c r="DC4" i="1"/>
  <c r="DA5" i="1"/>
  <c r="DC6" i="1"/>
  <c r="EU6" i="1"/>
  <c r="DT23" i="1"/>
  <c r="DS23" i="1"/>
  <c r="CV23" i="1"/>
  <c r="EN23" i="1"/>
  <c r="EU23" i="1"/>
  <c r="DC23" i="1"/>
  <c r="ET21" i="1"/>
  <c r="DA6" i="1"/>
  <c r="ES6" i="1"/>
  <c r="DM6" i="1"/>
  <c r="EP24" i="1"/>
  <c r="EQ14" i="1"/>
  <c r="CW16" i="1"/>
  <c r="DG16" i="1"/>
  <c r="EO16" i="1"/>
  <c r="DT24" i="1"/>
  <c r="DS24" i="1"/>
  <c r="CV24" i="1"/>
  <c r="EN24" i="1"/>
  <c r="EO21" i="1"/>
  <c r="CW21" i="1"/>
  <c r="DG21" i="1"/>
  <c r="CZ28" i="1"/>
  <c r="EP28" i="1"/>
  <c r="EQ28" i="1"/>
  <c r="DA7" i="1"/>
  <c r="ES7" i="1"/>
  <c r="DM7" i="1"/>
  <c r="EQ16" i="1"/>
  <c r="CV21" i="1"/>
  <c r="CX22" i="1"/>
  <c r="CY20" i="1"/>
  <c r="EQ20" i="1"/>
  <c r="DC22" i="1"/>
  <c r="ER21" i="1"/>
  <c r="CW14" i="1"/>
  <c r="CY16" i="1"/>
  <c r="EN21" i="1"/>
  <c r="DM19" i="1"/>
  <c r="DA19" i="1"/>
  <c r="ES19" i="1"/>
  <c r="DB18" i="1"/>
  <c r="CX6" i="1"/>
  <c r="EP6" i="1"/>
  <c r="CV19" i="1"/>
  <c r="EN19" i="1"/>
  <c r="DT19" i="1"/>
  <c r="DS19" i="1"/>
  <c r="EU17" i="1"/>
  <c r="EP4" i="1"/>
  <c r="CX4" i="1"/>
  <c r="DG10" i="1"/>
  <c r="CW10" i="1"/>
  <c r="EO10" i="1"/>
  <c r="EO20" i="1"/>
  <c r="DM20" i="1"/>
  <c r="DA20" i="1"/>
  <c r="ES20" i="1"/>
  <c r="ET18" i="1"/>
  <c r="DC25" i="1"/>
  <c r="DB10" i="1"/>
  <c r="ET10" i="1"/>
  <c r="DG18" i="1"/>
  <c r="CW18" i="1"/>
  <c r="EO18" i="1"/>
  <c r="DG9" i="1"/>
  <c r="CW9" i="1"/>
  <c r="EO9" i="1"/>
  <c r="ES8" i="1"/>
  <c r="DA8" i="1"/>
  <c r="DM8" i="1"/>
  <c r="EO7" i="1"/>
  <c r="DG7" i="1"/>
  <c r="CW7" i="1"/>
  <c r="EN22" i="1"/>
  <c r="DS22" i="1"/>
  <c r="DT22" i="1"/>
  <c r="CV22" i="1"/>
  <c r="DC18" i="1"/>
  <c r="DC17" i="1"/>
  <c r="CY13" i="1"/>
  <c r="EQ13" i="1"/>
  <c r="DC11" i="1"/>
  <c r="EU11" i="1"/>
  <c r="CZ21" i="1"/>
  <c r="ES9" i="1"/>
  <c r="DA9" i="1"/>
  <c r="DM9" i="1"/>
  <c r="CX5" i="1"/>
  <c r="EP5" i="1"/>
  <c r="DG11" i="1"/>
  <c r="CW11" i="1"/>
  <c r="EO11" i="1"/>
  <c r="CW20" i="1"/>
  <c r="DC5" i="1"/>
  <c r="EU5" i="1"/>
  <c r="EN4" i="1"/>
  <c r="CV4" i="1"/>
  <c r="DS4" i="1"/>
  <c r="DT4" i="1"/>
  <c r="EQ8" i="1"/>
  <c r="CY8" i="1"/>
  <c r="CZ6" i="1"/>
  <c r="ER6" i="1"/>
  <c r="DK6" i="1"/>
  <c r="CY4" i="1"/>
  <c r="EQ4" i="1"/>
  <c r="DA25" i="1"/>
  <c r="ES25" i="1"/>
  <c r="DM25" i="1"/>
  <c r="DT12" i="1"/>
  <c r="EN12" i="1"/>
  <c r="DS12" i="1"/>
  <c r="CV12" i="1"/>
  <c r="DS17" i="1"/>
  <c r="CV17" i="1"/>
  <c r="EN17" i="1"/>
  <c r="DT17" i="1"/>
  <c r="DA18" i="1"/>
  <c r="DM18" i="1"/>
  <c r="ES18" i="1"/>
  <c r="DG13" i="1"/>
  <c r="CW13" i="1"/>
  <c r="EO13" i="1"/>
  <c r="CX14" i="1"/>
  <c r="EP14" i="1"/>
  <c r="DB21" i="1"/>
  <c r="DM4" i="1"/>
  <c r="DA4" i="1"/>
  <c r="ES4" i="1"/>
  <c r="EO14" i="1"/>
  <c r="EP21" i="1"/>
  <c r="CY14" i="1"/>
  <c r="CY18" i="1"/>
  <c r="EQ18" i="1"/>
  <c r="EU24" i="1"/>
  <c r="DC24" i="1"/>
  <c r="DB23" i="1"/>
  <c r="DB11" i="1"/>
  <c r="ET11" i="1"/>
  <c r="DG8" i="1"/>
  <c r="EO8" i="1"/>
  <c r="CW8" i="1"/>
  <c r="EU18" i="1"/>
  <c r="EQ15" i="1"/>
  <c r="CY15" i="1"/>
  <c r="DC10" i="1"/>
  <c r="EU10" i="1"/>
  <c r="ES11" i="1"/>
  <c r="DM11" i="1"/>
  <c r="DA11" i="1"/>
  <c r="DK22" i="1"/>
  <c r="ER22" i="1"/>
  <c r="CZ22" i="1"/>
  <c r="CX13" i="1"/>
  <c r="EP13" i="1"/>
  <c r="EO12" i="1"/>
  <c r="DG12" i="1"/>
  <c r="CW12" i="1"/>
  <c r="DK4" i="1"/>
  <c r="CZ4" i="1"/>
  <c r="ER4" i="1"/>
  <c r="EN5" i="1"/>
  <c r="CX3" i="1"/>
  <c r="EP3" i="1"/>
  <c r="ET23" i="1"/>
  <c r="EQ25" i="1"/>
  <c r="CY25" i="1"/>
  <c r="DS2" i="1"/>
  <c r="CV2" i="1"/>
  <c r="DT2" i="1"/>
  <c r="EN2" i="1"/>
  <c r="DB17" i="1"/>
  <c r="ET17" i="1"/>
  <c r="DG22" i="1"/>
  <c r="EO22" i="1"/>
  <c r="CW22" i="1"/>
  <c r="DB24" i="1"/>
  <c r="ET16" i="1"/>
  <c r="DG23" i="1"/>
  <c r="CW23" i="1"/>
  <c r="EO23" i="1"/>
  <c r="DC14" i="1"/>
  <c r="EU14" i="1"/>
  <c r="ET13" i="1"/>
  <c r="DB13" i="1"/>
  <c r="DM10" i="1"/>
  <c r="DA10" i="1"/>
  <c r="ES10" i="1"/>
  <c r="ER24" i="1"/>
  <c r="CZ24" i="1"/>
  <c r="DK24" i="1"/>
  <c r="EP15" i="1"/>
  <c r="CX15" i="1"/>
  <c r="ER9" i="1"/>
  <c r="CZ9" i="1"/>
  <c r="DK9" i="1"/>
  <c r="ER2" i="1"/>
  <c r="DK2" i="1"/>
  <c r="CZ2" i="1"/>
  <c r="CV5" i="1"/>
  <c r="CW5" i="1"/>
  <c r="EO5" i="1"/>
  <c r="DG5" i="1"/>
  <c r="CV9" i="1"/>
  <c r="EN9" i="1"/>
  <c r="DT9" i="1"/>
  <c r="DS9" i="1"/>
  <c r="DY29" i="1"/>
  <c r="CX23" i="1"/>
  <c r="EP23" i="1"/>
  <c r="ET24" i="1"/>
  <c r="DC15" i="1"/>
  <c r="EU15" i="1"/>
  <c r="DB12" i="1"/>
  <c r="ET12" i="1"/>
  <c r="DM12" i="1"/>
  <c r="DA12" i="1"/>
  <c r="ES12" i="1"/>
  <c r="CZ26" i="1"/>
  <c r="DK26" i="1"/>
  <c r="ER26" i="1"/>
  <c r="CX10" i="1"/>
  <c r="EP10" i="1"/>
  <c r="DK12" i="1"/>
  <c r="CZ12" i="1"/>
  <c r="ER12" i="1"/>
  <c r="EN14" i="1"/>
  <c r="DT14" i="1"/>
  <c r="CV14" i="1"/>
  <c r="DS14" i="1"/>
  <c r="EQ23" i="1"/>
  <c r="CY23" i="1"/>
  <c r="DY34" i="1"/>
  <c r="DK11" i="1"/>
  <c r="CZ11" i="1"/>
  <c r="ER11" i="1"/>
  <c r="EQ22" i="1"/>
  <c r="CY22" i="1"/>
  <c r="ET25" i="1"/>
  <c r="CY10" i="1"/>
  <c r="EQ10" i="1"/>
  <c r="CV8" i="1"/>
  <c r="EN8" i="1"/>
  <c r="DT8" i="1"/>
  <c r="DS8" i="1"/>
  <c r="CX11" i="1"/>
  <c r="EP11" i="1"/>
  <c r="EO19" i="1"/>
  <c r="CW2" i="1"/>
  <c r="EO2" i="1"/>
  <c r="CZ17" i="1"/>
  <c r="DK17" i="1"/>
  <c r="ER17" i="1"/>
  <c r="EQ2" i="1"/>
  <c r="CY2" i="1"/>
  <c r="EP25" i="1"/>
  <c r="DC19" i="1"/>
  <c r="EU19" i="1"/>
  <c r="EP19" i="1"/>
  <c r="CX19" i="1"/>
  <c r="DB8" i="1"/>
  <c r="ET8" i="1"/>
  <c r="DB4" i="1"/>
  <c r="ET4" i="1"/>
  <c r="DT20" i="1"/>
  <c r="DS20" i="1"/>
  <c r="CV20" i="1"/>
  <c r="EN20" i="1"/>
  <c r="ET9" i="1"/>
  <c r="DB9" i="1"/>
  <c r="EN10" i="1"/>
  <c r="EQ9" i="1"/>
  <c r="CY9" i="1"/>
  <c r="CX20" i="1"/>
  <c r="EU9" i="1"/>
  <c r="DC9" i="1"/>
  <c r="CZ25" i="1"/>
  <c r="ER25" i="1"/>
  <c r="DK25" i="1"/>
  <c r="CW24" i="1"/>
  <c r="DG24" i="1"/>
  <c r="EO24" i="1"/>
  <c r="EO15" i="1"/>
  <c r="CX2" i="1"/>
  <c r="EP2" i="1"/>
  <c r="ET3" i="1"/>
  <c r="EN7" i="1"/>
  <c r="CV7" i="1"/>
  <c r="DT7" i="1"/>
  <c r="DS7" i="1"/>
  <c r="EQ17" i="1"/>
  <c r="CY17" i="1"/>
  <c r="DA17" i="1"/>
  <c r="DM17" i="1"/>
  <c r="ES17" i="1"/>
  <c r="DM16" i="1"/>
  <c r="DA16" i="1"/>
  <c r="ES16" i="1"/>
  <c r="EP8" i="1"/>
  <c r="CX8" i="1"/>
  <c r="DM22" i="1"/>
  <c r="DA22" i="1"/>
  <c r="ES22" i="1"/>
  <c r="EU26" i="1"/>
  <c r="DC26" i="1"/>
  <c r="DC27" i="1"/>
  <c r="EU27" i="1"/>
  <c r="DK16" i="1"/>
  <c r="CZ16" i="1"/>
  <c r="ER16" i="1"/>
  <c r="DA3" i="1"/>
  <c r="ES3" i="1"/>
  <c r="DM3" i="1"/>
  <c r="DC2" i="1"/>
  <c r="EU2" i="1"/>
  <c r="DC16" i="1"/>
  <c r="EU16" i="1"/>
  <c r="DB14" i="1"/>
  <c r="ET14" i="1"/>
  <c r="ES13" i="1"/>
  <c r="DA13" i="1"/>
  <c r="DM13" i="1"/>
  <c r="CX16" i="1"/>
  <c r="EP16" i="1"/>
  <c r="CZ5" i="1"/>
  <c r="DK5" i="1"/>
  <c r="ER5" i="1"/>
  <c r="ES14" i="1"/>
  <c r="DM14" i="1"/>
  <c r="DA14" i="1"/>
  <c r="CX25" i="1"/>
  <c r="CZ7" i="1"/>
  <c r="ER7" i="1"/>
  <c r="DK7" i="1"/>
  <c r="DB25" i="1"/>
  <c r="CY11" i="1"/>
  <c r="EQ11" i="1"/>
  <c r="ER8" i="1"/>
  <c r="DK8" i="1"/>
  <c r="CZ8" i="1"/>
  <c r="ES15" i="1"/>
  <c r="DM15" i="1"/>
  <c r="DA15" i="1"/>
  <c r="DK19" i="1"/>
  <c r="ER19" i="1"/>
  <c r="CZ19" i="1"/>
  <c r="DT6" i="1"/>
  <c r="DS6" i="1"/>
  <c r="CV6" i="1"/>
  <c r="EN6" i="1"/>
  <c r="EO17" i="1"/>
  <c r="CW17" i="1"/>
  <c r="DG17" i="1"/>
  <c r="EQ12" i="1"/>
  <c r="CY12" i="1"/>
  <c r="CY5" i="1"/>
  <c r="EU20" i="1"/>
  <c r="DC20" i="1"/>
  <c r="DC12" i="1"/>
  <c r="EU12" i="1"/>
  <c r="ET15" i="1"/>
  <c r="CX28" i="1"/>
  <c r="ER13" i="1"/>
  <c r="CZ13" i="1"/>
  <c r="DK13" i="1"/>
  <c r="CW19" i="1"/>
  <c r="DB5" i="1"/>
  <c r="ET5" i="1"/>
  <c r="DK10" i="1"/>
  <c r="CZ10" i="1"/>
  <c r="ER10" i="1"/>
  <c r="DM27" i="1"/>
  <c r="DA27" i="1"/>
  <c r="ES27" i="1"/>
  <c r="EO27" i="1"/>
  <c r="CW27" i="1"/>
  <c r="ET2" i="1"/>
  <c r="DB2" i="1"/>
  <c r="EN25" i="1"/>
  <c r="CV25" i="1"/>
  <c r="DS25" i="1"/>
  <c r="DT25" i="1"/>
  <c r="DC7" i="1"/>
  <c r="EU7" i="1"/>
  <c r="EO4" i="1"/>
  <c r="CW4" i="1"/>
  <c r="DG4" i="1"/>
  <c r="DB7" i="1"/>
  <c r="ET7" i="1"/>
  <c r="DC8" i="1"/>
  <c r="EU8" i="1"/>
  <c r="DY33" i="1"/>
  <c r="EU3" i="1"/>
  <c r="DC3" i="1"/>
  <c r="EQ21" i="1"/>
  <c r="CY21" i="1"/>
  <c r="DY30" i="1"/>
  <c r="CY7" i="1"/>
  <c r="EQ7" i="1"/>
  <c r="ES24" i="1"/>
  <c r="DA24" i="1"/>
  <c r="DM24" i="1"/>
  <c r="EO25" i="1"/>
  <c r="CW25" i="1"/>
  <c r="DG25" i="1"/>
  <c r="CW15" i="1"/>
  <c r="DK3" i="1"/>
  <c r="CZ3" i="1"/>
  <c r="ER3" i="1"/>
  <c r="DC13" i="1"/>
  <c r="DK14" i="1"/>
  <c r="CZ14" i="1"/>
  <c r="ER14" i="1"/>
  <c r="EU21" i="1"/>
  <c r="DC21" i="1"/>
  <c r="CX9" i="1"/>
  <c r="EP9" i="1"/>
  <c r="EQ24" i="1"/>
  <c r="CY24" i="1"/>
  <c r="DB6" i="1"/>
  <c r="ET6" i="1"/>
  <c r="DS18" i="1"/>
  <c r="DT18" i="1"/>
  <c r="CV18" i="1"/>
  <c r="EN18" i="1"/>
  <c r="DT15" i="1"/>
  <c r="DS15" i="1"/>
  <c r="CV15" i="1"/>
  <c r="EN15" i="1"/>
  <c r="EN3" i="1"/>
  <c r="DS3" i="1"/>
  <c r="DT3" i="1"/>
  <c r="CV3" i="1"/>
  <c r="CV10" i="1"/>
  <c r="ER27" i="1"/>
  <c r="CZ27" i="1"/>
  <c r="DT13" i="1"/>
  <c r="CV13" i="1"/>
  <c r="EN13" i="1"/>
  <c r="DS13" i="1"/>
  <c r="CY3" i="1"/>
  <c r="EQ3" i="1"/>
  <c r="DA21" i="1"/>
  <c r="ES21" i="1"/>
  <c r="DM21" i="1"/>
  <c r="DY28" i="3" l="1"/>
  <c r="DY3" i="2"/>
  <c r="DY16" i="2"/>
  <c r="DY26" i="3"/>
  <c r="DY5" i="2"/>
  <c r="DY27" i="2"/>
  <c r="DY10" i="3"/>
  <c r="DY25" i="3"/>
  <c r="DY3" i="3"/>
  <c r="DY27" i="3"/>
  <c r="DY14" i="3"/>
  <c r="DY8" i="3"/>
  <c r="DY20" i="3"/>
  <c r="DY13" i="3"/>
  <c r="DY24" i="3"/>
  <c r="DY17" i="3"/>
  <c r="DY14" i="2"/>
  <c r="DY6" i="2"/>
  <c r="DY4" i="2"/>
  <c r="DY8" i="2"/>
  <c r="EW2" i="3"/>
  <c r="EX2" i="3" s="1"/>
  <c r="DY7" i="3"/>
  <c r="DY2" i="3"/>
  <c r="DY22" i="3"/>
  <c r="EW5" i="3"/>
  <c r="EX5" i="3" s="1"/>
  <c r="EW8" i="3"/>
  <c r="EX8" i="3" s="1"/>
  <c r="EW9" i="3"/>
  <c r="EX9" i="3" s="1"/>
  <c r="EW4" i="3"/>
  <c r="EX4" i="3" s="1"/>
  <c r="EW6" i="3"/>
  <c r="EX6" i="3" s="1"/>
  <c r="EW3" i="3"/>
  <c r="EX3" i="3" s="1"/>
  <c r="EW7" i="3"/>
  <c r="EX7" i="3" s="1"/>
  <c r="DY6" i="3"/>
  <c r="DY23" i="3"/>
  <c r="DY5" i="3"/>
  <c r="DY19" i="3"/>
  <c r="DY4" i="3"/>
  <c r="DY12" i="3"/>
  <c r="DY15" i="3"/>
  <c r="DY9" i="3"/>
  <c r="DY11" i="3"/>
  <c r="DY16" i="3"/>
  <c r="DY18" i="3"/>
  <c r="DY21" i="3"/>
  <c r="DY11" i="2"/>
  <c r="DY9" i="2"/>
  <c r="DY7" i="2"/>
  <c r="DY17" i="2"/>
  <c r="DY26" i="2"/>
  <c r="DY22" i="2"/>
  <c r="DY24" i="2"/>
  <c r="DY23" i="2"/>
  <c r="DY2" i="2"/>
  <c r="DY20" i="2"/>
  <c r="DY21" i="2"/>
  <c r="DY18" i="2"/>
  <c r="DY10" i="2"/>
  <c r="DY25" i="2"/>
  <c r="DY15" i="2"/>
  <c r="DY12" i="2"/>
  <c r="DY13" i="2"/>
  <c r="EW8" i="2"/>
  <c r="EW6" i="2"/>
  <c r="EW3" i="2"/>
  <c r="EW5" i="2"/>
  <c r="EW2" i="2"/>
  <c r="EW9" i="2"/>
  <c r="EW7" i="2"/>
  <c r="EW4" i="2"/>
  <c r="DY19" i="2"/>
  <c r="EW2" i="1"/>
  <c r="EX2" i="1" s="1"/>
  <c r="EW3" i="1"/>
  <c r="EX3" i="1" s="1"/>
  <c r="DY26" i="1"/>
  <c r="DY28" i="1"/>
  <c r="DY5" i="1"/>
  <c r="DY27" i="1"/>
  <c r="DY22" i="1"/>
  <c r="DY7" i="1"/>
  <c r="DY10" i="1"/>
  <c r="DY24" i="1"/>
  <c r="DY12" i="1"/>
  <c r="DY18" i="1"/>
  <c r="DY9" i="1"/>
  <c r="DY17" i="1"/>
  <c r="DY6" i="1"/>
  <c r="DY23" i="1"/>
  <c r="EW9" i="1"/>
  <c r="EW4" i="1"/>
  <c r="EW8" i="1"/>
  <c r="EW6" i="1"/>
  <c r="EW5" i="1"/>
  <c r="EW7" i="1"/>
  <c r="DY20" i="1"/>
  <c r="DY19" i="1"/>
  <c r="DY13" i="1"/>
  <c r="DY8" i="1"/>
  <c r="DY21" i="1"/>
  <c r="DY15" i="1"/>
  <c r="DY11" i="1"/>
  <c r="DY2" i="1"/>
  <c r="DY14" i="1"/>
  <c r="DY25" i="1"/>
  <c r="DY4" i="1"/>
  <c r="DY3" i="1"/>
  <c r="DY16" i="1"/>
  <c r="EX9" i="2" l="1"/>
  <c r="EX30" i="3" s="1"/>
  <c r="EW30" i="3"/>
  <c r="EX5" i="2"/>
  <c r="EX26" i="3" s="1"/>
  <c r="EW26" i="3"/>
  <c r="EX3" i="2"/>
  <c r="EX24" i="3" s="1"/>
  <c r="EW24" i="3"/>
  <c r="EX7" i="2"/>
  <c r="EX28" i="3" s="1"/>
  <c r="EW28" i="3"/>
  <c r="EX6" i="2"/>
  <c r="EX27" i="3" s="1"/>
  <c r="EW27" i="3"/>
  <c r="EX8" i="2"/>
  <c r="EX29" i="3" s="1"/>
  <c r="EW29" i="3"/>
  <c r="EX4" i="2"/>
  <c r="EX25" i="3" s="1"/>
  <c r="EW25" i="3"/>
  <c r="EX2" i="2"/>
  <c r="EX23" i="3" s="1"/>
  <c r="EW23" i="3"/>
  <c r="EX5" i="1"/>
  <c r="EX16" i="3" s="1"/>
  <c r="EW16" i="3"/>
  <c r="EX6" i="1"/>
  <c r="EX17" i="3" s="1"/>
  <c r="EW17" i="3"/>
  <c r="EX7" i="1"/>
  <c r="EX18" i="3" s="1"/>
  <c r="EW18" i="3"/>
  <c r="EX8" i="1"/>
  <c r="EX19" i="3" s="1"/>
  <c r="EW19" i="3"/>
  <c r="EX4" i="1"/>
  <c r="EX15" i="3" s="1"/>
  <c r="EW15" i="3"/>
  <c r="EX14" i="3"/>
  <c r="EW14" i="3"/>
  <c r="EX9" i="1"/>
  <c r="EX20" i="3" s="1"/>
  <c r="EW20" i="3"/>
  <c r="EX13" i="3"/>
  <c r="EW13" i="3"/>
</calcChain>
</file>

<file path=xl/sharedStrings.xml><?xml version="1.0" encoding="utf-8"?>
<sst xmlns="http://schemas.openxmlformats.org/spreadsheetml/2006/main" count="527" uniqueCount="58">
  <si>
    <t>Time</t>
  </si>
  <si>
    <t>AUDUSD</t>
  </si>
  <si>
    <t>AUDNZD</t>
  </si>
  <si>
    <t>AUDJPY</t>
  </si>
  <si>
    <t>AUDCHF</t>
  </si>
  <si>
    <t>AUDCAD</t>
  </si>
  <si>
    <t>EURUSD</t>
  </si>
  <si>
    <t>EURCAD</t>
  </si>
  <si>
    <t>EURGBP</t>
  </si>
  <si>
    <t>EURCHF</t>
  </si>
  <si>
    <t>EURJPY</t>
  </si>
  <si>
    <t>EURAUD</t>
  </si>
  <si>
    <t>EURNZD</t>
  </si>
  <si>
    <t>GBPUSD</t>
  </si>
  <si>
    <t>GBPAUD</t>
  </si>
  <si>
    <t>GBPNZD</t>
  </si>
  <si>
    <t>GBPCAD</t>
  </si>
  <si>
    <t>GBPCHF</t>
  </si>
  <si>
    <t>GBPJPY</t>
  </si>
  <si>
    <t>NZDJPY</t>
  </si>
  <si>
    <t>NZDCHF</t>
  </si>
  <si>
    <t>NZDUSD</t>
  </si>
  <si>
    <t>NZDCAD</t>
  </si>
  <si>
    <t>CADJPY</t>
  </si>
  <si>
    <t>CADCHF</t>
  </si>
  <si>
    <t>CHFJPY</t>
  </si>
  <si>
    <t>USDCAD</t>
  </si>
  <si>
    <t>USDCHF</t>
  </si>
  <si>
    <t>USDJPY</t>
  </si>
  <si>
    <t>ID</t>
  </si>
  <si>
    <t>EUR</t>
  </si>
  <si>
    <t>USD</t>
  </si>
  <si>
    <t>CAD</t>
  </si>
  <si>
    <t>CHF</t>
  </si>
  <si>
    <t>GBP</t>
  </si>
  <si>
    <t>AUD</t>
  </si>
  <si>
    <t>NZD</t>
  </si>
  <si>
    <t>JPY</t>
  </si>
  <si>
    <t>USDGBP</t>
  </si>
  <si>
    <t>USDAUD</t>
  </si>
  <si>
    <t>USDNZD</t>
  </si>
  <si>
    <t>UE</t>
  </si>
  <si>
    <t>EU</t>
  </si>
  <si>
    <t>Portfolio Performance</t>
  </si>
  <si>
    <t>Portfolio</t>
  </si>
  <si>
    <t xml:space="preserve">GBP </t>
  </si>
  <si>
    <t>DD</t>
  </si>
  <si>
    <t>Market performance</t>
  </si>
  <si>
    <t>Buy</t>
  </si>
  <si>
    <t>Sell</t>
  </si>
  <si>
    <t>LAST PRICE</t>
  </si>
  <si>
    <t>previous</t>
  </si>
  <si>
    <t>Market performance H1</t>
  </si>
  <si>
    <t>Market performance H4</t>
  </si>
  <si>
    <t>Market performance D1</t>
  </si>
  <si>
    <t>EU-H4</t>
  </si>
  <si>
    <t>EU-D1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</si>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</sst>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00"/>
    <numFmt numFmtId="166" formatCode="0.000000"/>
    <numFmt numFmtId="167" formatCode="0.0"/>
  </numFmts>
  <fonts count="12" x14ac:knownFonts="1"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/>
        <bgColor theme="9"/>
      </patternFill>
    </fill>
    <fill>
      <patternFill patternType="solid">
        <fgColor theme="5"/>
        <bgColor theme="5"/>
      </patternFill>
    </fill>
    <fill>
      <patternFill patternType="solid">
        <fgColor theme="8"/>
        <bgColor theme="8"/>
      </patternFill>
    </fill>
  </fills>
  <borders count="16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3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6" fillId="4" borderId="0" xfId="0" applyFont="1" applyFill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22" fontId="0" fillId="5" borderId="0" xfId="0" applyNumberFormat="1" applyFill="1"/>
    <xf numFmtId="0" fontId="8" fillId="0" borderId="6" xfId="0" applyFont="1" applyBorder="1"/>
    <xf numFmtId="164" fontId="6" fillId="6" borderId="4" xfId="0" applyNumberFormat="1" applyFont="1" applyFill="1" applyBorder="1"/>
    <xf numFmtId="164" fontId="6" fillId="7" borderId="4" xfId="0" applyNumberFormat="1" applyFont="1" applyFill="1" applyBorder="1"/>
    <xf numFmtId="164" fontId="6" fillId="8" borderId="6" xfId="0" applyNumberFormat="1" applyFont="1" applyFill="1" applyBorder="1"/>
    <xf numFmtId="0" fontId="6" fillId="9" borderId="6" xfId="0" applyFont="1" applyFill="1" applyBorder="1"/>
    <xf numFmtId="164" fontId="6" fillId="9" borderId="6" xfId="0" applyNumberFormat="1" applyFont="1" applyFill="1" applyBorder="1"/>
    <xf numFmtId="164" fontId="0" fillId="10" borderId="0" xfId="0" applyNumberFormat="1" applyFill="1"/>
    <xf numFmtId="166" fontId="0" fillId="0" borderId="0" xfId="0" applyNumberFormat="1"/>
    <xf numFmtId="0" fontId="8" fillId="0" borderId="0" xfId="0" applyFont="1"/>
    <xf numFmtId="164" fontId="6" fillId="11" borderId="0" xfId="0" applyNumberFormat="1" applyFont="1" applyFill="1"/>
    <xf numFmtId="164" fontId="6" fillId="12" borderId="0" xfId="0" applyNumberFormat="1" applyFont="1" applyFill="1"/>
    <xf numFmtId="164" fontId="6" fillId="13" borderId="0" xfId="0" applyNumberFormat="1" applyFont="1" applyFill="1"/>
    <xf numFmtId="0" fontId="6" fillId="14" borderId="0" xfId="0" applyFont="1" applyFill="1"/>
    <xf numFmtId="164" fontId="6" fillId="14" borderId="0" xfId="0" applyNumberFormat="1" applyFont="1" applyFill="1"/>
    <xf numFmtId="164" fontId="6" fillId="6" borderId="0" xfId="0" applyNumberFormat="1" applyFont="1" applyFill="1"/>
    <xf numFmtId="164" fontId="6" fillId="7" borderId="0" xfId="0" applyNumberFormat="1" applyFont="1" applyFill="1"/>
    <xf numFmtId="164" fontId="6" fillId="8" borderId="0" xfId="0" applyNumberFormat="1" applyFont="1" applyFill="1"/>
    <xf numFmtId="0" fontId="6" fillId="9" borderId="0" xfId="0" applyFont="1" applyFill="1"/>
    <xf numFmtId="164" fontId="6" fillId="9" borderId="0" xfId="0" applyNumberFormat="1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9" fillId="4" borderId="0" xfId="0" applyFont="1" applyFill="1"/>
    <xf numFmtId="2" fontId="10" fillId="0" borderId="0" xfId="0" applyNumberFormat="1" applyFont="1"/>
    <xf numFmtId="0" fontId="10" fillId="0" borderId="0" xfId="0" applyFont="1"/>
    <xf numFmtId="0" fontId="11" fillId="4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6" fillId="9" borderId="6" xfId="0" applyFont="1" applyFill="1" applyBorder="1" applyAlignment="1">
      <alignment horizontal="center"/>
    </xf>
    <xf numFmtId="164" fontId="6" fillId="9" borderId="6" xfId="0" applyNumberFormat="1" applyFont="1" applyFill="1" applyBorder="1" applyAlignment="1">
      <alignment horizontal="center"/>
    </xf>
    <xf numFmtId="0" fontId="6" fillId="14" borderId="0" xfId="0" applyFont="1" applyFill="1" applyAlignment="1">
      <alignment horizontal="center"/>
    </xf>
    <xf numFmtId="164" fontId="6" fillId="14" borderId="0" xfId="0" applyNumberFormat="1" applyFont="1" applyFill="1" applyAlignment="1">
      <alignment horizontal="center"/>
    </xf>
    <xf numFmtId="0" fontId="6" fillId="9" borderId="0" xfId="0" applyFont="1" applyFill="1" applyAlignment="1">
      <alignment horizontal="center"/>
    </xf>
    <xf numFmtId="164" fontId="6" fillId="9" borderId="0" xfId="0" applyNumberFormat="1" applyFont="1" applyFill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/>
    </xf>
    <xf numFmtId="164" fontId="6" fillId="9" borderId="7" xfId="0" applyNumberFormat="1" applyFont="1" applyFill="1" applyBorder="1" applyAlignment="1">
      <alignment horizontal="center"/>
    </xf>
    <xf numFmtId="0" fontId="6" fillId="14" borderId="7" xfId="0" applyFont="1" applyFill="1" applyBorder="1" applyAlignment="1">
      <alignment horizontal="center"/>
    </xf>
    <xf numFmtId="164" fontId="6" fillId="14" borderId="7" xfId="0" applyNumberFormat="1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164" fontId="6" fillId="8" borderId="7" xfId="0" applyNumberFormat="1" applyFont="1" applyFill="1" applyBorder="1" applyAlignment="1">
      <alignment horizontal="center"/>
    </xf>
    <xf numFmtId="164" fontId="6" fillId="13" borderId="7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7" fontId="0" fillId="0" borderId="13" xfId="0" applyNumberFormat="1" applyBorder="1" applyAlignment="1">
      <alignment horizontal="center"/>
    </xf>
    <xf numFmtId="167" fontId="0" fillId="0" borderId="14" xfId="0" applyNumberFormat="1" applyBorder="1" applyAlignment="1">
      <alignment horizontal="center"/>
    </xf>
    <xf numFmtId="167" fontId="0" fillId="0" borderId="15" xfId="0" applyNumberFormat="1" applyBorder="1" applyAlignment="1">
      <alignment horizontal="center"/>
    </xf>
    <xf numFmtId="0" fontId="5" fillId="3" borderId="7" xfId="0" applyFont="1" applyFill="1" applyBorder="1" applyAlignment="1">
      <alignment horizontal="center" vertical="center" wrapText="1"/>
    </xf>
    <xf numFmtId="164" fontId="6" fillId="6" borderId="7" xfId="0" applyNumberFormat="1" applyFont="1" applyFill="1" applyBorder="1" applyAlignment="1">
      <alignment horizontal="center"/>
    </xf>
    <xf numFmtId="164" fontId="6" fillId="11" borderId="7" xfId="0" applyNumberFormat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/>
    </xf>
    <xf numFmtId="164" fontId="6" fillId="12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211"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8EA9DB"/>
        </top>
      </border>
    </dxf>
    <dxf>
      <alignment horizontal="center" textRotation="0" indent="0" justifyLastLine="0" shrinkToFit="0" readingOrder="0"/>
    </dxf>
    <dxf>
      <border outline="0">
        <top style="thin">
          <color rgb="FF8EA9DB"/>
        </top>
        <bottom style="thin">
          <color rgb="FF8EA9DB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textRotation="0" indent="0" justifyLastLine="0" shrinkToFit="0" readingOrder="0"/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alignment horizontal="center" textRotation="0" indent="0" justifyLastLine="0" shrinkToFit="0" readingOrder="0"/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0.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0.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8EA9DB"/>
        </top>
      </border>
    </dxf>
    <dxf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rgb="FF000000"/>
          <bgColor rgb="FFFFFFFF"/>
        </patternFill>
      </fill>
      <alignment horizont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0.84365999999999997</v>
        <stp/>
        <stp>21422436</stp>
        <stp>@bh,EURGBP,d1,close,18</stp>
        <tr r="J20" s="2"/>
      </tp>
      <tp>
        <v>0.84394999999999998</v>
        <stp/>
        <stp>21422436</stp>
        <stp>@bh,EURGBP,d1,close,19</stp>
        <tr r="J21" s="2"/>
      </tp>
      <tp>
        <v>0.86046</v>
        <stp/>
        <stp>21422436</stp>
        <stp>@bh,EURGBP,d1,close,10</stp>
        <tr r="J12" s="2"/>
      </tp>
      <tp>
        <v>0.86121999999999999</v>
        <stp/>
        <stp>21422436</stp>
        <stp>@bh,EURGBP,d1,close,11</stp>
        <tr r="J13" s="2"/>
      </tp>
      <tp>
        <v>0.85707999999999995</v>
        <stp/>
        <stp>21422436</stp>
        <stp>@bh,EURGBP,d1,close,12</stp>
        <tr r="J14" s="2"/>
      </tp>
      <tp>
        <v>0.85196000000000005</v>
        <stp/>
        <stp>21422436</stp>
        <stp>@bh,EURGBP,d1,close,13</stp>
        <tr r="J15" s="2"/>
      </tp>
      <tp>
        <v>0.84709999999999996</v>
        <stp/>
        <stp>21422436</stp>
        <stp>@bh,EURGBP,d1,close,14</stp>
        <tr r="J16" s="2"/>
      </tp>
      <tp>
        <v>0.84211000000000003</v>
        <stp/>
        <stp>21422436</stp>
        <stp>@bh,EURGBP,d1,close,15</stp>
        <tr r="J17" s="2"/>
      </tp>
      <tp>
        <v>0.84250999999999998</v>
        <stp/>
        <stp>21422436</stp>
        <stp>@bh,EURGBP,d1,close,16</stp>
        <tr r="J18" s="2"/>
      </tp>
      <tp>
        <v>0.84135000000000004</v>
        <stp/>
        <stp>21422436</stp>
        <stp>@bh,EURGBP,d1,close,17</stp>
        <tr r="J19" s="2"/>
      </tp>
      <tp>
        <v>0.83979999999999999</v>
        <stp/>
        <stp>21422436</stp>
        <stp>@bh,EURGBP,d1,close,20</stp>
        <tr r="J22" s="2"/>
      </tp>
      <tp>
        <v>0.84084000000000003</v>
        <stp/>
        <stp>21422436</stp>
        <stp>@bh,EURGBP,d1,close,21</stp>
        <tr r="J23" s="2"/>
      </tp>
      <tp>
        <v>0.84206000000000003</v>
        <stp/>
        <stp>21422436</stp>
        <stp>@bh,EURGBP,d1,close,22</stp>
        <tr r="J24" s="2"/>
      </tp>
      <tp>
        <v>0.84270999999999996</v>
        <stp/>
        <stp>21422436</stp>
        <stp>@bh,EURGBP,d1,close,23</stp>
        <tr r="J25" s="2"/>
      </tp>
      <tp>
        <v>0.84180999999999995</v>
        <stp/>
        <stp>21422436</stp>
        <stp>@bh,EURGBP,d1,close,24</stp>
        <tr r="J26" s="2"/>
      </tp>
      <tp>
        <v>0.84096000000000004</v>
        <stp/>
        <stp>21422436</stp>
        <stp>@bh,EURGBP,d1,close,25</stp>
        <tr r="J27" s="2"/>
      </tp>
      <tp>
        <v>0.84006999999999998</v>
        <stp/>
        <stp>21422436</stp>
        <stp>@bh,EURGBP,d1,close,26</stp>
        <tr r="J28" s="2"/>
      </tp>
      <tp>
        <v>0.84014</v>
        <stp/>
        <stp>21422436</stp>
        <stp>@bh,EURGBP,d1,close,27</stp>
        <tr r="J29" s="2"/>
      </tp>
      <tp>
        <v>147.27099999999999</v>
        <stp/>
        <stp>21422436</stp>
        <stp>@bh,USDJPY,h4,close,27</stp>
        <tr r="AD29" s="1"/>
      </tp>
      <tp>
        <v>147.339</v>
        <stp/>
        <stp>21422436</stp>
        <stp>@bh,USDJPY,h4,close,26</stp>
        <tr r="AD28" s="1"/>
      </tp>
      <tp>
        <v>148.959</v>
        <stp/>
        <stp>21422436</stp>
        <stp>@bh,USDJPY,h4,close,25</stp>
        <tr r="AD27" s="1"/>
      </tp>
      <tp>
        <v>149.04400000000001</v>
        <stp/>
        <stp>21422436</stp>
        <stp>@bh,USDJPY,h4,close,24</stp>
        <tr r="AD26" s="1"/>
      </tp>
      <tp>
        <v>149.28299999999999</v>
        <stp/>
        <stp>21422436</stp>
        <stp>@bh,USDJPY,h4,close,23</stp>
        <tr r="AD25" s="1"/>
      </tp>
      <tp>
        <v>148.95500000000001</v>
        <stp/>
        <stp>21422436</stp>
        <stp>@bh,USDJPY,h4,close,22</stp>
        <tr r="AD24" s="1"/>
      </tp>
      <tp>
        <v>148.86500000000001</v>
        <stp/>
        <stp>21422436</stp>
        <stp>@bh,USDJPY,h4,close,21</stp>
        <tr r="AD23" s="1"/>
      </tp>
      <tp>
        <v>148.71299999999999</v>
        <stp/>
        <stp>21422436</stp>
        <stp>@bh,USDJPY,h4,close,20</stp>
        <tr r="AD22" s="1"/>
      </tp>
      <tp>
        <v>147.59800000000001</v>
        <stp/>
        <stp>21422436</stp>
        <stp>@bh,USDJPY,h4,close,17</stp>
        <tr r="AD19" s="1"/>
      </tp>
      <tp>
        <v>147.78100000000001</v>
        <stp/>
        <stp>21422436</stp>
        <stp>@bh,USDJPY,h4,close,16</stp>
        <tr r="AD18" s="1"/>
      </tp>
      <tp>
        <v>146.19200000000001</v>
        <stp/>
        <stp>21422436</stp>
        <stp>@bh,USDJPY,h4,close,15</stp>
        <tr r="AD17" s="1"/>
      </tp>
      <tp>
        <v>146.08099999999999</v>
        <stp/>
        <stp>21422436</stp>
        <stp>@bh,USDJPY,h4,close,14</stp>
        <tr r="AD16" s="1"/>
      </tp>
      <tp>
        <v>146.21799999999999</v>
        <stp/>
        <stp>21422436</stp>
        <stp>@bh,USDJPY,h4,close,13</stp>
        <tr r="AD15" s="1"/>
      </tp>
      <tp>
        <v>146.5</v>
        <stp/>
        <stp>21422436</stp>
        <stp>@bh,USDJPY,h4,close,12</stp>
        <tr r="AD14" s="1"/>
      </tp>
      <tp>
        <v>146.602</v>
        <stp/>
        <stp>21422436</stp>
        <stp>@bh,USDJPY,h4,close,11</stp>
        <tr r="AD13" s="1"/>
      </tp>
      <tp>
        <v>146.25700000000001</v>
        <stp/>
        <stp>21422436</stp>
        <stp>@bh,USDJPY,h4,close,10</stp>
        <tr r="AD12" s="1"/>
      </tp>
      <tp>
        <v>147.68799999999999</v>
        <stp/>
        <stp>21422436</stp>
        <stp>@bh,USDJPY,h4,close,19</stp>
        <tr r="AD21" s="1"/>
      </tp>
      <tp>
        <v>148.00299999999999</v>
        <stp/>
        <stp>21422436</stp>
        <stp>@bh,USDJPY,h4,close,18</stp>
        <tr r="AD20" s="1"/>
      </tp>
      <tp>
        <v>146.376</v>
        <stp/>
        <stp>21422436</stp>
        <stp>@bh,USDJPY,h1,close,27</stp>
        <tr r="AD29" s="3"/>
      </tp>
      <tp>
        <v>146.17099999999999</v>
        <stp/>
        <stp>21422436</stp>
        <stp>@bh,USDJPY,h1,close,26</stp>
        <tr r="AD28" s="3"/>
      </tp>
      <tp>
        <v>146.11099999999999</v>
        <stp/>
        <stp>21422436</stp>
        <stp>@bh,USDJPY,h1,close,25</stp>
        <tr r="AD27" s="3"/>
      </tp>
      <tp>
        <v>145.59800000000001</v>
        <stp/>
        <stp>21422436</stp>
        <stp>@bh,USDJPY,h1,close,24</stp>
        <tr r="AD26" s="3"/>
      </tp>
      <tp>
        <v>145.697</v>
        <stp/>
        <stp>21422436</stp>
        <stp>@bh,USDJPY,h1,close,23</stp>
        <tr r="AD25" s="3"/>
      </tp>
      <tp>
        <v>145.39699999999999</v>
        <stp/>
        <stp>21422436</stp>
        <stp>@bh,USDJPY,h1,close,22</stp>
        <tr r="AD24" s="3"/>
      </tp>
      <tp>
        <v>145.48699999999999</v>
        <stp/>
        <stp>21422436</stp>
        <stp>@bh,USDJPY,h1,close,21</stp>
        <tr r="AD23" s="3"/>
      </tp>
      <tp>
        <v>145.386</v>
        <stp/>
        <stp>21422436</stp>
        <stp>@bh,USDJPY,h1,close,20</stp>
        <tr r="AD22" s="3"/>
      </tp>
      <tp>
        <v>145.113</v>
        <stp/>
        <stp>21422436</stp>
        <stp>@bh,USDJPY,h1,close,17</stp>
        <tr r="AD19" s="3"/>
      </tp>
      <tp>
        <v>145.12899999999999</v>
        <stp/>
        <stp>21422436</stp>
        <stp>@bh,USDJPY,h1,close,16</stp>
        <tr r="AD18" s="3"/>
      </tp>
      <tp>
        <v>145.327</v>
        <stp/>
        <stp>21422436</stp>
        <stp>@bh,USDJPY,h1,close,15</stp>
        <tr r="AD17" s="3"/>
      </tp>
      <tp>
        <v>145.45099999999999</v>
        <stp/>
        <stp>21422436</stp>
        <stp>@bh,USDJPY,h1,close,14</stp>
        <tr r="AD16" s="3"/>
      </tp>
      <tp>
        <v>145.41</v>
        <stp/>
        <stp>21422436</stp>
        <stp>@bh,USDJPY,h1,close,13</stp>
        <tr r="AD15" s="3"/>
      </tp>
      <tp>
        <v>145.393</v>
        <stp/>
        <stp>21422436</stp>
        <stp>@bh,USDJPY,h1,close,12</stp>
        <tr r="AD14" s="3"/>
      </tp>
      <tp>
        <v>145.47800000000001</v>
        <stp/>
        <stp>21422436</stp>
        <stp>@bh,USDJPY,h1,close,11</stp>
        <tr r="AD13" s="3"/>
      </tp>
      <tp>
        <v>145.67500000000001</v>
        <stp/>
        <stp>21422436</stp>
        <stp>@bh,USDJPY,h1,close,10</stp>
        <tr r="AD12" s="3"/>
      </tp>
      <tp>
        <v>145.339</v>
        <stp/>
        <stp>21422436</stp>
        <stp>@bh,USDJPY,h1,close,19</stp>
        <tr r="AD21" s="3"/>
      </tp>
      <tp>
        <v>145.262</v>
        <stp/>
        <stp>21422436</stp>
        <stp>@bh,USDJPY,h1,close,18</stp>
        <tr r="AD20" s="3"/>
      </tp>
      <tp>
        <v>89.406999999999996</v>
        <stp/>
        <stp>21422436</stp>
        <stp>@bh,NZDJPY,h4,close,18</stp>
        <tr r="U20" s="1"/>
      </tp>
      <tp>
        <v>88.957999999999998</v>
        <stp/>
        <stp>21422436</stp>
        <stp>@bh,NZDJPY,h4,close,19</stp>
        <tr r="U21" s="1"/>
      </tp>
      <tp>
        <v>89.488</v>
        <stp/>
        <stp>21422436</stp>
        <stp>@bh,NZDJPY,h4,close,16</stp>
        <tr r="U18" s="1"/>
      </tp>
      <tp>
        <v>89.352999999999994</v>
        <stp/>
        <stp>21422436</stp>
        <stp>@bh,NZDJPY,h4,close,17</stp>
        <tr r="U19" s="1"/>
      </tp>
      <tp>
        <v>88.695999999999998</v>
        <stp/>
        <stp>21422436</stp>
        <stp>@bh,NZDJPY,h4,close,14</stp>
        <tr r="U16" s="1"/>
      </tp>
      <tp>
        <v>88.888999999999996</v>
        <stp/>
        <stp>21422436</stp>
        <stp>@bh,NZDJPY,h4,close,15</stp>
        <tr r="U17" s="1"/>
      </tp>
      <tp>
        <v>89.274000000000001</v>
        <stp/>
        <stp>21422436</stp>
        <stp>@bh,NZDJPY,h4,close,12</stp>
        <tr r="U14" s="1"/>
      </tp>
      <tp>
        <v>88.804000000000002</v>
        <stp/>
        <stp>21422436</stp>
        <stp>@bh,NZDJPY,h4,close,13</stp>
        <tr r="U15" s="1"/>
      </tp>
      <tp>
        <v>89.462000000000003</v>
        <stp/>
        <stp>21422436</stp>
        <stp>@bh,NZDJPY,h4,close,10</stp>
        <tr r="U12" s="1"/>
      </tp>
      <tp>
        <v>89.62</v>
        <stp/>
        <stp>21422436</stp>
        <stp>@bh,NZDJPY,h4,close,11</stp>
        <tr r="U13" s="1"/>
      </tp>
      <tp>
        <v>88.39</v>
        <stp/>
        <stp>21422436</stp>
        <stp>@bh,NZDJPY,h4,close,26</stp>
        <tr r="U28" s="1"/>
      </tp>
      <tp>
        <v>88.43</v>
        <stp/>
        <stp>21422436</stp>
        <stp>@bh,NZDJPY,h4,close,27</stp>
        <tr r="U29" s="1"/>
      </tp>
      <tp>
        <v>89.429000000000002</v>
        <stp/>
        <stp>21422436</stp>
        <stp>@bh,NZDJPY,h4,close,24</stp>
        <tr r="U26" s="1"/>
      </tp>
      <tp>
        <v>89.173000000000002</v>
        <stp/>
        <stp>21422436</stp>
        <stp>@bh,NZDJPY,h4,close,25</stp>
        <tr r="U27" s="1"/>
      </tp>
      <tp>
        <v>89.191999999999993</v>
        <stp/>
        <stp>21422436</stp>
        <stp>@bh,NZDJPY,h4,close,22</stp>
        <tr r="U24" s="1"/>
      </tp>
      <tp>
        <v>89.317999999999998</v>
        <stp/>
        <stp>21422436</stp>
        <stp>@bh,NZDJPY,h4,close,23</stp>
        <tr r="U25" s="1"/>
      </tp>
      <tp>
        <v>89.501999999999995</v>
        <stp/>
        <stp>21422436</stp>
        <stp>@bh,NZDJPY,h4,close,20</stp>
        <tr r="U22" s="1"/>
      </tp>
      <tp>
        <v>89.534999999999997</v>
        <stp/>
        <stp>21422436</stp>
        <stp>@bh,NZDJPY,h4,close,21</stp>
        <tr r="U23" s="1"/>
      </tp>
      <tp>
        <v>89.375</v>
        <stp/>
        <stp>21422436</stp>
        <stp>@bh,NZDJPY,h1,close,18</stp>
        <tr r="U20" s="3"/>
      </tp>
      <tp>
        <v>89.418999999999997</v>
        <stp/>
        <stp>21422436</stp>
        <stp>@bh,NZDJPY,h1,close,19</stp>
        <tr r="U21" s="3"/>
      </tp>
      <tp>
        <v>89.35</v>
        <stp/>
        <stp>21422436</stp>
        <stp>@bh,NZDJPY,h1,close,16</stp>
        <tr r="U18" s="3"/>
      </tp>
      <tp>
        <v>89.25</v>
        <stp/>
        <stp>21422436</stp>
        <stp>@bh,NZDJPY,h1,close,17</stp>
        <tr r="U19" s="3"/>
      </tp>
      <tp>
        <v>89.638999999999996</v>
        <stp/>
        <stp>21422436</stp>
        <stp>@bh,NZDJPY,h1,close,14</stp>
        <tr r="U16" s="3"/>
      </tp>
      <tp>
        <v>89.462999999999994</v>
        <stp/>
        <stp>21422436</stp>
        <stp>@bh,NZDJPY,h1,close,15</stp>
        <tr r="U17" s="3"/>
      </tp>
      <tp>
        <v>89.39</v>
        <stp/>
        <stp>21422436</stp>
        <stp>@bh,NZDJPY,h1,close,12</stp>
        <tr r="U14" s="3"/>
      </tp>
      <tp>
        <v>89.448999999999998</v>
        <stp/>
        <stp>21422436</stp>
        <stp>@bh,NZDJPY,h1,close,13</stp>
        <tr r="U15" s="3"/>
      </tp>
      <tp>
        <v>89.48</v>
        <stp/>
        <stp>21422436</stp>
        <stp>@bh,NZDJPY,h1,close,10</stp>
        <tr r="U12" s="3"/>
      </tp>
      <tp>
        <v>89.436999999999998</v>
        <stp/>
        <stp>21422436</stp>
        <stp>@bh,NZDJPY,h1,close,11</stp>
        <tr r="U13" s="3"/>
      </tp>
      <tp>
        <v>89.811999999999998</v>
        <stp/>
        <stp>21422436</stp>
        <stp>@bh,NZDJPY,h1,close,26</stp>
        <tr r="U28" s="3"/>
      </tp>
      <tp>
        <v>89.897999999999996</v>
        <stp/>
        <stp>21422436</stp>
        <stp>@bh,NZDJPY,h1,close,27</stp>
        <tr r="U29" s="3"/>
      </tp>
      <tp>
        <v>89.54</v>
        <stp/>
        <stp>21422436</stp>
        <stp>@bh,NZDJPY,h1,close,24</stp>
        <tr r="U26" s="3"/>
      </tp>
      <tp>
        <v>89.757999999999996</v>
        <stp/>
        <stp>21422436</stp>
        <stp>@bh,NZDJPY,h1,close,25</stp>
        <tr r="U27" s="3"/>
      </tp>
      <tp>
        <v>89.34</v>
        <stp/>
        <stp>21422436</stp>
        <stp>@bh,NZDJPY,h1,close,22</stp>
        <tr r="U24" s="3"/>
      </tp>
      <tp>
        <v>89.507000000000005</v>
        <stp/>
        <stp>21422436</stp>
        <stp>@bh,NZDJPY,h1,close,23</stp>
        <tr r="U25" s="3"/>
      </tp>
      <tp>
        <v>89.489000000000004</v>
        <stp/>
        <stp>21422436</stp>
        <stp>@bh,NZDJPY,h1,close,20</stp>
        <tr r="U22" s="3"/>
      </tp>
      <tp>
        <v>89.424999999999997</v>
        <stp/>
        <stp>21422436</stp>
        <stp>@bh,NZDJPY,h1,close,21</stp>
        <tr r="U23" s="3"/>
      </tp>
      <tp>
        <v>106.721</v>
        <stp/>
        <stp>21422436</stp>
        <stp>@bh,CADJPY,h1,close,15</stp>
        <tr r="Y17" s="3"/>
      </tp>
      <tp>
        <v>106.819</v>
        <stp/>
        <stp>21422436</stp>
        <stp>@bh,CADJPY,h1,close,14</stp>
        <tr r="Y16" s="3"/>
      </tp>
      <tp>
        <v>106.511</v>
        <stp/>
        <stp>21422436</stp>
        <stp>@bh,CADJPY,h1,close,17</stp>
        <tr r="Y19" s="3"/>
      </tp>
      <tp>
        <v>106.569</v>
        <stp/>
        <stp>21422436</stp>
        <stp>@bh,CADJPY,h1,close,16</stp>
        <tr r="Y18" s="3"/>
      </tp>
      <tp>
        <v>106.843</v>
        <stp/>
        <stp>21422436</stp>
        <stp>@bh,CADJPY,h1,close,11</stp>
        <tr r="Y13" s="3"/>
      </tp>
      <tp>
        <v>170.077</v>
        <stp/>
        <stp>21422436</stp>
        <stp>@bh,CHFJPY,h1,close,18</stp>
        <tr r="AA20" s="3"/>
      </tp>
      <tp>
        <v>107</v>
        <stp/>
        <stp>21422436</stp>
        <stp>@bh,CADJPY,h1,close,10</stp>
        <tr r="Y12" s="3"/>
      </tp>
      <tp>
        <v>169.99799999999999</v>
        <stp/>
        <stp>21422436</stp>
        <stp>@bh,CHFJPY,h1,close,19</stp>
        <tr r="AA21" s="3"/>
      </tp>
      <tp>
        <v>106.767</v>
        <stp/>
        <stp>21422436</stp>
        <stp>@bh,CADJPY,h1,close,13</stp>
        <tr r="Y15" s="3"/>
      </tp>
      <tp>
        <v>106.762</v>
        <stp/>
        <stp>21422436</stp>
        <stp>@bh,CADJPY,h1,close,12</stp>
        <tr r="Y14" s="3"/>
      </tp>
      <tp>
        <v>170.41</v>
        <stp/>
        <stp>21422436</stp>
        <stp>@bh,CHFJPY,h1,close,14</stp>
        <tr r="AA16" s="3"/>
      </tp>
      <tp>
        <v>170.24199999999999</v>
        <stp/>
        <stp>21422436</stp>
        <stp>@bh,CHFJPY,h1,close,15</stp>
        <tr r="AA17" s="3"/>
      </tp>
      <tp>
        <v>170.07599999999999</v>
        <stp/>
        <stp>21422436</stp>
        <stp>@bh,CHFJPY,h1,close,16</stp>
        <tr r="AA18" s="3"/>
      </tp>
      <tp>
        <v>169.874</v>
        <stp/>
        <stp>21422436</stp>
        <stp>@bh,CHFJPY,h1,close,17</stp>
        <tr r="AA19" s="3"/>
      </tp>
      <tp>
        <v>106.691</v>
        <stp/>
        <stp>21422436</stp>
        <stp>@bh,CADJPY,h1,close,19</stp>
        <tr r="Y21" s="3"/>
      </tp>
      <tp>
        <v>170.53899999999999</v>
        <stp/>
        <stp>21422436</stp>
        <stp>@bh,CHFJPY,h1,close,10</stp>
        <tr r="AA12" s="3"/>
      </tp>
      <tp>
        <v>106.64700000000001</v>
        <stp/>
        <stp>21422436</stp>
        <stp>@bh,CADJPY,h1,close,18</stp>
        <tr r="Y20" s="3"/>
      </tp>
      <tp>
        <v>170.30799999999999</v>
        <stp/>
        <stp>21422436</stp>
        <stp>@bh,CHFJPY,h1,close,11</stp>
        <tr r="AA13" s="3"/>
      </tp>
      <tp>
        <v>170.31700000000001</v>
        <stp/>
        <stp>21422436</stp>
        <stp>@bh,CHFJPY,h1,close,12</stp>
        <tr r="AA14" s="3"/>
      </tp>
      <tp>
        <v>170.30199999999999</v>
        <stp/>
        <stp>21422436</stp>
        <stp>@bh,CHFJPY,h1,close,13</stp>
        <tr r="AA15" s="3"/>
      </tp>
      <tp>
        <v>163.483</v>
        <stp/>
        <stp>21422436</stp>
        <stp>@bh,EURJPY,h4,close,21</stp>
        <tr r="L23" s="1"/>
      </tp>
      <tp>
        <v>163.29900000000001</v>
        <stp/>
        <stp>21422436</stp>
        <stp>@bh,EURJPY,h4,close,20</stp>
        <tr r="L22" s="1"/>
      </tp>
      <tp>
        <v>163.78200000000001</v>
        <stp/>
        <stp>21422436</stp>
        <stp>@bh,EURJPY,h4,close,23</stp>
        <tr r="L25" s="1"/>
      </tp>
      <tp>
        <v>163.49199999999999</v>
        <stp/>
        <stp>21422436</stp>
        <stp>@bh,EURJPY,h4,close,22</stp>
        <tr r="L24" s="1"/>
      </tp>
      <tp>
        <v>163.20699999999999</v>
        <stp/>
        <stp>21422436</stp>
        <stp>@bh,EURJPY,h4,close,25</stp>
        <tr r="L27" s="1"/>
      </tp>
      <tp>
        <v>163.619</v>
        <stp/>
        <stp>21422436</stp>
        <stp>@bh,EURJPY,h4,close,24</stp>
        <tr r="L26" s="1"/>
      </tp>
      <tp>
        <v>162.16499999999999</v>
        <stp/>
        <stp>21422436</stp>
        <stp>@bh,EURJPY,h4,close,27</stp>
        <tr r="L29" s="1"/>
      </tp>
      <tp>
        <v>162.161</v>
        <stp/>
        <stp>21422436</stp>
        <stp>@bh,EURJPY,h4,close,26</stp>
        <tr r="L28" s="1"/>
      </tp>
      <tp>
        <v>191.32900000000001</v>
        <stp/>
        <stp>21422436</stp>
        <stp>@bh,GBPJPY,h4,close,16</stp>
        <tr r="T18" s="1"/>
      </tp>
      <tp>
        <v>191.05199999999999</v>
        <stp/>
        <stp>21422436</stp>
        <stp>@bh,GBPJPY,h4,close,17</stp>
        <tr r="T19" s="1"/>
      </tp>
      <tp>
        <v>189.494</v>
        <stp/>
        <stp>21422436</stp>
        <stp>@bh,GBPJPY,h4,close,14</stp>
        <tr r="T16" s="1"/>
      </tp>
      <tp>
        <v>189.36500000000001</v>
        <stp/>
        <stp>21422436</stp>
        <stp>@bh,GBPJPY,h4,close,15</stp>
        <tr r="T17" s="1"/>
      </tp>
      <tp>
        <v>190.18299999999999</v>
        <stp/>
        <stp>21422436</stp>
        <stp>@bh,GBPJPY,h4,close,12</stp>
        <tr r="T14" s="1"/>
      </tp>
      <tp>
        <v>189.36199999999999</v>
        <stp/>
        <stp>21422436</stp>
        <stp>@bh,GBPJPY,h4,close,13</stp>
        <tr r="T15" s="1"/>
      </tp>
      <tp>
        <v>189.91800000000001</v>
        <stp/>
        <stp>21422436</stp>
        <stp>@bh,GBPJPY,h4,close,10</stp>
        <tr r="T12" s="1"/>
      </tp>
      <tp>
        <v>190.44499999999999</v>
        <stp/>
        <stp>21422436</stp>
        <stp>@bh,GBPJPY,h4,close,11</stp>
        <tr r="T13" s="1"/>
      </tp>
      <tp>
        <v>191.23</v>
        <stp/>
        <stp>21422436</stp>
        <stp>@bh,GBPJPY,h4,close,18</stp>
        <tr r="T20" s="1"/>
      </tp>
      <tp>
        <v>190.47499999999999</v>
        <stp/>
        <stp>21422436</stp>
        <stp>@bh,GBPJPY,h4,close,19</stp>
        <tr r="T21" s="1"/>
      </tp>
      <tp>
        <v>98.025999999999996</v>
        <stp/>
        <stp>21422436</stp>
        <stp>@bh,AUDJPY,h1,close,21</stp>
        <tr r="E23" s="3"/>
      </tp>
      <tp>
        <v>98.078000000000003</v>
        <stp/>
        <stp>21422436</stp>
        <stp>@bh,AUDJPY,h1,close,20</stp>
        <tr r="E22" s="3"/>
      </tp>
      <tp>
        <v>98.197999999999993</v>
        <stp/>
        <stp>21422436</stp>
        <stp>@bh,AUDJPY,h1,close,23</stp>
        <tr r="E25" s="3"/>
      </tp>
      <tp>
        <v>97.944000000000003</v>
        <stp/>
        <stp>21422436</stp>
        <stp>@bh,AUDJPY,h1,close,22</stp>
        <tr r="E24" s="3"/>
      </tp>
      <tp>
        <v>98.483000000000004</v>
        <stp/>
        <stp>21422436</stp>
        <stp>@bh,AUDJPY,h1,close,25</stp>
        <tr r="E27" s="3"/>
      </tp>
      <tp>
        <v>98.194999999999993</v>
        <stp/>
        <stp>21422436</stp>
        <stp>@bh,AUDJPY,h1,close,24</stp>
        <tr r="E26" s="3"/>
      </tp>
      <tp>
        <v>98.566999999999993</v>
        <stp/>
        <stp>21422436</stp>
        <stp>@bh,AUDJPY,h1,close,27</stp>
        <tr r="E29" s="3"/>
      </tp>
      <tp>
        <v>98.542000000000002</v>
        <stp/>
        <stp>21422436</stp>
        <stp>@bh,AUDJPY,h1,close,26</stp>
        <tr r="E28" s="3"/>
      </tp>
      <tp>
        <v>189.23699999999999</v>
        <stp/>
        <stp>21422436</stp>
        <stp>@bh,GBPJPY,h4,close,26</stp>
        <tr r="T28" s="1"/>
      </tp>
      <tp>
        <v>189.095</v>
        <stp/>
        <stp>21422436</stp>
        <stp>@bh,GBPJPY,h4,close,27</stp>
        <tr r="T29" s="1"/>
      </tp>
      <tp>
        <v>191.54300000000001</v>
        <stp/>
        <stp>21422436</stp>
        <stp>@bh,GBPJPY,h4,close,24</stp>
        <tr r="T26" s="1"/>
      </tp>
      <tp>
        <v>190.93199999999999</v>
        <stp/>
        <stp>21422436</stp>
        <stp>@bh,GBPJPY,h4,close,25</stp>
        <tr r="T27" s="1"/>
      </tp>
      <tp>
        <v>191.602</v>
        <stp/>
        <stp>21422436</stp>
        <stp>@bh,GBPJPY,h4,close,22</stp>
        <tr r="T24" s="1"/>
      </tp>
      <tp>
        <v>191.874</v>
        <stp/>
        <stp>21422436</stp>
        <stp>@bh,GBPJPY,h4,close,23</stp>
        <tr r="T25" s="1"/>
      </tp>
      <tp>
        <v>191.62200000000001</v>
        <stp/>
        <stp>21422436</stp>
        <stp>@bh,GBPJPY,h4,close,20</stp>
        <tr r="T22" s="1"/>
      </tp>
      <tp>
        <v>191.63</v>
        <stp/>
        <stp>21422436</stp>
        <stp>@bh,GBPJPY,h4,close,21</stp>
        <tr r="T23" s="1"/>
      </tp>
      <tp>
        <v>98.123000000000005</v>
        <stp/>
        <stp>21422436</stp>
        <stp>@bh,AUDJPY,h1,close,11</stp>
        <tr r="E13" s="3"/>
      </tp>
      <tp>
        <v>98.25</v>
        <stp/>
        <stp>21422436</stp>
        <stp>@bh,AUDJPY,h1,close,10</stp>
        <tr r="E12" s="3"/>
      </tp>
      <tp>
        <v>98.061999999999998</v>
        <stp/>
        <stp>21422436</stp>
        <stp>@bh,AUDJPY,h1,close,13</stp>
        <tr r="E15" s="3"/>
      </tp>
      <tp>
        <v>98.028999999999996</v>
        <stp/>
        <stp>21422436</stp>
        <stp>@bh,AUDJPY,h1,close,12</stp>
        <tr r="E14" s="3"/>
      </tp>
      <tp>
        <v>98.043000000000006</v>
        <stp/>
        <stp>21422436</stp>
        <stp>@bh,AUDJPY,h1,close,15</stp>
        <tr r="E17" s="3"/>
      </tp>
      <tp>
        <v>98.182000000000002</v>
        <stp/>
        <stp>21422436</stp>
        <stp>@bh,AUDJPY,h1,close,14</stp>
        <tr r="E16" s="3"/>
      </tp>
      <tp>
        <v>97.86</v>
        <stp/>
        <stp>21422436</stp>
        <stp>@bh,AUDJPY,h1,close,17</stp>
        <tr r="E19" s="3"/>
      </tp>
      <tp>
        <v>97.894999999999996</v>
        <stp/>
        <stp>21422436</stp>
        <stp>@bh,AUDJPY,h1,close,16</stp>
        <tr r="E18" s="3"/>
      </tp>
      <tp>
        <v>98.055000000000007</v>
        <stp/>
        <stp>21422436</stp>
        <stp>@bh,AUDJPY,h1,close,19</stp>
        <tr r="E21" s="3"/>
      </tp>
      <tp>
        <v>98.001999999999995</v>
        <stp/>
        <stp>21422436</stp>
        <stp>@bh,AUDJPY,h1,close,18</stp>
        <tr r="E20" s="3"/>
      </tp>
      <tp>
        <v>107.19</v>
        <stp/>
        <stp>21422436</stp>
        <stp>@bh,CADJPY,h1,close,25</stp>
        <tr r="Y27" s="3"/>
      </tp>
      <tp>
        <v>106.82899999999999</v>
        <stp/>
        <stp>21422436</stp>
        <stp>@bh,CADJPY,h1,close,24</stp>
        <tr r="Y26" s="3"/>
      </tp>
      <tp>
        <v>107.51600000000001</v>
        <stp/>
        <stp>21422436</stp>
        <stp>@bh,CADJPY,h1,close,27</stp>
        <tr r="Y29" s="3"/>
      </tp>
      <tp>
        <v>107.31699999999999</v>
        <stp/>
        <stp>21422436</stp>
        <stp>@bh,CADJPY,h1,close,26</stp>
        <tr r="Y28" s="3"/>
      </tp>
      <tp>
        <v>106.741</v>
        <stp/>
        <stp>21422436</stp>
        <stp>@bh,CADJPY,h1,close,21</stp>
        <tr r="Y23" s="3"/>
      </tp>
      <tp>
        <v>106.732</v>
        <stp/>
        <stp>21422436</stp>
        <stp>@bh,CADJPY,h1,close,20</stp>
        <tr r="Y22" s="3"/>
      </tp>
      <tp>
        <v>106.88500000000001</v>
        <stp/>
        <stp>21422436</stp>
        <stp>@bh,CADJPY,h1,close,23</stp>
        <tr r="Y25" s="3"/>
      </tp>
      <tp>
        <v>106.66800000000001</v>
        <stp/>
        <stp>21422436</stp>
        <stp>@bh,CADJPY,h1,close,22</stp>
        <tr r="Y24" s="3"/>
      </tp>
      <tp>
        <v>169.851</v>
        <stp/>
        <stp>21422436</stp>
        <stp>@bh,CHFJPY,h1,close,24</stp>
        <tr r="AA26" s="3"/>
      </tp>
      <tp>
        <v>170.26900000000001</v>
        <stp/>
        <stp>21422436</stp>
        <stp>@bh,CHFJPY,h1,close,25</stp>
        <tr r="AA27" s="3"/>
      </tp>
      <tp>
        <v>170.136</v>
        <stp/>
        <stp>21422436</stp>
        <stp>@bh,CHFJPY,h1,close,26</stp>
        <tr r="AA28" s="3"/>
      </tp>
      <tp>
        <v>170.28700000000001</v>
        <stp/>
        <stp>21422436</stp>
        <stp>@bh,CHFJPY,h1,close,27</stp>
        <tr r="AA29" s="3"/>
      </tp>
      <tp>
        <v>169.93100000000001</v>
        <stp/>
        <stp>21422436</stp>
        <stp>@bh,CHFJPY,h1,close,20</stp>
        <tr r="AA22" s="3"/>
      </tp>
      <tp>
        <v>169.89599999999999</v>
        <stp/>
        <stp>21422436</stp>
        <stp>@bh,CHFJPY,h1,close,21</stp>
        <tr r="AA23" s="3"/>
      </tp>
      <tp>
        <v>169.81100000000001</v>
        <stp/>
        <stp>21422436</stp>
        <stp>@bh,CHFJPY,h1,close,22</stp>
        <tr r="AA24" s="3"/>
      </tp>
      <tp>
        <v>169.87</v>
        <stp/>
        <stp>21422436</stp>
        <stp>@bh,CHFJPY,h1,close,23</stp>
        <tr r="AA25" s="3"/>
      </tp>
      <tp>
        <v>162.50800000000001</v>
        <stp/>
        <stp>21422436</stp>
        <stp>@bh,EURJPY,h4,close,11</stp>
        <tr r="L13" s="1"/>
      </tp>
      <tp>
        <v>162.09800000000001</v>
        <stp/>
        <stp>21422436</stp>
        <stp>@bh,EURJPY,h4,close,10</stp>
        <tr r="L12" s="1"/>
      </tp>
      <tp>
        <v>161.40799999999999</v>
        <stp/>
        <stp>21422436</stp>
        <stp>@bh,EURJPY,h4,close,13</stp>
        <tr r="L15" s="1"/>
      </tp>
      <tp>
        <v>162.22499999999999</v>
        <stp/>
        <stp>21422436</stp>
        <stp>@bh,EURJPY,h4,close,12</stp>
        <tr r="L14" s="1"/>
      </tp>
      <tp>
        <v>161.38800000000001</v>
        <stp/>
        <stp>21422436</stp>
        <stp>@bh,EURJPY,h4,close,15</stp>
        <tr r="L17" s="1"/>
      </tp>
      <tp>
        <v>161.233</v>
        <stp/>
        <stp>21422436</stp>
        <stp>@bh,EURJPY,h4,close,14</stp>
        <tr r="L16" s="1"/>
      </tp>
      <tp>
        <v>162.77500000000001</v>
        <stp/>
        <stp>21422436</stp>
        <stp>@bh,EURJPY,h4,close,17</stp>
        <tr r="L19" s="1"/>
      </tp>
      <tp>
        <v>163.023</v>
        <stp/>
        <stp>21422436</stp>
        <stp>@bh,EURJPY,h4,close,16</stp>
        <tr r="L18" s="1"/>
      </tp>
      <tp>
        <v>162.364</v>
        <stp/>
        <stp>21422436</stp>
        <stp>@bh,EURJPY,h4,close,19</stp>
        <tr r="L21" s="1"/>
      </tp>
      <tp>
        <v>162.85599999999999</v>
        <stp/>
        <stp>21422436</stp>
        <stp>@bh,EURJPY,h4,close,18</stp>
        <tr r="L20" s="1"/>
      </tp>
      <tp>
        <v>189.13</v>
        <stp/>
        <stp>21422436</stp>
        <stp>@bh,GBPJPY,h1,close,16</stp>
        <tr r="T18" s="3"/>
      </tp>
      <tp>
        <v>189.11500000000001</v>
        <stp/>
        <stp>21422436</stp>
        <stp>@bh,GBPJPY,h1,close,17</stp>
        <tr r="T19" s="3"/>
      </tp>
      <tp>
        <v>189.589</v>
        <stp/>
        <stp>21422436</stp>
        <stp>@bh,GBPJPY,h1,close,14</stp>
        <tr r="T16" s="3"/>
      </tp>
      <tp>
        <v>189.41399999999999</v>
        <stp/>
        <stp>21422436</stp>
        <stp>@bh,GBPJPY,h1,close,15</stp>
        <tr r="T17" s="3"/>
      </tp>
      <tp>
        <v>189.41900000000001</v>
        <stp/>
        <stp>21422436</stp>
        <stp>@bh,GBPJPY,h1,close,12</stp>
        <tr r="T14" s="3"/>
      </tp>
      <tp>
        <v>189.404</v>
        <stp/>
        <stp>21422436</stp>
        <stp>@bh,GBPJPY,h1,close,13</stp>
        <tr r="T15" s="3"/>
      </tp>
      <tp>
        <v>189.76</v>
        <stp/>
        <stp>21422436</stp>
        <stp>@bh,GBPJPY,h1,close,10</stp>
        <tr r="T12" s="3"/>
      </tp>
      <tp>
        <v>189.51499999999999</v>
        <stp/>
        <stp>21422436</stp>
        <stp>@bh,GBPJPY,h1,close,11</stp>
        <tr r="T13" s="3"/>
      </tp>
      <tp>
        <v>189.32900000000001</v>
        <stp/>
        <stp>21422436</stp>
        <stp>@bh,GBPJPY,h1,close,18</stp>
        <tr r="T20" s="3"/>
      </tp>
      <tp>
        <v>189.41800000000001</v>
        <stp/>
        <stp>21422436</stp>
        <stp>@bh,GBPJPY,h1,close,19</stp>
        <tr r="T21" s="3"/>
      </tp>
      <tp>
        <v>98.638000000000005</v>
        <stp/>
        <stp>21422436</stp>
        <stp>@bh,AUDJPY,h4,close,21</stp>
        <tr r="E23" s="1"/>
      </tp>
      <tp>
        <v>98.629000000000005</v>
        <stp/>
        <stp>21422436</stp>
        <stp>@bh,AUDJPY,h4,close,20</stp>
        <tr r="E22" s="1"/>
      </tp>
      <tp>
        <v>98.677999999999997</v>
        <stp/>
        <stp>21422436</stp>
        <stp>@bh,AUDJPY,h4,close,23</stp>
        <tr r="E25" s="1"/>
      </tp>
      <tp>
        <v>98.515000000000001</v>
        <stp/>
        <stp>21422436</stp>
        <stp>@bh,AUDJPY,h4,close,22</stp>
        <tr r="E24" s="1"/>
      </tp>
      <tp>
        <v>98.426000000000002</v>
        <stp/>
        <stp>21422436</stp>
        <stp>@bh,AUDJPY,h4,close,25</stp>
        <tr r="E27" s="1"/>
      </tp>
      <tp>
        <v>98.721000000000004</v>
        <stp/>
        <stp>21422436</stp>
        <stp>@bh,AUDJPY,h4,close,24</stp>
        <tr r="E26" s="1"/>
      </tp>
      <tp>
        <v>97.561000000000007</v>
        <stp/>
        <stp>21422436</stp>
        <stp>@bh,AUDJPY,h4,close,27</stp>
        <tr r="E29" s="1"/>
      </tp>
      <tp>
        <v>97.488</v>
        <stp/>
        <stp>21422436</stp>
        <stp>@bh,AUDJPY,h4,close,26</stp>
        <tr r="E28" s="1"/>
      </tp>
      <tp>
        <v>106.982</v>
        <stp/>
        <stp>21422436</stp>
        <stp>@bh,CADJPY,h4,close,15</stp>
        <tr r="Y17" s="1"/>
      </tp>
      <tp>
        <v>106.831</v>
        <stp/>
        <stp>21422436</stp>
        <stp>@bh,CADJPY,h4,close,14</stp>
        <tr r="Y16" s="1"/>
      </tp>
      <tp>
        <v>107.89400000000001</v>
        <stp/>
        <stp>21422436</stp>
        <stp>@bh,CADJPY,h4,close,17</stp>
        <tr r="Y19" s="1"/>
      </tp>
      <tp>
        <v>108.098</v>
        <stp/>
        <stp>21422436</stp>
        <stp>@bh,CADJPY,h4,close,16</stp>
        <tr r="Y18" s="1"/>
      </tp>
      <tp>
        <v>107.524</v>
        <stp/>
        <stp>21422436</stp>
        <stp>@bh,CADJPY,h4,close,11</stp>
        <tr r="Y13" s="1"/>
      </tp>
      <tp>
        <v>170.42400000000001</v>
        <stp/>
        <stp>21422436</stp>
        <stp>@bh,CHFJPY,h4,close,18</stp>
        <tr r="AA20" s="1"/>
      </tp>
      <tp>
        <v>107.26900000000001</v>
        <stp/>
        <stp>21422436</stp>
        <stp>@bh,CADJPY,h4,close,10</stp>
        <tr r="Y12" s="1"/>
      </tp>
      <tp>
        <v>170.37100000000001</v>
        <stp/>
        <stp>21422436</stp>
        <stp>@bh,CHFJPY,h4,close,19</stp>
        <tr r="AA21" s="1"/>
      </tp>
      <tp>
        <v>106.94499999999999</v>
        <stp/>
        <stp>21422436</stp>
        <stp>@bh,CADJPY,h4,close,13</stp>
        <tr r="Y15" s="1"/>
      </tp>
      <tp>
        <v>107.333</v>
        <stp/>
        <stp>21422436</stp>
        <stp>@bh,CADJPY,h4,close,12</stp>
        <tr r="Y14" s="1"/>
      </tp>
      <tp>
        <v>168.95699999999999</v>
        <stp/>
        <stp>21422436</stp>
        <stp>@bh,CHFJPY,h4,close,14</stp>
        <tr r="AA16" s="1"/>
      </tp>
      <tp>
        <v>169.21799999999999</v>
        <stp/>
        <stp>21422436</stp>
        <stp>@bh,CHFJPY,h4,close,15</stp>
        <tr r="AA17" s="1"/>
      </tp>
      <tp>
        <v>170.49299999999999</v>
        <stp/>
        <stp>21422436</stp>
        <stp>@bh,CHFJPY,h4,close,16</stp>
        <tr r="AA18" s="1"/>
      </tp>
      <tp>
        <v>170.41900000000001</v>
        <stp/>
        <stp>21422436</stp>
        <stp>@bh,CHFJPY,h4,close,17</stp>
        <tr r="AA19" s="1"/>
      </tp>
      <tp>
        <v>107.598</v>
        <stp/>
        <stp>21422436</stp>
        <stp>@bh,CADJPY,h4,close,19</stp>
        <tr r="Y21" s="1"/>
      </tp>
      <tp>
        <v>169.68700000000001</v>
        <stp/>
        <stp>21422436</stp>
        <stp>@bh,CHFJPY,h4,close,10</stp>
        <tr r="AA12" s="1"/>
      </tp>
      <tp>
        <v>108.068</v>
        <stp/>
        <stp>21422436</stp>
        <stp>@bh,CADJPY,h4,close,18</stp>
        <tr r="Y20" s="1"/>
      </tp>
      <tp>
        <v>169.88800000000001</v>
        <stp/>
        <stp>21422436</stp>
        <stp>@bh,CHFJPY,h4,close,11</stp>
        <tr r="AA13" s="1"/>
      </tp>
      <tp>
        <v>169.751</v>
        <stp/>
        <stp>21422436</stp>
        <stp>@bh,CHFJPY,h4,close,12</stp>
        <tr r="AA14" s="1"/>
      </tp>
      <tp>
        <v>168.96299999999999</v>
        <stp/>
        <stp>21422436</stp>
        <stp>@bh,CHFJPY,h4,close,13</stp>
        <tr r="AA15" s="1"/>
      </tp>
      <tp>
        <v>161.71899999999999</v>
        <stp/>
        <stp>21422436</stp>
        <stp>@bh,EURJPY,h1,close,21</stp>
        <tr r="L23" s="3"/>
      </tp>
      <tp>
        <v>161.67500000000001</v>
        <stp/>
        <stp>21422436</stp>
        <stp>@bh,EURJPY,h1,close,20</stp>
        <tr r="L22" s="3"/>
      </tp>
      <tp>
        <v>161.80099999999999</v>
        <stp/>
        <stp>21422436</stp>
        <stp>@bh,EURJPY,h1,close,23</stp>
        <tr r="L25" s="3"/>
      </tp>
      <tp>
        <v>161.602</v>
        <stp/>
        <stp>21422436</stp>
        <stp>@bh,EURJPY,h1,close,22</stp>
        <tr r="L24" s="3"/>
      </tp>
      <tp>
        <v>162.21100000000001</v>
        <stp/>
        <stp>21422436</stp>
        <stp>@bh,EURJPY,h1,close,25</stp>
        <tr r="L27" s="3"/>
      </tp>
      <tp>
        <v>161.78200000000001</v>
        <stp/>
        <stp>21422436</stp>
        <stp>@bh,EURJPY,h1,close,24</stp>
        <tr r="L26" s="3"/>
      </tp>
      <tp>
        <v>162.19399999999999</v>
        <stp/>
        <stp>21422436</stp>
        <stp>@bh,EURJPY,h1,close,27</stp>
        <tr r="L29" s="3"/>
      </tp>
      <tp>
        <v>162.221</v>
        <stp/>
        <stp>21422436</stp>
        <stp>@bh,EURJPY,h1,close,26</stp>
        <tr r="L28" s="3"/>
      </tp>
      <tp>
        <v>108.52800000000001</v>
        <stp/>
        <stp>21422436</stp>
        <stp>@bh,CADJPY,h4,close,25</stp>
        <tr r="Y27" s="1"/>
      </tp>
      <tp>
        <v>108.71599999999999</v>
        <stp/>
        <stp>21422436</stp>
        <stp>@bh,CADJPY,h4,close,24</stp>
        <tr r="Y26" s="1"/>
      </tp>
      <tp>
        <v>107.422</v>
        <stp/>
        <stp>21422436</stp>
        <stp>@bh,CADJPY,h4,close,27</stp>
        <tr r="Y29" s="1"/>
      </tp>
      <tp>
        <v>107.48</v>
        <stp/>
        <stp>21422436</stp>
        <stp>@bh,CADJPY,h4,close,26</stp>
        <tr r="Y28" s="1"/>
      </tp>
      <tp>
        <v>108.464</v>
        <stp/>
        <stp>21422436</stp>
        <stp>@bh,CADJPY,h4,close,21</stp>
        <tr r="Y23" s="1"/>
      </tp>
      <tp>
        <v>108.375</v>
        <stp/>
        <stp>21422436</stp>
        <stp>@bh,CADJPY,h4,close,20</stp>
        <tr r="Y22" s="1"/>
      </tp>
      <tp>
        <v>108.73699999999999</v>
        <stp/>
        <stp>21422436</stp>
        <stp>@bh,CADJPY,h4,close,23</stp>
        <tr r="Y25" s="1"/>
      </tp>
      <tp>
        <v>108.477</v>
        <stp/>
        <stp>21422436</stp>
        <stp>@bh,CADJPY,h4,close,22</stp>
        <tr r="Y24" s="1"/>
      </tp>
      <tp>
        <v>170.88</v>
        <stp/>
        <stp>21422436</stp>
        <stp>@bh,CHFJPY,h4,close,24</stp>
        <tr r="AA26" s="1"/>
      </tp>
      <tp>
        <v>170.61699999999999</v>
        <stp/>
        <stp>21422436</stp>
        <stp>@bh,CHFJPY,h4,close,25</stp>
        <tr r="AA27" s="1"/>
      </tp>
      <tp>
        <v>170.102</v>
        <stp/>
        <stp>21422436</stp>
        <stp>@bh,CHFJPY,h4,close,26</stp>
        <tr r="AA28" s="1"/>
      </tp>
      <tp>
        <v>170.18299999999999</v>
        <stp/>
        <stp>21422436</stp>
        <stp>@bh,CHFJPY,h4,close,27</stp>
        <tr r="AA29" s="1"/>
      </tp>
      <tp>
        <v>171.19200000000001</v>
        <stp/>
        <stp>21422436</stp>
        <stp>@bh,CHFJPY,h4,close,20</stp>
        <tr r="AA22" s="1"/>
      </tp>
      <tp>
        <v>170.876</v>
        <stp/>
        <stp>21422436</stp>
        <stp>@bh,CHFJPY,h4,close,21</stp>
        <tr r="AA23" s="1"/>
      </tp>
      <tp>
        <v>170.864</v>
        <stp/>
        <stp>21422436</stp>
        <stp>@bh,CHFJPY,h4,close,22</stp>
        <tr r="AA24" s="1"/>
      </tp>
      <tp>
        <v>171.06700000000001</v>
        <stp/>
        <stp>21422436</stp>
        <stp>@bh,CHFJPY,h4,close,23</stp>
        <tr r="AA25" s="1"/>
      </tp>
      <tp>
        <v>161.786</v>
        <stp/>
        <stp>21422436</stp>
        <stp>@bh,EURJPY,h1,close,11</stp>
        <tr r="L13" s="3"/>
      </tp>
      <tp>
        <v>161.97499999999999</v>
        <stp/>
        <stp>21422436</stp>
        <stp>@bh,EURJPY,h1,close,10</stp>
        <tr r="L12" s="3"/>
      </tp>
      <tp>
        <v>161.71799999999999</v>
        <stp/>
        <stp>21422436</stp>
        <stp>@bh,EURJPY,h1,close,13</stp>
        <tr r="L15" s="3"/>
      </tp>
      <tp>
        <v>161.69999999999999</v>
        <stp/>
        <stp>21422436</stp>
        <stp>@bh,EURJPY,h1,close,12</stp>
        <tr r="L14" s="3"/>
      </tp>
      <tp>
        <v>161.71299999999999</v>
        <stp/>
        <stp>21422436</stp>
        <stp>@bh,EURJPY,h1,close,15</stp>
        <tr r="L17" s="3"/>
      </tp>
      <tp>
        <v>161.85400000000001</v>
        <stp/>
        <stp>21422436</stp>
        <stp>@bh,EURJPY,h1,close,14</stp>
        <tr r="L16" s="3"/>
      </tp>
      <tp>
        <v>161.50299999999999</v>
        <stp/>
        <stp>21422436</stp>
        <stp>@bh,EURJPY,h1,close,17</stp>
        <tr r="L19" s="3"/>
      </tp>
      <tp>
        <v>161.50399999999999</v>
        <stp/>
        <stp>21422436</stp>
        <stp>@bh,EURJPY,h1,close,16</stp>
        <tr r="L18" s="3"/>
      </tp>
      <tp>
        <v>161.67500000000001</v>
        <stp/>
        <stp>21422436</stp>
        <stp>@bh,EURJPY,h1,close,19</stp>
        <tr r="L21" s="3"/>
      </tp>
      <tp>
        <v>161.67699999999999</v>
        <stp/>
        <stp>21422436</stp>
        <stp>@bh,EURJPY,h1,close,18</stp>
        <tr r="L20" s="3"/>
      </tp>
      <tp>
        <v>190.41499999999999</v>
        <stp/>
        <stp>21422436</stp>
        <stp>@bh,GBPJPY,h1,close,26</stp>
        <tr r="T28" s="3"/>
      </tp>
      <tp>
        <v>190.39599999999999</v>
        <stp/>
        <stp>21422436</stp>
        <stp>@bh,GBPJPY,h1,close,27</stp>
        <tr r="T29" s="3"/>
      </tp>
      <tp>
        <v>189.71799999999999</v>
        <stp/>
        <stp>21422436</stp>
        <stp>@bh,GBPJPY,h1,close,24</stp>
        <tr r="T26" s="3"/>
      </tp>
      <tp>
        <v>190.33500000000001</v>
        <stp/>
        <stp>21422436</stp>
        <stp>@bh,GBPJPY,h1,close,25</stp>
        <tr r="T27" s="3"/>
      </tp>
      <tp>
        <v>189.376</v>
        <stp/>
        <stp>21422436</stp>
        <stp>@bh,GBPJPY,h1,close,22</stp>
        <tr r="T24" s="3"/>
      </tp>
      <tp>
        <v>189.78299999999999</v>
        <stp/>
        <stp>21422436</stp>
        <stp>@bh,GBPJPY,h1,close,23</stp>
        <tr r="T25" s="3"/>
      </tp>
      <tp>
        <v>189.43700000000001</v>
        <stp/>
        <stp>21422436</stp>
        <stp>@bh,GBPJPY,h1,close,20</stp>
        <tr r="T22" s="3"/>
      </tp>
      <tp>
        <v>189.45099999999999</v>
        <stp/>
        <stp>21422436</stp>
        <stp>@bh,GBPJPY,h1,close,21</stp>
        <tr r="T23" s="3"/>
      </tp>
      <tp>
        <v>98.691000000000003</v>
        <stp/>
        <stp>21422436</stp>
        <stp>@bh,AUDJPY,h4,close,11</stp>
        <tr r="E13" s="1"/>
      </tp>
      <tp>
        <v>98.376999999999995</v>
        <stp/>
        <stp>21422436</stp>
        <stp>@bh,AUDJPY,h4,close,10</stp>
        <tr r="E12" s="1"/>
      </tp>
      <tp>
        <v>97.918000000000006</v>
        <stp/>
        <stp>21422436</stp>
        <stp>@bh,AUDJPY,h4,close,13</stp>
        <tr r="E15" s="1"/>
      </tp>
      <tp>
        <v>98.448999999999998</v>
        <stp/>
        <stp>21422436</stp>
        <stp>@bh,AUDJPY,h4,close,12</stp>
        <tr r="E14" s="1"/>
      </tp>
      <tp>
        <v>97.760999999999996</v>
        <stp/>
        <stp>21422436</stp>
        <stp>@bh,AUDJPY,h4,close,15</stp>
        <tr r="E17" s="1"/>
      </tp>
      <tp>
        <v>97.700999999999993</v>
        <stp/>
        <stp>21422436</stp>
        <stp>@bh,AUDJPY,h4,close,14</stp>
        <tr r="E16" s="1"/>
      </tp>
      <tp>
        <v>98.436000000000007</v>
        <stp/>
        <stp>21422436</stp>
        <stp>@bh,AUDJPY,h4,close,17</stp>
        <tr r="E19" s="1"/>
      </tp>
      <tp>
        <v>98.71</v>
        <stp/>
        <stp>21422436</stp>
        <stp>@bh,AUDJPY,h4,close,16</stp>
        <tr r="E18" s="1"/>
      </tp>
      <tp>
        <v>97.867999999999995</v>
        <stp/>
        <stp>21422436</stp>
        <stp>@bh,AUDJPY,h4,close,19</stp>
        <tr r="E21" s="1"/>
      </tp>
      <tp>
        <v>98.507999999999996</v>
        <stp/>
        <stp>21422436</stp>
        <stp>@bh,AUDJPY,h4,close,18</stp>
        <tr r="E20" s="1"/>
      </tp>
      <tp>
        <v>0.63866000000000001</v>
        <stp/>
        <stp>21422436</stp>
        <stp>@bh,CADCHF,d1,close,18</stp>
        <tr r="Z20" s="2"/>
      </tp>
      <tp>
        <v>0.63773000000000002</v>
        <stp/>
        <stp>21422436</stp>
        <stp>@bh,CADCHF,d1,close,19</stp>
        <tr r="Z21" s="2"/>
      </tp>
      <tp>
        <v>0.61641999999999997</v>
        <stp/>
        <stp>21422436</stp>
        <stp>@bh,CADCHF,d1,close,12</stp>
        <tr r="Z14" s="2"/>
      </tp>
      <tp>
        <v>0.61833000000000005</v>
        <stp/>
        <stp>21422436</stp>
        <stp>@bh,CADCHF,d1,close,13</stp>
        <tr r="Z15" s="2"/>
      </tp>
      <tp>
        <v>0.62633000000000005</v>
        <stp/>
        <stp>21422436</stp>
        <stp>@bh,CADCHF,d1,close,10</stp>
        <tr r="Z12" s="2"/>
      </tp>
      <tp>
        <v>0.61743000000000003</v>
        <stp/>
        <stp>21422436</stp>
        <stp>@bh,CADCHF,d1,close,11</stp>
        <tr r="Z13" s="2"/>
      </tp>
      <tp>
        <v>0.63729999999999998</v>
        <stp/>
        <stp>21422436</stp>
        <stp>@bh,CADCHF,d1,close,16</stp>
        <tr r="Z18" s="2"/>
      </tp>
      <tp>
        <v>0.63970000000000005</v>
        <stp/>
        <stp>21422436</stp>
        <stp>@bh,CADCHF,d1,close,17</stp>
        <tr r="Z19" s="2"/>
      </tp>
      <tp>
        <v>0.62916000000000005</v>
        <stp/>
        <stp>21422436</stp>
        <stp>@bh,CADCHF,d1,close,14</stp>
        <tr r="Z16" s="2"/>
      </tp>
      <tp>
        <v>0.63583999999999996</v>
        <stp/>
        <stp>21422436</stp>
        <stp>@bh,CADCHF,d1,close,15</stp>
        <tr r="Z17" s="2"/>
      </tp>
      <tp>
        <v>0.60182000000000002</v>
        <stp/>
        <stp>21422436</stp>
        <stp>@bh,AUDCHF,d1,close,26</stp>
        <tr r="F28" s="2"/>
      </tp>
      <tp>
        <v>0.60545000000000004</v>
        <stp/>
        <stp>21422436</stp>
        <stp>@bh,AUDCHF,d1,close,27</stp>
        <tr r="F29" s="2"/>
      </tp>
      <tp>
        <v>0.59531000000000001</v>
        <stp/>
        <stp>21422436</stp>
        <stp>@bh,AUDCHF,d1,close,24</stp>
        <tr r="F26" s="2"/>
      </tp>
      <tp>
        <v>0.59438000000000002</v>
        <stp/>
        <stp>21422436</stp>
        <stp>@bh,AUDCHF,d1,close,25</stp>
        <tr r="F27" s="2"/>
      </tp>
      <tp>
        <v>0.59091000000000005</v>
        <stp/>
        <stp>21422436</stp>
        <stp>@bh,AUDCHF,d1,close,22</stp>
        <tr r="F24" s="2"/>
      </tp>
      <tp>
        <v>0.59411999999999998</v>
        <stp/>
        <stp>21422436</stp>
        <stp>@bh,AUDCHF,d1,close,23</stp>
        <tr r="F25" s="2"/>
      </tp>
      <tp>
        <v>0.58248</v>
        <stp/>
        <stp>21422436</stp>
        <stp>@bh,AUDCHF,d1,close,20</stp>
        <tr r="F22" s="2"/>
      </tp>
      <tp>
        <v>0.58967000000000003</v>
        <stp/>
        <stp>21422436</stp>
        <stp>@bh,AUDCHF,d1,close,21</stp>
        <tr r="F23" s="2"/>
      </tp>
      <tp>
        <v>0.57847999999999999</v>
        <stp/>
        <stp>21422436</stp>
        <stp>@bh,AUDCHF,d1,close,18</stp>
        <tr r="F20" s="2"/>
      </tp>
      <tp>
        <v>0.57638</v>
        <stp/>
        <stp>21422436</stp>
        <stp>@bh,AUDCHF,d1,close,19</stp>
        <tr r="F21" s="2"/>
      </tp>
      <tp>
        <v>0.57704</v>
        <stp/>
        <stp>21422436</stp>
        <stp>@bh,AUDCHF,d1,close,16</stp>
        <tr r="F18" s="2"/>
      </tp>
      <tp>
        <v>0.58030999999999999</v>
        <stp/>
        <stp>21422436</stp>
        <stp>@bh,AUDCHF,d1,close,17</stp>
        <tr r="F19" s="2"/>
      </tp>
      <tp>
        <v>0.56749000000000005</v>
        <stp/>
        <stp>21422436</stp>
        <stp>@bh,AUDCHF,d1,close,14</stp>
        <tr r="F16" s="2"/>
      </tp>
      <tp>
        <v>0.57432000000000005</v>
        <stp/>
        <stp>21422436</stp>
        <stp>@bh,AUDCHF,d1,close,15</stp>
        <tr r="F17" s="2"/>
      </tp>
      <tp>
        <v>0.55362999999999996</v>
        <stp/>
        <stp>21422436</stp>
        <stp>@bh,AUDCHF,d1,close,12</stp>
        <tr r="F14" s="2"/>
      </tp>
      <tp>
        <v>0.55842000000000003</v>
        <stp/>
        <stp>21422436</stp>
        <stp>@bh,AUDCHF,d1,close,13</stp>
        <tr r="F15" s="2"/>
      </tp>
      <tp>
        <v>0.56172</v>
        <stp/>
        <stp>21422436</stp>
        <stp>@bh,AUDCHF,d1,close,10</stp>
        <tr r="F12" s="2"/>
      </tp>
      <tp>
        <v>0.55474000000000001</v>
        <stp/>
        <stp>21422436</stp>
        <stp>@bh,AUDCHF,d1,close,11</stp>
        <tr r="F13" s="2"/>
      </tp>
      <tp>
        <v>0.64666999999999997</v>
        <stp/>
        <stp>21422436</stp>
        <stp>@bh,CADCHF,d1,close,22</stp>
        <tr r="Z24" s="2"/>
      </tp>
      <tp>
        <v>0.64737999999999996</v>
        <stp/>
        <stp>21422436</stp>
        <stp>@bh,CADCHF,d1,close,23</stp>
        <tr r="Z25" s="2"/>
      </tp>
      <tp>
        <v>0.64105999999999996</v>
        <stp/>
        <stp>21422436</stp>
        <stp>@bh,CADCHF,d1,close,20</stp>
        <tr r="Z22" s="2"/>
      </tp>
      <tp>
        <v>0.64663999999999999</v>
        <stp/>
        <stp>21422436</stp>
        <stp>@bh,CADCHF,d1,close,21</stp>
        <tr r="Z23" s="2"/>
      </tp>
      <tp>
        <v>0.65366999999999997</v>
        <stp/>
        <stp>21422436</stp>
        <stp>@bh,CADCHF,d1,close,26</stp>
        <tr r="Z28" s="2"/>
      </tp>
      <tp>
        <v>0.65464</v>
        <stp/>
        <stp>21422436</stp>
        <stp>@bh,CADCHF,d1,close,27</stp>
        <tr r="Z29" s="2"/>
      </tp>
      <tp>
        <v>0.64773000000000003</v>
        <stp/>
        <stp>21422436</stp>
        <stp>@bh,CADCHF,d1,close,24</stp>
        <tr r="Z26" s="2"/>
      </tp>
      <tp>
        <v>0.64556000000000002</v>
        <stp/>
        <stp>21422436</stp>
        <stp>@bh,CADCHF,d1,close,25</stp>
        <tr r="Z27" s="2"/>
      </tp>
      <tp>
        <v>0.82647000000000004</v>
        <stp/>
        <stp>21422436</stp>
        <stp>@bh,NZDCAD,d1,close,13</stp>
        <tr r="X15" s="2"/>
      </tp>
      <tp>
        <v>0.82106000000000001</v>
        <stp/>
        <stp>21422436</stp>
        <stp>@bh,NZDCAD,d1,close,12</stp>
        <tr r="X14" s="2"/>
      </tp>
      <tp>
        <v>0.82055</v>
        <stp/>
        <stp>21422436</stp>
        <stp>@bh,NZDCAD,d1,close,11</stp>
        <tr r="X13" s="2"/>
      </tp>
      <tp>
        <v>0.82457000000000003</v>
        <stp/>
        <stp>21422436</stp>
        <stp>@bh,NZDCAD,d1,close,10</stp>
        <tr r="X12" s="2"/>
      </tp>
      <tp>
        <v>0.81386000000000003</v>
        <stp/>
        <stp>21422436</stp>
        <stp>@bh,NZDCAD,d1,close,17</stp>
        <tr r="X19" s="2"/>
      </tp>
      <tp>
        <v>0.81757999999999997</v>
        <stp/>
        <stp>21422436</stp>
        <stp>@bh,NZDCAD,d1,close,16</stp>
        <tr r="X18" s="2"/>
      </tp>
      <tp>
        <v>0.82157000000000002</v>
        <stp/>
        <stp>21422436</stp>
        <stp>@bh,NZDCAD,d1,close,15</stp>
        <tr r="X17" s="2"/>
      </tp>
      <tp>
        <v>0.82535000000000003</v>
        <stp/>
        <stp>21422436</stp>
        <stp>@bh,NZDCAD,d1,close,14</stp>
        <tr r="X16" s="2"/>
      </tp>
      <tp>
        <v>0.81374999999999997</v>
        <stp/>
        <stp>21422436</stp>
        <stp>@bh,NZDCAD,d1,close,19</stp>
        <tr r="X21" s="2"/>
      </tp>
      <tp>
        <v>0.81447999999999998</v>
        <stp/>
        <stp>21422436</stp>
        <stp>@bh,NZDCAD,d1,close,18</stp>
        <tr r="X20" s="2"/>
      </tp>
      <tp>
        <v>1.1328100000000001</v>
        <stp/>
        <stp>21422436</stp>
        <stp>@bh,GBPCHF,d1,close,19</stp>
        <tr r="S21" s="2"/>
      </tp>
      <tp>
        <v>1.1368400000000001</v>
        <stp/>
        <stp>21422436</stp>
        <stp>@bh,GBPCHF,d1,close,18</stp>
        <tr r="S20" s="2"/>
      </tp>
      <tp>
        <v>1.08023</v>
        <stp/>
        <stp>21422436</stp>
        <stp>@bh,GBPCHF,d1,close,11</stp>
        <tr r="S13" s="2"/>
      </tp>
      <tp>
        <v>1.0935999999999999</v>
        <stp/>
        <stp>21422436</stp>
        <stp>@bh,GBPCHF,d1,close,10</stp>
        <tr r="S12" s="2"/>
      </tp>
      <tp>
        <v>1.0985</v>
        <stp/>
        <stp>21422436</stp>
        <stp>@bh,GBPCHF,d1,close,13</stp>
        <tr r="S15" s="2"/>
      </tp>
      <tp>
        <v>1.0888899999999999</v>
        <stp/>
        <stp>21422436</stp>
        <stp>@bh,GBPCHF,d1,close,12</stp>
        <tr r="S14" s="2"/>
      </tp>
      <tp>
        <v>1.12873</v>
        <stp/>
        <stp>21422436</stp>
        <stp>@bh,GBPCHF,d1,close,15</stp>
        <tr r="S17" s="2"/>
      </tp>
      <tp>
        <v>1.11198</v>
        <stp/>
        <stp>21422436</stp>
        <stp>@bh,GBPCHF,d1,close,14</stp>
        <tr r="S16" s="2"/>
      </tp>
      <tp>
        <v>1.1396200000000001</v>
        <stp/>
        <stp>21422436</stp>
        <stp>@bh,GBPCHF,d1,close,17</stp>
        <tr r="S19" s="2"/>
      </tp>
      <tp>
        <v>1.1329800000000001</v>
        <stp/>
        <stp>21422436</stp>
        <stp>@bh,GBPCHF,d1,close,16</stp>
        <tr r="S18" s="2"/>
      </tp>
      <tp>
        <v>0.97411999999999999</v>
        <stp/>
        <stp>21422436</stp>
        <stp>@bh,EURCHF,d1,close,26</stp>
        <tr r="K28" s="2"/>
      </tp>
      <tp>
        <v>0.97584000000000004</v>
        <stp/>
        <stp>21422436</stp>
        <stp>@bh,EURCHF,d1,close,27</stp>
        <tr r="K29" s="2"/>
      </tp>
      <tp>
        <v>0.96731999999999996</v>
        <stp/>
        <stp>21422436</stp>
        <stp>@bh,EURCHF,d1,close,24</stp>
        <tr r="K26" s="2"/>
      </tp>
      <tp>
        <v>0.96635000000000004</v>
        <stp/>
        <stp>21422436</stp>
        <stp>@bh,EURCHF,d1,close,25</stp>
        <tr r="K27" s="2"/>
      </tp>
      <tp>
        <v>0.96886000000000005</v>
        <stp/>
        <stp>21422436</stp>
        <stp>@bh,EURCHF,d1,close,22</stp>
        <tr r="K24" s="2"/>
      </tp>
      <tp>
        <v>0.96728000000000003</v>
        <stp/>
        <stp>21422436</stp>
        <stp>@bh,EURCHF,d1,close,23</stp>
        <tr r="K25" s="2"/>
      </tp>
      <tp>
        <v>0.95943999999999996</v>
        <stp/>
        <stp>21422436</stp>
        <stp>@bh,EURCHF,d1,close,20</stp>
        <tr r="K22" s="2"/>
      </tp>
      <tp>
        <v>0.96740000000000004</v>
        <stp/>
        <stp>21422436</stp>
        <stp>@bh,EURCHF,d1,close,21</stp>
        <tr r="K23" s="2"/>
      </tp>
      <tp>
        <v>0.95928000000000002</v>
        <stp/>
        <stp>21422436</stp>
        <stp>@bh,EURCHF,d1,close,18</stp>
        <tr r="K20" s="2"/>
      </tp>
      <tp>
        <v>0.95609999999999995</v>
        <stp/>
        <stp>21422436</stp>
        <stp>@bh,EURCHF,d1,close,19</stp>
        <tr r="K21" s="2"/>
      </tp>
      <tp>
        <v>0.95459000000000005</v>
        <stp/>
        <stp>21422436</stp>
        <stp>@bh,EURCHF,d1,close,16</stp>
        <tr r="K18" s="2"/>
      </tp>
      <tp>
        <v>0.95887999999999995</v>
        <stp/>
        <stp>21422436</stp>
        <stp>@bh,EURCHF,d1,close,17</stp>
        <tr r="K19" s="2"/>
      </tp>
      <tp>
        <v>0.94201000000000001</v>
        <stp/>
        <stp>21422436</stp>
        <stp>@bh,EURCHF,d1,close,14</stp>
        <tr r="K16" s="2"/>
      </tp>
      <tp>
        <v>0.95065</v>
        <stp/>
        <stp>21422436</stp>
        <stp>@bh,EURCHF,d1,close,15</stp>
        <tr r="K17" s="2"/>
      </tp>
      <tp>
        <v>0.93337000000000003</v>
        <stp/>
        <stp>21422436</stp>
        <stp>@bh,EURCHF,d1,close,12</stp>
        <tr r="K14" s="2"/>
      </tp>
      <tp>
        <v>0.93598000000000003</v>
        <stp/>
        <stp>21422436</stp>
        <stp>@bh,EURCHF,d1,close,13</stp>
        <tr r="K15" s="2"/>
      </tp>
      <tp>
        <v>0.94120000000000004</v>
        <stp/>
        <stp>21422436</stp>
        <stp>@bh,EURCHF,d1,close,10</stp>
        <tr r="K12" s="2"/>
      </tp>
      <tp>
        <v>0.93050999999999995</v>
        <stp/>
        <stp>21422436</stp>
        <stp>@bh,EURCHF,d1,close,11</stp>
        <tr r="K13" s="2"/>
      </tp>
      <tp>
        <v>0.82491999999999999</v>
        <stp/>
        <stp>21422436</stp>
        <stp>@bh,NZDCAD,d1,close,23</stp>
        <tr r="X25" s="2"/>
      </tp>
      <tp>
        <v>0.82240999999999997</v>
        <stp/>
        <stp>21422436</stp>
        <stp>@bh,NZDCAD,d1,close,22</stp>
        <tr r="X24" s="2"/>
      </tp>
      <tp>
        <v>0.82089999999999996</v>
        <stp/>
        <stp>21422436</stp>
        <stp>@bh,NZDCAD,d1,close,21</stp>
        <tr r="X23" s="2"/>
      </tp>
      <tp>
        <v>0.81867999999999996</v>
        <stp/>
        <stp>21422436</stp>
        <stp>@bh,NZDCAD,d1,close,20</stp>
        <tr r="X22" s="2"/>
      </tp>
      <tp>
        <v>0.83111000000000002</v>
        <stp/>
        <stp>21422436</stp>
        <stp>@bh,NZDCAD,d1,close,27</stp>
        <tr r="X29" s="2"/>
      </tp>
      <tp>
        <v>0.82711999999999997</v>
        <stp/>
        <stp>21422436</stp>
        <stp>@bh,NZDCAD,d1,close,26</stp>
        <tr r="X28" s="2"/>
      </tp>
      <tp>
        <v>0.83213999999999999</v>
        <stp/>
        <stp>21422436</stp>
        <stp>@bh,NZDCAD,d1,close,25</stp>
        <tr r="X27" s="2"/>
      </tp>
      <tp>
        <v>0.82843</v>
        <stp/>
        <stp>21422436</stp>
        <stp>@bh,NZDCAD,d1,close,24</stp>
        <tr r="X26" s="2"/>
      </tp>
      <tp>
        <v>1.15045</v>
        <stp/>
        <stp>21422436</stp>
        <stp>@bh,GBPCHF,d1,close,21</stp>
        <tr r="S23" s="2"/>
      </tp>
      <tp>
        <v>1.14239</v>
        <stp/>
        <stp>21422436</stp>
        <stp>@bh,GBPCHF,d1,close,20</stp>
        <tr r="S22" s="2"/>
      </tp>
      <tp>
        <v>1.14774</v>
        <stp/>
        <stp>21422436</stp>
        <stp>@bh,GBPCHF,d1,close,23</stp>
        <tr r="S25" s="2"/>
      </tp>
      <tp>
        <v>1.15059</v>
        <stp/>
        <stp>21422436</stp>
        <stp>@bh,GBPCHF,d1,close,22</stp>
        <tr r="S24" s="2"/>
      </tp>
      <tp>
        <v>1.14903</v>
        <stp/>
        <stp>21422436</stp>
        <stp>@bh,GBPCHF,d1,close,25</stp>
        <tr r="S27" s="2"/>
      </tp>
      <tp>
        <v>1.1490100000000001</v>
        <stp/>
        <stp>21422436</stp>
        <stp>@bh,GBPCHF,d1,close,24</stp>
        <tr r="S26" s="2"/>
      </tp>
      <tp>
        <v>1.16153</v>
        <stp/>
        <stp>21422436</stp>
        <stp>@bh,GBPCHF,d1,close,27</stp>
        <tr r="S29" s="2"/>
      </tp>
      <tp>
        <v>1.1595</v>
        <stp/>
        <stp>21422436</stp>
        <stp>@bh,GBPCHF,d1,close,26</stp>
        <tr r="S28" s="2"/>
      </tp>
      <tp>
        <v>0.91903999999999997</v>
        <stp/>
        <stp>21422436</stp>
        <stp>@bh,AUDCAD,d1,close,24</stp>
        <tr r="G26" s="2"/>
      </tp>
      <tp>
        <v>0.92071000000000003</v>
        <stp/>
        <stp>21422436</stp>
        <stp>@bh,AUDCAD,d1,close,25</stp>
        <tr r="G27" s="2"/>
      </tp>
      <tp>
        <v>0.92062999999999995</v>
        <stp/>
        <stp>21422436</stp>
        <stp>@bh,AUDCAD,d1,close,26</stp>
        <tr r="G28" s="2"/>
      </tp>
      <tp>
        <v>0.92481999999999998</v>
        <stp/>
        <stp>21422436</stp>
        <stp>@bh,AUDCAD,d1,close,27</stp>
        <tr r="G29" s="2"/>
      </tp>
      <tp>
        <v>0.90856999999999999</v>
        <stp/>
        <stp>21422436</stp>
        <stp>@bh,AUDCAD,d1,close,20</stp>
        <tr r="G22" s="2"/>
      </tp>
      <tp>
        <v>0.91186</v>
        <stp/>
        <stp>21422436</stp>
        <stp>@bh,AUDCAD,d1,close,21</stp>
        <tr r="G23" s="2"/>
      </tp>
      <tp>
        <v>0.91374999999999995</v>
        <stp/>
        <stp>21422436</stp>
        <stp>@bh,AUDCAD,d1,close,22</stp>
        <tr r="G24" s="2"/>
      </tp>
      <tp>
        <v>0.91768000000000005</v>
        <stp/>
        <stp>21422436</stp>
        <stp>@bh,AUDCAD,d1,close,23</stp>
        <tr r="G25" s="2"/>
      </tp>
      <tp>
        <v>0.90564999999999996</v>
        <stp/>
        <stp>21422436</stp>
        <stp>@bh,AUDCAD,d1,close,18</stp>
        <tr r="G20" s="2"/>
      </tp>
      <tp>
        <v>0.90380000000000005</v>
        <stp/>
        <stp>21422436</stp>
        <stp>@bh,AUDCAD,d1,close,19</stp>
        <tr r="G21" s="2"/>
      </tp>
      <tp>
        <v>0.90193999999999996</v>
        <stp/>
        <stp>21422436</stp>
        <stp>@bh,AUDCAD,d1,close,14</stp>
        <tr r="G16" s="2"/>
      </tp>
      <tp>
        <v>0.90320999999999996</v>
        <stp/>
        <stp>21422436</stp>
        <stp>@bh,AUDCAD,d1,close,15</stp>
        <tr r="G17" s="2"/>
      </tp>
      <tp>
        <v>0.90544000000000002</v>
        <stp/>
        <stp>21422436</stp>
        <stp>@bh,AUDCAD,d1,close,16</stp>
        <tr r="G18" s="2"/>
      </tp>
      <tp>
        <v>0.90712999999999999</v>
        <stp/>
        <stp>21422436</stp>
        <stp>@bh,AUDCAD,d1,close,17</stp>
        <tr r="G19" s="2"/>
      </tp>
      <tp>
        <v>0.89680000000000004</v>
        <stp/>
        <stp>21422436</stp>
        <stp>@bh,AUDCAD,d1,close,10</stp>
        <tr r="G12" s="2"/>
      </tp>
      <tp>
        <v>0.89837</v>
        <stp/>
        <stp>21422436</stp>
        <stp>@bh,AUDCAD,d1,close,11</stp>
        <tr r="G13" s="2"/>
      </tp>
      <tp>
        <v>0.89809000000000005</v>
        <stp/>
        <stp>21422436</stp>
        <stp>@bh,AUDCAD,d1,close,12</stp>
        <tr r="G14" s="2"/>
      </tp>
      <tp>
        <v>0.90310999999999997</v>
        <stp/>
        <stp>21422436</stp>
        <stp>@bh,AUDCAD,d1,close,13</stp>
        <tr r="G15" s="2"/>
      </tp>
      <tp>
        <v>1.4932799999999999</v>
        <stp/>
        <stp>21422436</stp>
        <stp>@bh,EURCAD,d1,close,24</stp>
        <tr r="I26" s="2"/>
      </tp>
      <tp>
        <v>1.49685</v>
        <stp/>
        <stp>21422436</stp>
        <stp>@bh,EURCAD,d1,close,25</stp>
        <tr r="I27" s="2"/>
      </tp>
      <tp>
        <v>1.4901</v>
        <stp/>
        <stp>21422436</stp>
        <stp>@bh,EURCAD,d1,close,26</stp>
        <tr r="I28" s="2"/>
      </tp>
      <tp>
        <v>1.4905600000000001</v>
        <stp/>
        <stp>21422436</stp>
        <stp>@bh,EURCAD,d1,close,27</stp>
        <tr r="I29" s="2"/>
      </tp>
      <tp>
        <v>1.49654</v>
        <stp/>
        <stp>21422436</stp>
        <stp>@bh,EURCAD,d1,close,20</stp>
        <tr r="I22" s="2"/>
      </tp>
      <tp>
        <v>1.49594</v>
        <stp/>
        <stp>21422436</stp>
        <stp>@bh,EURCAD,d1,close,21</stp>
        <tr r="I23" s="2"/>
      </tp>
      <tp>
        <v>1.4981800000000001</v>
        <stp/>
        <stp>21422436</stp>
        <stp>@bh,EURCAD,d1,close,22</stp>
        <tr r="I24" s="2"/>
      </tp>
      <tp>
        <v>1.4941199999999999</v>
        <stp/>
        <stp>21422436</stp>
        <stp>@bh,EURCAD,d1,close,23</stp>
        <tr r="I25" s="2"/>
      </tp>
      <tp>
        <v>0.50663999999999998</v>
        <stp/>
        <stp>21422436</stp>
        <stp>@bh,NZDCHF,d1,close,11</stp>
        <tr r="V13" s="2"/>
      </tp>
      <tp>
        <v>0.51632999999999996</v>
        <stp/>
        <stp>21422436</stp>
        <stp>@bh,NZDCHF,d1,close,10</stp>
        <tr r="V12" s="2"/>
      </tp>
      <tp>
        <v>0.51107000000000002</v>
        <stp/>
        <stp>21422436</stp>
        <stp>@bh,NZDCHF,d1,close,13</stp>
        <tr r="V15" s="2"/>
      </tp>
      <tp>
        <v>0.50609999999999999</v>
        <stp/>
        <stp>21422436</stp>
        <stp>@bh,NZDCHF,d1,close,12</stp>
        <tr r="V14" s="2"/>
      </tp>
      <tp>
        <v>0.52248000000000006</v>
        <stp/>
        <stp>21422436</stp>
        <stp>@bh,NZDCHF,d1,close,15</stp>
        <tr r="V17" s="2"/>
      </tp>
      <tp>
        <v>0.51929999999999998</v>
        <stp/>
        <stp>21422436</stp>
        <stp>@bh,NZDCHF,d1,close,14</stp>
        <tr r="V16" s="2"/>
      </tp>
      <tp>
        <v>0.52051999999999998</v>
        <stp/>
        <stp>21422436</stp>
        <stp>@bh,NZDCHF,d1,close,17</stp>
        <tr r="V19" s="2"/>
      </tp>
      <tp>
        <v>0.52087000000000006</v>
        <stp/>
        <stp>21422436</stp>
        <stp>@bh,NZDCHF,d1,close,16</stp>
        <tr r="V18" s="2"/>
      </tp>
      <tp>
        <v>0.51890999999999998</v>
        <stp/>
        <stp>21422436</stp>
        <stp>@bh,NZDCHF,d1,close,19</stp>
        <tr r="V21" s="2"/>
      </tp>
      <tp>
        <v>0.52024000000000004</v>
        <stp/>
        <stp>21422436</stp>
        <stp>@bh,NZDCHF,d1,close,18</stp>
        <tr r="V20" s="2"/>
      </tp>
      <tp>
        <v>1.7763199999999999</v>
        <stp/>
        <stp>21422436</stp>
        <stp>@bh,GBPCAD,d1,close,19</stp>
        <tr r="R21" s="2"/>
      </tp>
      <tp>
        <v>1.7798099999999999</v>
        <stp/>
        <stp>21422436</stp>
        <stp>@bh,GBPCAD,d1,close,18</stp>
        <tr r="R20" s="2"/>
      </tp>
      <tp>
        <v>1.77641</v>
        <stp/>
        <stp>21422436</stp>
        <stp>@bh,GBPCAD,d1,close,13</stp>
        <tr r="R15" s="2"/>
      </tp>
      <tp>
        <v>1.7663800000000001</v>
        <stp/>
        <stp>21422436</stp>
        <stp>@bh,GBPCAD,d1,close,12</stp>
        <tr r="R14" s="2"/>
      </tp>
      <tp>
        <v>1.74939</v>
        <stp/>
        <stp>21422436</stp>
        <stp>@bh,GBPCAD,d1,close,11</stp>
        <tr r="R13" s="2"/>
      </tp>
      <tp>
        <v>1.74597</v>
        <stp/>
        <stp>21422436</stp>
        <stp>@bh,GBPCAD,d1,close,10</stp>
        <tr r="R12" s="2"/>
      </tp>
      <tp>
        <v>1.78145</v>
        <stp/>
        <stp>21422436</stp>
        <stp>@bh,GBPCAD,d1,close,17</stp>
        <tr r="R19" s="2"/>
      </tp>
      <tp>
        <v>1.77779</v>
        <stp/>
        <stp>21422436</stp>
        <stp>@bh,GBPCAD,d1,close,16</stp>
        <tr r="R18" s="2"/>
      </tp>
      <tp>
        <v>1.77504</v>
        <stp/>
        <stp>21422436</stp>
        <stp>@bh,GBPCAD,d1,close,15</stp>
        <tr r="R17" s="2"/>
      </tp>
      <tp>
        <v>1.7671300000000001</v>
        <stp/>
        <stp>21422436</stp>
        <stp>@bh,GBPCAD,d1,close,14</stp>
        <tr r="R16" s="2"/>
      </tp>
      <tp>
        <v>0.53080000000000005</v>
        <stp/>
        <stp>21422436</stp>
        <stp>@bh,NZDCHF,d1,close,21</stp>
        <tr r="V23" s="2"/>
      </tp>
      <tp>
        <v>0.52471000000000001</v>
        <stp/>
        <stp>21422436</stp>
        <stp>@bh,NZDCHF,d1,close,20</stp>
        <tr r="V22" s="2"/>
      </tp>
      <tp>
        <v>0.53407000000000004</v>
        <stp/>
        <stp>21422436</stp>
        <stp>@bh,NZDCHF,d1,close,23</stp>
        <tr r="V25" s="2"/>
      </tp>
      <tp>
        <v>0.53178000000000003</v>
        <stp/>
        <stp>21422436</stp>
        <stp>@bh,NZDCHF,d1,close,22</stp>
        <tr r="V24" s="2"/>
      </tp>
      <tp>
        <v>0.53703999999999996</v>
        <stp/>
        <stp>21422436</stp>
        <stp>@bh,NZDCHF,d1,close,25</stp>
        <tr r="V27" s="2"/>
      </tp>
      <tp>
        <v>0.53656999999999999</v>
        <stp/>
        <stp>21422436</stp>
        <stp>@bh,NZDCHF,d1,close,24</stp>
        <tr r="V26" s="2"/>
      </tp>
      <tp>
        <v>0.54405000000000003</v>
        <stp/>
        <stp>21422436</stp>
        <stp>@bh,NZDCHF,d1,close,27</stp>
        <tr r="V29" s="2"/>
      </tp>
      <tp>
        <v>0.54064000000000001</v>
        <stp/>
        <stp>21422436</stp>
        <stp>@bh,NZDCHF,d1,close,26</stp>
        <tr r="V28" s="2"/>
      </tp>
      <tp>
        <v>1.7727900000000001</v>
        <stp/>
        <stp>21422436</stp>
        <stp>@bh,GBPCAD,d1,close,23</stp>
        <tr r="R25" s="2"/>
      </tp>
      <tp>
        <v>1.7792300000000001</v>
        <stp/>
        <stp>21422436</stp>
        <stp>@bh,GBPCAD,d1,close,22</stp>
        <tr r="R24" s="2"/>
      </tp>
      <tp>
        <v>1.77904</v>
        <stp/>
        <stp>21422436</stp>
        <stp>@bh,GBPCAD,d1,close,21</stp>
        <tr r="R23" s="2"/>
      </tp>
      <tp>
        <v>1.78196</v>
        <stp/>
        <stp>21422436</stp>
        <stp>@bh,GBPCAD,d1,close,20</stp>
        <tr r="R22" s="2"/>
      </tp>
      <tp>
        <v>1.7742199999999999</v>
        <stp/>
        <stp>21422436</stp>
        <stp>@bh,GBPCAD,d1,close,27</stp>
        <tr r="R29" s="2"/>
      </tp>
      <tp>
        <v>1.77372</v>
        <stp/>
        <stp>21422436</stp>
        <stp>@bh,GBPCAD,d1,close,26</stp>
        <tr r="R28" s="2"/>
      </tp>
      <tp>
        <v>1.7798700000000001</v>
        <stp/>
        <stp>21422436</stp>
        <stp>@bh,GBPCAD,d1,close,25</stp>
        <tr r="R27" s="2"/>
      </tp>
      <tp>
        <v>1.77382</v>
        <stp/>
        <stp>21422436</stp>
        <stp>@bh,GBPCAD,d1,close,24</stp>
        <tr r="R26" s="2"/>
      </tp>
      <tp>
        <v>1.5018100000000001</v>
        <stp/>
        <stp>21422436</stp>
        <stp>@bh,EURCAD,d1,close,18</stp>
        <tr r="I20" s="2"/>
      </tp>
      <tp>
        <v>1.4992000000000001</v>
        <stp/>
        <stp>21422436</stp>
        <stp>@bh,EURCAD,d1,close,19</stp>
        <tr r="I21" s="2"/>
      </tp>
      <tp>
        <v>1.49705</v>
        <stp/>
        <stp>21422436</stp>
        <stp>@bh,EURCAD,d1,close,14</stp>
        <tr r="I16" s="2"/>
      </tp>
      <tp>
        <v>1.49482</v>
        <stp/>
        <stp>21422436</stp>
        <stp>@bh,EURCAD,d1,close,15</stp>
        <tr r="I17" s="2"/>
      </tp>
      <tp>
        <v>1.49783</v>
        <stp/>
        <stp>21422436</stp>
        <stp>@bh,EURCAD,d1,close,16</stp>
        <tr r="I18" s="2"/>
      </tp>
      <tp>
        <v>1.4988999999999999</v>
        <stp/>
        <stp>21422436</stp>
        <stp>@bh,EURCAD,d1,close,17</stp>
        <tr r="I19" s="2"/>
      </tp>
      <tp>
        <v>1.5026600000000001</v>
        <stp/>
        <stp>21422436</stp>
        <stp>@bh,EURCAD,d1,close,10</stp>
        <tr r="I12" s="2"/>
      </tp>
      <tp>
        <v>1.50675</v>
        <stp/>
        <stp>21422436</stp>
        <stp>@bh,EURCAD,d1,close,11</stp>
        <tr r="I13" s="2"/>
      </tp>
      <tp>
        <v>1.5140400000000001</v>
        <stp/>
        <stp>21422436</stp>
        <stp>@bh,EURCAD,d1,close,12</stp>
        <tr r="I14" s="2"/>
      </tp>
      <tp>
        <v>1.5136099999999999</v>
        <stp/>
        <stp>21422436</stp>
        <stp>@bh,EURCAD,d1,close,13</stp>
        <tr r="I15" s="2"/>
      </tp>
      <tp>
        <v>0.88514999999999999</v>
        <stp/>
        <stp>21422436</stp>
        <stp>@bh,USDCHF,d1,close,20</stp>
        <tr r="AC22" s="2"/>
      </tp>
      <tp>
        <v>0.89136000000000004</v>
        <stp/>
        <stp>21422436</stp>
        <stp>@bh,USDCHF,d1,close,21</stp>
        <tr r="AC23" s="2"/>
      </tp>
      <tp>
        <v>0.88963000000000003</v>
        <stp/>
        <stp>21422436</stp>
        <stp>@bh,USDCHF,d1,close,22</stp>
        <tr r="AC24" s="2"/>
      </tp>
      <tp>
        <v>0.88890999999999998</v>
        <stp/>
        <stp>21422436</stp>
        <stp>@bh,USDCHF,d1,close,23</stp>
        <tr r="AC25" s="2"/>
      </tp>
      <tp>
        <v>0.88776999999999995</v>
        <stp/>
        <stp>21422436</stp>
        <stp>@bh,USDCHF,d1,close,24</stp>
        <tr r="AC26" s="2"/>
      </tp>
      <tp>
        <v>0.88334000000000001</v>
        <stp/>
        <stp>21422436</stp>
        <stp>@bh,USDCHF,d1,close,25</stp>
        <tr r="AC27" s="2"/>
      </tp>
      <tp>
        <v>0.89380000000000004</v>
        <stp/>
        <stp>21422436</stp>
        <stp>@bh,USDCHF,d1,close,26</stp>
        <tr r="AC28" s="2"/>
      </tp>
      <tp>
        <v>0.89573000000000003</v>
        <stp/>
        <stp>21422436</stp>
        <stp>@bh,USDCHF,d1,close,27</stp>
        <tr r="AC29" s="2"/>
      </tp>
      <tp>
        <v>0.88368999999999998</v>
        <stp/>
        <stp>21422436</stp>
        <stp>@bh,USDCHF,d1,close,18</stp>
        <tr r="AC20" s="2"/>
      </tp>
      <tp>
        <v>0.88161</v>
        <stp/>
        <stp>21422436</stp>
        <stp>@bh,USDCHF,d1,close,19</stp>
        <tr r="AC21" s="2"/>
      </tp>
      <tp>
        <v>0.86165999999999998</v>
        <stp/>
        <stp>21422436</stp>
        <stp>@bh,USDCHF,d1,close,10</stp>
        <tr r="AC12" s="2"/>
      </tp>
      <tp>
        <v>0.85116999999999998</v>
        <stp/>
        <stp>21422436</stp>
        <stp>@bh,USDCHF,d1,close,11</stp>
        <tr r="AC13" s="2"/>
      </tp>
      <tp>
        <v>0.85228999999999999</v>
        <stp/>
        <stp>21422436</stp>
        <stp>@bh,USDCHF,d1,close,12</stp>
        <tr r="AC14" s="2"/>
      </tp>
      <tp>
        <v>0.8579</v>
        <stp/>
        <stp>21422436</stp>
        <stp>@bh,USDCHF,d1,close,13</stp>
        <tr r="AC15" s="2"/>
      </tp>
      <tp>
        <v>0.87292999999999998</v>
        <stp/>
        <stp>21422436</stp>
        <stp>@bh,USDCHF,d1,close,14</stp>
        <tr r="AC16" s="2"/>
      </tp>
      <tp>
        <v>0.87802999999999998</v>
        <stp/>
        <stp>21422436</stp>
        <stp>@bh,USDCHF,d1,close,15</stp>
        <tr r="AC17" s="2"/>
      </tp>
      <tp>
        <v>0.88270000000000004</v>
        <stp/>
        <stp>21422436</stp>
        <stp>@bh,USDCHF,d1,close,16</stp>
        <tr r="AC18" s="2"/>
      </tp>
      <tp>
        <v>0.88612000000000002</v>
        <stp/>
        <stp>21422436</stp>
        <stp>@bh,USDCHF,d1,close,17</stp>
        <tr r="AC19" s="2"/>
      </tp>
      <tp>
        <v>1.37571</v>
        <stp/>
        <stp>21422436</stp>
        <stp>@bh,USDCAD,d1,close,22</stp>
        <tr r="AB24" s="2"/>
      </tp>
      <tp>
        <v>1.3730199999999999</v>
        <stp/>
        <stp>21422436</stp>
        <stp>@bh,USDCAD,d1,close,23</stp>
        <tr r="AB25" s="2"/>
      </tp>
      <tp>
        <v>1.3807199999999999</v>
        <stp/>
        <stp>21422436</stp>
        <stp>@bh,USDCAD,d1,close,20</stp>
        <tr r="AB22" s="2"/>
      </tp>
      <tp>
        <v>1.3784099999999999</v>
        <stp/>
        <stp>21422436</stp>
        <stp>@bh,USDCAD,d1,close,21</stp>
        <tr r="AB23" s="2"/>
      </tp>
      <tp>
        <v>1.3672800000000001</v>
        <stp/>
        <stp>21422436</stp>
        <stp>@bh,USDCAD,d1,close,26</stp>
        <tr r="AB28" s="2"/>
      </tp>
      <tp>
        <v>1.36822</v>
        <stp/>
        <stp>21422436</stp>
        <stp>@bh,USDCAD,d1,close,27</stp>
        <tr r="AB29" s="2"/>
      </tp>
      <tp>
        <v>1.37059</v>
        <stp/>
        <stp>21422436</stp>
        <stp>@bh,USDCAD,d1,close,24</stp>
        <tr r="AB26" s="2"/>
      </tp>
      <tp>
        <v>1.36832</v>
        <stp/>
        <stp>21422436</stp>
        <stp>@bh,USDCAD,d1,close,25</stp>
        <tr r="AB27" s="2"/>
      </tp>
      <tp>
        <v>1.3835299999999999</v>
        <stp/>
        <stp>21422436</stp>
        <stp>@bh,USDCAD,d1,close,18</stp>
        <tr r="AB20" s="2"/>
      </tp>
      <tp>
        <v>1.38253</v>
        <stp/>
        <stp>21422436</stp>
        <stp>@bh,USDCAD,d1,close,19</stp>
        <tr r="AB21" s="2"/>
      </tp>
      <tp>
        <v>1.38259</v>
        <stp/>
        <stp>21422436</stp>
        <stp>@bh,USDCAD,d1,close,12</stp>
        <tr r="AB14" s="2"/>
      </tp>
      <tp>
        <v>1.3873200000000001</v>
        <stp/>
        <stp>21422436</stp>
        <stp>@bh,USDCAD,d1,close,13</stp>
        <tr r="AB15" s="2"/>
      </tp>
      <tp>
        <v>1.3756699999999999</v>
        <stp/>
        <stp>21422436</stp>
        <stp>@bh,USDCAD,d1,close,10</stp>
        <tr r="AB12" s="2"/>
      </tp>
      <tp>
        <v>1.3784400000000001</v>
        <stp/>
        <stp>21422436</stp>
        <stp>@bh,USDCAD,d1,close,11</stp>
        <tr r="AB13" s="2"/>
      </tp>
      <tp>
        <v>1.3851</v>
        <stp/>
        <stp>21422436</stp>
        <stp>@bh,USDCAD,d1,close,16</stp>
        <tr r="AB18" s="2"/>
      </tp>
      <tp>
        <v>1.3852</v>
        <stp/>
        <stp>21422436</stp>
        <stp>@bh,USDCAD,d1,close,17</stp>
        <tr r="AB19" s="2"/>
      </tp>
      <tp>
        <v>1.3873800000000001</v>
        <stp/>
        <stp>21422436</stp>
        <stp>@bh,USDCAD,d1,close,14</stp>
        <tr r="AB16" s="2"/>
      </tp>
      <tp>
        <v>1.38083</v>
        <stp/>
        <stp>21422436</stp>
        <stp>@bh,USDCAD,d1,close,15</stp>
        <tr r="AB17" s="2"/>
      </tp>
      <tp>
        <v>1.0962700000000001</v>
        <stp/>
        <stp>21422436</stp>
        <stp>@bh,AUDNZD,h1,close,18</stp>
        <tr r="D20" s="3"/>
      </tp>
      <tp>
        <v>1.0963400000000001</v>
        <stp/>
        <stp>21422436</stp>
        <stp>@bh,AUDNZD,h1,close,19</stp>
        <tr r="D21" s="3"/>
      </tp>
      <tp>
        <v>1.09528</v>
        <stp/>
        <stp>21422436</stp>
        <stp>@bh,AUDNZD,h1,close,14</stp>
        <tr r="D16" s="3"/>
      </tp>
      <tp>
        <v>1.09582</v>
        <stp/>
        <stp>21422436</stp>
        <stp>@bh,AUDNZD,h1,close,15</stp>
        <tr r="D17" s="3"/>
      </tp>
      <tp>
        <v>1.09561</v>
        <stp/>
        <stp>21422436</stp>
        <stp>@bh,AUDNZD,h1,close,16</stp>
        <tr r="D18" s="3"/>
      </tp>
      <tp>
        <v>1.09548</v>
        <stp/>
        <stp>21422436</stp>
        <stp>@bh,AUDNZD,h1,close,17</stp>
        <tr r="D19" s="3"/>
      </tp>
      <tp>
        <v>1.09795</v>
        <stp/>
        <stp>21422436</stp>
        <stp>@bh,AUDNZD,h1,close,10</stp>
        <tr r="D12" s="3"/>
      </tp>
      <tp>
        <v>1.09704</v>
        <stp/>
        <stp>21422436</stp>
        <stp>@bh,AUDNZD,h1,close,11</stp>
        <tr r="D13" s="3"/>
      </tp>
      <tp>
        <v>1.0966199999999999</v>
        <stp/>
        <stp>21422436</stp>
        <stp>@bh,AUDNZD,h1,close,12</stp>
        <tr r="D14" s="3"/>
      </tp>
      <tp>
        <v>1.09626</v>
        <stp/>
        <stp>21422436</stp>
        <stp>@bh,AUDNZD,h1,close,13</stp>
        <tr r="D15" s="3"/>
      </tp>
      <tp>
        <v>2.1476899999999999</v>
        <stp/>
        <stp>21422436</stp>
        <stp>@bh,GBPNZD,h4,close,23</stp>
        <tr r="Q25" s="1"/>
      </tp>
      <tp>
        <v>2.1479499999999998</v>
        <stp/>
        <stp>21422436</stp>
        <stp>@bh,GBPNZD,h4,close,22</stp>
        <tr r="Q24" s="1"/>
      </tp>
      <tp>
        <v>2.1402299999999999</v>
        <stp/>
        <stp>21422436</stp>
        <stp>@bh,GBPNZD,h4,close,21</stp>
        <tr r="Q23" s="1"/>
      </tp>
      <tp>
        <v>2.1407799999999999</v>
        <stp/>
        <stp>21422436</stp>
        <stp>@bh,GBPNZD,h4,close,20</stp>
        <tr r="Q22" s="1"/>
      </tp>
      <tp>
        <v>2.1382400000000001</v>
        <stp/>
        <stp>21422436</stp>
        <stp>@bh,GBPNZD,h4,close,27</stp>
        <tr r="Q29" s="1"/>
      </tp>
      <tp>
        <v>2.1408700000000001</v>
        <stp/>
        <stp>21422436</stp>
        <stp>@bh,GBPNZD,h4,close,26</stp>
        <tr r="Q28" s="1"/>
      </tp>
      <tp>
        <v>2.1410800000000001</v>
        <stp/>
        <stp>21422436</stp>
        <stp>@bh,GBPNZD,h4,close,25</stp>
        <tr r="Q27" s="1"/>
      </tp>
      <tp>
        <v>2.1415999999999999</v>
        <stp/>
        <stp>21422436</stp>
        <stp>@bh,GBPNZD,h4,close,24</stp>
        <tr r="Q26" s="1"/>
      </tp>
      <tp>
        <v>1.82145</v>
        <stp/>
        <stp>21422436</stp>
        <stp>@bh,EURNZD,h4,close,18</stp>
        <tr r="N20" s="1"/>
      </tp>
      <tp>
        <v>1.82501</v>
        <stp/>
        <stp>21422436</stp>
        <stp>@bh,EURNZD,h4,close,19</stp>
        <tr r="N21" s="1"/>
      </tp>
      <tp>
        <v>1.81778</v>
        <stp/>
        <stp>21422436</stp>
        <stp>@bh,EURNZD,h4,close,14</stp>
        <tr r="N16" s="1"/>
      </tp>
      <tp>
        <v>1.81555</v>
        <stp/>
        <stp>21422436</stp>
        <stp>@bh,EURNZD,h4,close,15</stp>
        <tr r="N17" s="1"/>
      </tp>
      <tp>
        <v>1.8216399999999999</v>
        <stp/>
        <stp>21422436</stp>
        <stp>@bh,EURNZD,h4,close,16</stp>
        <tr r="N18" s="1"/>
      </tp>
      <tp>
        <v>1.8213600000000001</v>
        <stp/>
        <stp>21422436</stp>
        <stp>@bh,EURNZD,h4,close,17</stp>
        <tr r="N19" s="1"/>
      </tp>
      <tp>
        <v>1.8118000000000001</v>
        <stp/>
        <stp>21422436</stp>
        <stp>@bh,EURNZD,h4,close,10</stp>
        <tr r="N12" s="1"/>
      </tp>
      <tp>
        <v>1.8128200000000001</v>
        <stp/>
        <stp>21422436</stp>
        <stp>@bh,EURNZD,h4,close,11</stp>
        <tr r="N13" s="1"/>
      </tp>
      <tp>
        <v>1.8170200000000001</v>
        <stp/>
        <stp>21422436</stp>
        <stp>@bh,EURNZD,h4,close,12</stp>
        <tr r="N14" s="1"/>
      </tp>
      <tp>
        <v>1.8174999999999999</v>
        <stp/>
        <stp>21422436</stp>
        <stp>@bh,EURNZD,h4,close,13</stp>
        <tr r="N15" s="1"/>
      </tp>
      <tp>
        <v>1.8293699999999999</v>
        <stp/>
        <stp>21422436</stp>
        <stp>@bh,EURNZD,h4,close,24</stp>
        <tr r="N26" s="1"/>
      </tp>
      <tp>
        <v>1.8301499999999999</v>
        <stp/>
        <stp>21422436</stp>
        <stp>@bh,EURNZD,h4,close,25</stp>
        <tr r="N27" s="1"/>
      </tp>
      <tp>
        <v>1.8345800000000001</v>
        <stp/>
        <stp>21422436</stp>
        <stp>@bh,EURNZD,h4,close,26</stp>
        <tr r="N28" s="1"/>
      </tp>
      <tp>
        <v>1.83378</v>
        <stp/>
        <stp>21422436</stp>
        <stp>@bh,EURNZD,h4,close,27</stp>
        <tr r="N29" s="1"/>
      </tp>
      <tp>
        <v>1.8243400000000001</v>
        <stp/>
        <stp>21422436</stp>
        <stp>@bh,EURNZD,h4,close,20</stp>
        <tr r="N22" s="1"/>
      </tp>
      <tp>
        <v>1.8258799999999999</v>
        <stp/>
        <stp>21422436</stp>
        <stp>@bh,EURNZD,h4,close,21</stp>
        <tr r="N23" s="1"/>
      </tp>
      <tp>
        <v>1.83283</v>
        <stp/>
        <stp>21422436</stp>
        <stp>@bh,EURNZD,h4,close,22</stp>
        <tr r="N24" s="1"/>
      </tp>
      <tp>
        <v>1.83327</v>
        <stp/>
        <stp>21422436</stp>
        <stp>@bh,EURNZD,h4,close,23</stp>
        <tr r="N25" s="1"/>
      </tp>
      <tp>
        <v>1.09659</v>
        <stp/>
        <stp>21422436</stp>
        <stp>@bh,AUDNZD,h1,close,24</stp>
        <tr r="D26" s="3"/>
      </tp>
      <tp>
        <v>1.0971200000000001</v>
        <stp/>
        <stp>21422436</stp>
        <stp>@bh,AUDNZD,h1,close,25</stp>
        <tr r="D27" s="3"/>
      </tp>
      <tp>
        <v>1.09714</v>
        <stp/>
        <stp>21422436</stp>
        <stp>@bh,AUDNZD,h1,close,26</stp>
        <tr r="D28" s="3"/>
      </tp>
      <tp>
        <v>1.09633</v>
        <stp/>
        <stp>21422436</stp>
        <stp>@bh,AUDNZD,h1,close,27</stp>
        <tr r="D29" s="3"/>
      </tp>
      <tp>
        <v>1.0958600000000001</v>
        <stp/>
        <stp>21422436</stp>
        <stp>@bh,AUDNZD,h1,close,20</stp>
        <tr r="D22" s="3"/>
      </tp>
      <tp>
        <v>1.0961399999999999</v>
        <stp/>
        <stp>21422436</stp>
        <stp>@bh,AUDNZD,h1,close,21</stp>
        <tr r="D23" s="3"/>
      </tp>
      <tp>
        <v>1.09619</v>
        <stp/>
        <stp>21422436</stp>
        <stp>@bh,AUDNZD,h1,close,22</stp>
        <tr r="D24" s="3"/>
      </tp>
      <tp>
        <v>1.09707</v>
        <stp/>
        <stp>21422436</stp>
        <stp>@bh,AUDNZD,h1,close,23</stp>
        <tr r="D25" s="3"/>
      </tp>
      <tp>
        <v>2.1409699999999998</v>
        <stp/>
        <stp>21422436</stp>
        <stp>@bh,GBPNZD,h4,close,19</stp>
        <tr r="Q21" s="1"/>
      </tp>
      <tp>
        <v>2.1387499999999999</v>
        <stp/>
        <stp>21422436</stp>
        <stp>@bh,GBPNZD,h4,close,18</stp>
        <tr r="Q20" s="1"/>
      </tp>
      <tp>
        <v>2.1322700000000001</v>
        <stp/>
        <stp>21422436</stp>
        <stp>@bh,GBPNZD,h4,close,13</stp>
        <tr r="Q15" s="1"/>
      </tp>
      <tp>
        <v>2.1301299999999999</v>
        <stp/>
        <stp>21422436</stp>
        <stp>@bh,GBPNZD,h4,close,12</stp>
        <tr r="Q14" s="1"/>
      </tp>
      <tp>
        <v>2.1243799999999999</v>
        <stp/>
        <stp>21422436</stp>
        <stp>@bh,GBPNZD,h4,close,11</stp>
        <tr r="Q13" s="1"/>
      </tp>
      <tp>
        <v>2.1227299999999998</v>
        <stp/>
        <stp>21422436</stp>
        <stp>@bh,GBPNZD,h4,close,10</stp>
        <tr r="Q12" s="1"/>
      </tp>
      <tp>
        <v>2.1378300000000001</v>
        <stp/>
        <stp>21422436</stp>
        <stp>@bh,GBPNZD,h4,close,17</stp>
        <tr r="Q19" s="1"/>
      </tp>
      <tp>
        <v>2.1379299999999999</v>
        <stp/>
        <stp>21422436</stp>
        <stp>@bh,GBPNZD,h4,close,16</stp>
        <tr r="Q18" s="1"/>
      </tp>
      <tp>
        <v>2.1302300000000001</v>
        <stp/>
        <stp>21422436</stp>
        <stp>@bh,GBPNZD,h4,close,15</stp>
        <tr r="Q17" s="1"/>
      </tp>
      <tp>
        <v>2.1364000000000001</v>
        <stp/>
        <stp>21422436</stp>
        <stp>@bh,GBPNZD,h4,close,14</stp>
        <tr r="Q16" s="1"/>
      </tp>
      <tp>
        <v>1.8085800000000001</v>
        <stp/>
        <stp>21422436</stp>
        <stp>@bh,EURNZD,h1,close,18</stp>
        <tr r="N20" s="3"/>
      </tp>
      <tp>
        <v>1.8077799999999999</v>
        <stp/>
        <stp>21422436</stp>
        <stp>@bh,EURNZD,h1,close,19</stp>
        <tr r="N21" s="3"/>
      </tp>
      <tp>
        <v>1.80559</v>
        <stp/>
        <stp>21422436</stp>
        <stp>@bh,EURNZD,h1,close,14</stp>
        <tr r="N16" s="3"/>
      </tp>
      <tp>
        <v>1.8074600000000001</v>
        <stp/>
        <stp>21422436</stp>
        <stp>@bh,EURNZD,h1,close,15</stp>
        <tr r="N17" s="3"/>
      </tp>
      <tp>
        <v>1.80755</v>
        <stp/>
        <stp>21422436</stp>
        <stp>@bh,EURNZD,h1,close,16</stp>
        <tr r="N18" s="3"/>
      </tp>
      <tp>
        <v>1.80782</v>
        <stp/>
        <stp>21422436</stp>
        <stp>@bh,EURNZD,h1,close,17</stp>
        <tr r="N19" s="3"/>
      </tp>
      <tp>
        <v>1.81013</v>
        <stp/>
        <stp>21422436</stp>
        <stp>@bh,EURNZD,h1,close,10</stp>
        <tr r="N12" s="3"/>
      </tp>
      <tp>
        <v>1.8088200000000001</v>
        <stp/>
        <stp>21422436</stp>
        <stp>@bh,EURNZD,h1,close,11</stp>
        <tr r="N13" s="3"/>
      </tp>
      <tp>
        <v>1.8089</v>
        <stp/>
        <stp>21422436</stp>
        <stp>@bh,EURNZD,h1,close,12</stp>
        <tr r="N14" s="3"/>
      </tp>
      <tp>
        <v>1.8079000000000001</v>
        <stp/>
        <stp>21422436</stp>
        <stp>@bh,EURNZD,h1,close,13</stp>
        <tr r="N15" s="3"/>
      </tp>
      <tp>
        <v>1.10172</v>
        <stp/>
        <stp>21422436</stp>
        <stp>@bh,AUDNZD,h4,close,18</stp>
        <tr r="D20" s="1"/>
      </tp>
      <tp>
        <v>1.1000399999999999</v>
        <stp/>
        <stp>21422436</stp>
        <stp>@bh,AUDNZD,h4,close,19</stp>
        <tr r="D21" s="1"/>
      </tp>
      <tp>
        <v>1.10151</v>
        <stp/>
        <stp>21422436</stp>
        <stp>@bh,AUDNZD,h4,close,14</stp>
        <tr r="D16" s="1"/>
      </tp>
      <tp>
        <v>1.09975</v>
        <stp/>
        <stp>21422436</stp>
        <stp>@bh,AUDNZD,h4,close,15</stp>
        <tr r="D17" s="1"/>
      </tp>
      <tp>
        <v>1.10301</v>
        <stp/>
        <stp>21422436</stp>
        <stp>@bh,AUDNZD,h4,close,16</stp>
        <tr r="D18" s="1"/>
      </tp>
      <tp>
        <v>1.1014600000000001</v>
        <stp/>
        <stp>21422436</stp>
        <stp>@bh,AUDNZD,h4,close,17</stp>
        <tr r="D19" s="1"/>
      </tp>
      <tp>
        <v>1.09958</v>
        <stp/>
        <stp>21422436</stp>
        <stp>@bh,AUDNZD,h4,close,10</stp>
        <tr r="D12" s="1"/>
      </tp>
      <tp>
        <v>1.1009</v>
        <stp/>
        <stp>21422436</stp>
        <stp>@bh,AUDNZD,h4,close,11</stp>
        <tr r="D13" s="1"/>
      </tp>
      <tp>
        <v>1.10267</v>
        <stp/>
        <stp>21422436</stp>
        <stp>@bh,AUDNZD,h4,close,12</stp>
        <tr r="D14" s="1"/>
      </tp>
      <tp>
        <v>1.10259</v>
        <stp/>
        <stp>21422436</stp>
        <stp>@bh,AUDNZD,h4,close,13</stp>
        <tr r="D15" s="1"/>
      </tp>
      <tp>
        <v>2.12026</v>
        <stp/>
        <stp>21422436</stp>
        <stp>@bh,GBPNZD,h1,close,23</stp>
        <tr r="Q25" s="3"/>
      </tp>
      <tp>
        <v>2.1194999999999999</v>
        <stp/>
        <stp>21422436</stp>
        <stp>@bh,GBPNZD,h1,close,22</stp>
        <tr r="Q24" s="3"/>
      </tp>
      <tp>
        <v>2.1184699999999999</v>
        <stp/>
        <stp>21422436</stp>
        <stp>@bh,GBPNZD,h1,close,21</stp>
        <tr r="Q23" s="3"/>
      </tp>
      <tp>
        <v>2.1166299999999998</v>
        <stp/>
        <stp>21422436</stp>
        <stp>@bh,GBPNZD,h1,close,20</stp>
        <tr r="Q22" s="3"/>
      </tp>
      <tp>
        <v>2.1177100000000002</v>
        <stp/>
        <stp>21422436</stp>
        <stp>@bh,GBPNZD,h1,close,27</stp>
        <tr r="Q29" s="3"/>
      </tp>
      <tp>
        <v>2.1200399999999999</v>
        <stp/>
        <stp>21422436</stp>
        <stp>@bh,GBPNZD,h1,close,26</stp>
        <tr r="Q28" s="3"/>
      </tp>
      <tp>
        <v>2.1203500000000002</v>
        <stp/>
        <stp>21422436</stp>
        <stp>@bh,GBPNZD,h1,close,25</stp>
        <tr r="Q27" s="3"/>
      </tp>
      <tp>
        <v>2.1186600000000002</v>
        <stp/>
        <stp>21422436</stp>
        <stp>@bh,GBPNZD,h1,close,24</stp>
        <tr r="Q26" s="3"/>
      </tp>
      <tp>
        <v>1.1037600000000001</v>
        <stp/>
        <stp>21422436</stp>
        <stp>@bh,AUDNZD,h4,close,24</stp>
        <tr r="D26" s="1"/>
      </tp>
      <tp>
        <v>1.10371</v>
        <stp/>
        <stp>21422436</stp>
        <stp>@bh,AUDNZD,h4,close,25</stp>
        <tr r="D27" s="1"/>
      </tp>
      <tp>
        <v>1.1029</v>
        <stp/>
        <stp>21422436</stp>
        <stp>@bh,AUDNZD,h4,close,26</stp>
        <tr r="D28" s="1"/>
      </tp>
      <tp>
        <v>1.1031899999999999</v>
        <stp/>
        <stp>21422436</stp>
        <stp>@bh,AUDNZD,h4,close,27</stp>
        <tr r="D29" s="1"/>
      </tp>
      <tp>
        <v>1.10185</v>
        <stp/>
        <stp>21422436</stp>
        <stp>@bh,AUDNZD,h4,close,20</stp>
        <tr r="D22" s="1"/>
      </tp>
      <tp>
        <v>1.10165</v>
        <stp/>
        <stp>21422436</stp>
        <stp>@bh,AUDNZD,h4,close,21</stp>
        <tr r="D23" s="1"/>
      </tp>
      <tp>
        <v>1.10439</v>
        <stp/>
        <stp>21422436</stp>
        <stp>@bh,AUDNZD,h4,close,22</stp>
        <tr r="D24" s="1"/>
      </tp>
      <tp>
        <v>1.10453</v>
        <stp/>
        <stp>21422436</stp>
        <stp>@bh,AUDNZD,h4,close,23</stp>
        <tr r="D25" s="1"/>
      </tp>
      <tp>
        <v>2.1177999999999999</v>
        <stp/>
        <stp>21422436</stp>
        <stp>@bh,GBPNZD,h1,close,19</stp>
        <tr r="Q21" s="3"/>
      </tp>
      <tp>
        <v>2.1178400000000002</v>
        <stp/>
        <stp>21422436</stp>
        <stp>@bh,GBPNZD,h1,close,18</stp>
        <tr r="Q20" s="3"/>
      </tp>
      <tp>
        <v>2.1173799999999998</v>
        <stp/>
        <stp>21422436</stp>
        <stp>@bh,GBPNZD,h1,close,13</stp>
        <tr r="Q15" s="3"/>
      </tp>
      <tp>
        <v>2.11896</v>
        <stp/>
        <stp>21422436</stp>
        <stp>@bh,GBPNZD,h1,close,12</stp>
        <tr r="Q14" s="3"/>
      </tp>
      <tp>
        <v>2.1188199999999999</v>
        <stp/>
        <stp>21422436</stp>
        <stp>@bh,GBPNZD,h1,close,11</stp>
        <tr r="Q13" s="3"/>
      </tp>
      <tp>
        <v>2.1205799999999999</v>
        <stp/>
        <stp>21422436</stp>
        <stp>@bh,GBPNZD,h1,close,10</stp>
        <tr r="Q12" s="3"/>
      </tp>
      <tp>
        <v>2.1170300000000002</v>
        <stp/>
        <stp>21422436</stp>
        <stp>@bh,GBPNZD,h1,close,17</stp>
        <tr r="Q19" s="3"/>
      </tp>
      <tp>
        <v>2.1166800000000001</v>
        <stp/>
        <stp>21422436</stp>
        <stp>@bh,GBPNZD,h1,close,16</stp>
        <tr r="Q18" s="3"/>
      </tp>
      <tp>
        <v>2.1170599999999999</v>
        <stp/>
        <stp>21422436</stp>
        <stp>@bh,GBPNZD,h1,close,15</stp>
        <tr r="Q17" s="3"/>
      </tp>
      <tp>
        <v>2.11497</v>
        <stp/>
        <stp>21422436</stp>
        <stp>@bh,GBPNZD,h1,close,14</stp>
        <tr r="Q16" s="3"/>
      </tp>
      <tp>
        <v>1.80674</v>
        <stp/>
        <stp>21422436</stp>
        <stp>@bh,EURNZD,h1,close,24</stp>
        <tr r="N26" s="3"/>
      </tp>
      <tp>
        <v>1.80708</v>
        <stp/>
        <stp>21422436</stp>
        <stp>@bh,EURNZD,h1,close,25</stp>
        <tr r="N27" s="3"/>
      </tp>
      <tp>
        <v>1.80616</v>
        <stp/>
        <stp>21422436</stp>
        <stp>@bh,EURNZD,h1,close,26</stp>
        <tr r="N28" s="3"/>
      </tp>
      <tp>
        <v>1.80406</v>
        <stp/>
        <stp>21422436</stp>
        <stp>@bh,EURNZD,h1,close,27</stp>
        <tr r="N29" s="3"/>
      </tp>
      <tp>
        <v>1.8064800000000001</v>
        <stp/>
        <stp>21422436</stp>
        <stp>@bh,EURNZD,h1,close,20</stp>
        <tr r="N22" s="3"/>
      </tp>
      <tp>
        <v>1.80844</v>
        <stp/>
        <stp>21422436</stp>
        <stp>@bh,EURNZD,h1,close,21</stp>
        <tr r="N23" s="3"/>
      </tp>
      <tp>
        <v>1.8086800000000001</v>
        <stp/>
        <stp>21422436</stp>
        <stp>@bh,EURNZD,h1,close,22</stp>
        <tr r="N24" s="3"/>
      </tp>
      <tp>
        <v>1.8076300000000001</v>
        <stp/>
        <stp>21422436</stp>
        <stp>@bh,EURNZD,h1,close,23</stp>
        <tr r="N25" s="3"/>
      </tp>
      <tp>
        <v>1.62466</v>
        <stp/>
        <stp>21422436</stp>
        <stp>@bh,EURAUD,d1,close,24</stp>
        <tr r="M26" s="2"/>
      </tp>
      <tp>
        <v>1.6256999999999999</v>
        <stp/>
        <stp>21422436</stp>
        <stp>@bh,EURAUD,d1,close,25</stp>
        <tr r="M27" s="2"/>
      </tp>
      <tp>
        <v>1.6184700000000001</v>
        <stp/>
        <stp>21422436</stp>
        <stp>@bh,EURAUD,d1,close,26</stp>
        <tr r="M28" s="2"/>
      </tp>
      <tp>
        <v>1.6116200000000001</v>
        <stp/>
        <stp>21422436</stp>
        <stp>@bh,EURAUD,d1,close,27</stp>
        <tr r="M29" s="2"/>
      </tp>
      <tp>
        <v>1.6470199999999999</v>
        <stp/>
        <stp>21422436</stp>
        <stp>@bh,EURAUD,d1,close,20</stp>
        <tr r="M22" s="2"/>
      </tp>
      <tp>
        <v>1.6404300000000001</v>
        <stp/>
        <stp>21422436</stp>
        <stp>@bh,EURAUD,d1,close,21</stp>
        <tr r="M23" s="2"/>
      </tp>
      <tp>
        <v>1.6394899999999999</v>
        <stp/>
        <stp>21422436</stp>
        <stp>@bh,EURAUD,d1,close,22</stp>
        <tr r="M24" s="2"/>
      </tp>
      <tp>
        <v>1.62784</v>
        <stp/>
        <stp>21422436</stp>
        <stp>@bh,EURAUD,d1,close,23</stp>
        <tr r="M25" s="2"/>
      </tp>
      <tp>
        <v>1.9653400000000001</v>
        <stp/>
        <stp>21422436</stp>
        <stp>@bh,GBPAUD,d1,close,19</stp>
        <tr r="P21" s="2"/>
      </tp>
      <tp>
        <v>1.9649799999999999</v>
        <stp/>
        <stp>21422436</stp>
        <stp>@bh,GBPAUD,d1,close,18</stp>
        <tr r="P20" s="2"/>
      </tp>
      <tp>
        <v>1.96678</v>
        <stp/>
        <stp>21422436</stp>
        <stp>@bh,GBPAUD,d1,close,13</stp>
        <tr r="P15" s="2"/>
      </tp>
      <tp>
        <v>1.96658</v>
        <stp/>
        <stp>21422436</stp>
        <stp>@bh,GBPAUD,d1,close,12</stp>
        <tr r="P14" s="2"/>
      </tp>
      <tp>
        <v>1.9471099999999999</v>
        <stp/>
        <stp>21422436</stp>
        <stp>@bh,GBPAUD,d1,close,11</stp>
        <tr r="P13" s="2"/>
      </tp>
      <tp>
        <v>1.9467699999999999</v>
        <stp/>
        <stp>21422436</stp>
        <stp>@bh,GBPAUD,d1,close,10</stp>
        <tr r="P12" s="2"/>
      </tp>
      <tp>
        <v>1.96373</v>
        <stp/>
        <stp>21422436</stp>
        <stp>@bh,GBPAUD,d1,close,17</stp>
        <tr r="P19" s="2"/>
      </tp>
      <tp>
        <v>1.96339</v>
        <stp/>
        <stp>21422436</stp>
        <stp>@bh,GBPAUD,d1,close,16</stp>
        <tr r="P18" s="2"/>
      </tp>
      <tp>
        <v>1.9651400000000001</v>
        <stp/>
        <stp>21422436</stp>
        <stp>@bh,GBPAUD,d1,close,15</stp>
        <tr r="P17" s="2"/>
      </tp>
      <tp>
        <v>1.9592099999999999</v>
        <stp/>
        <stp>21422436</stp>
        <stp>@bh,GBPAUD,d1,close,14</stp>
        <tr r="P16" s="2"/>
      </tp>
      <tp>
        <v>1.9314499999999999</v>
        <stp/>
        <stp>21422436</stp>
        <stp>@bh,GBPAUD,d1,close,23</stp>
        <tr r="P25" s="2"/>
      </tp>
      <tp>
        <v>1.94706</v>
        <stp/>
        <stp>21422436</stp>
        <stp>@bh,GBPAUD,d1,close,22</stp>
        <tr r="P24" s="2"/>
      </tp>
      <tp>
        <v>1.9508700000000001</v>
        <stp/>
        <stp>21422436</stp>
        <stp>@bh,GBPAUD,d1,close,21</stp>
        <tr r="P23" s="2"/>
      </tp>
      <tp>
        <v>1.9611400000000001</v>
        <stp/>
        <stp>21422436</stp>
        <stp>@bh,GBPAUD,d1,close,20</stp>
        <tr r="P22" s="2"/>
      </tp>
      <tp>
        <v>1.91831</v>
        <stp/>
        <stp>21422436</stp>
        <stp>@bh,GBPAUD,d1,close,27</stp>
        <tr r="P29" s="2"/>
      </tp>
      <tp>
        <v>1.92652</v>
        <stp/>
        <stp>21422436</stp>
        <stp>@bh,GBPAUD,d1,close,26</stp>
        <tr r="P28" s="2"/>
      </tp>
      <tp>
        <v>1.9330799999999999</v>
        <stp/>
        <stp>21422436</stp>
        <stp>@bh,GBPAUD,d1,close,25</stp>
        <tr r="P27" s="2"/>
      </tp>
      <tp>
        <v>1.92988</v>
        <stp/>
        <stp>21422436</stp>
        <stp>@bh,GBPAUD,d1,close,24</stp>
        <tr r="P26" s="2"/>
      </tp>
      <tp>
        <v>1.65805</v>
        <stp/>
        <stp>21422436</stp>
        <stp>@bh,EURAUD,d1,close,18</stp>
        <tr r="M20" s="2"/>
      </tp>
      <tp>
        <v>1.65873</v>
        <stp/>
        <stp>21422436</stp>
        <stp>@bh,EURAUD,d1,close,19</stp>
        <tr r="M21" s="2"/>
      </tp>
      <tp>
        <v>1.65977</v>
        <stp/>
        <stp>21422436</stp>
        <stp>@bh,EURAUD,d1,close,14</stp>
        <tr r="M16" s="2"/>
      </tp>
      <tp>
        <v>1.6549100000000001</v>
        <stp/>
        <stp>21422436</stp>
        <stp>@bh,EURAUD,d1,close,15</stp>
        <tr r="M17" s="2"/>
      </tp>
      <tp>
        <v>1.65421</v>
        <stp/>
        <stp>21422436</stp>
        <stp>@bh,EURAUD,d1,close,16</stp>
        <tr r="M18" s="2"/>
      </tp>
      <tp>
        <v>1.65228</v>
        <stp/>
        <stp>21422436</stp>
        <stp>@bh,EURAUD,d1,close,17</stp>
        <tr r="M19" s="2"/>
      </tp>
      <tp>
        <v>1.67547</v>
        <stp/>
        <stp>21422436</stp>
        <stp>@bh,EURAUD,d1,close,10</stp>
        <tr r="M12" s="2"/>
      </tp>
      <tp>
        <v>1.6770499999999999</v>
        <stp/>
        <stp>21422436</stp>
        <stp>@bh,EURAUD,d1,close,11</stp>
        <tr r="M13" s="2"/>
      </tp>
      <tp>
        <v>1.68567</v>
        <stp/>
        <stp>21422436</stp>
        <stp>@bh,EURAUD,d1,close,12</stp>
        <tr r="M14" s="2"/>
      </tp>
      <tp>
        <v>1.67587</v>
        <stp/>
        <stp>21422436</stp>
        <stp>@bh,EURAUD,d1,close,13</stp>
        <tr r="M15" s="2"/>
      </tp>
      <tp>
        <v>0.95330999999999999</v>
        <stp/>
        <stp>21422436</stp>
        <stp>@bh,EURCHF,h4,close,26</stp>
        <tr r="K28" s="1"/>
      </tp>
      <tp>
        <v>0.95289000000000001</v>
        <stp/>
        <stp>21422436</stp>
        <stp>@bh,EURCHF,h4,close,27</stp>
        <tr r="K29" s="1"/>
      </tp>
      <tp>
        <v>0.95748999999999995</v>
        <stp/>
        <stp>21422436</stp>
        <stp>@bh,EURCHF,h4,close,24</stp>
        <tr r="K26" s="1"/>
      </tp>
      <tp>
        <v>0.95655000000000001</v>
        <stp/>
        <stp>21422436</stp>
        <stp>@bh,EURCHF,h4,close,25</stp>
        <tr r="K27" s="1"/>
      </tp>
      <tp>
        <v>0.95682</v>
        <stp/>
        <stp>21422436</stp>
        <stp>@bh,EURCHF,h4,close,22</stp>
        <tr r="K24" s="1"/>
      </tp>
      <tp>
        <v>0.95728000000000002</v>
        <stp/>
        <stp>21422436</stp>
        <stp>@bh,EURCHF,h4,close,23</stp>
        <tr r="K25" s="1"/>
      </tp>
      <tp>
        <v>0.95387</v>
        <stp/>
        <stp>21422436</stp>
        <stp>@bh,EURCHF,h4,close,20</stp>
        <tr r="K22" s="1"/>
      </tp>
      <tp>
        <v>0.95669000000000004</v>
        <stp/>
        <stp>21422436</stp>
        <stp>@bh,EURCHF,h4,close,21</stp>
        <tr r="K23" s="1"/>
      </tp>
      <tp>
        <v>0.62699000000000005</v>
        <stp/>
        <stp>21422436</stp>
        <stp>@bh,CADCHF,h1,close,18</stp>
        <tr r="Z20" s="3"/>
      </tp>
      <tp>
        <v>0.62758999999999998</v>
        <stp/>
        <stp>21422436</stp>
        <stp>@bh,CADCHF,h1,close,19</stp>
        <tr r="Z21" s="3"/>
      </tp>
      <tp>
        <v>0.62683</v>
        <stp/>
        <stp>21422436</stp>
        <stp>@bh,CADCHF,h1,close,12</stp>
        <tr r="Z14" s="3"/>
      </tp>
      <tp>
        <v>0.62692000000000003</v>
        <stp/>
        <stp>21422436</stp>
        <stp>@bh,CADCHF,h1,close,13</stp>
        <tr r="Z15" s="3"/>
      </tp>
      <tp>
        <v>0.62741000000000002</v>
        <stp/>
        <stp>21422436</stp>
        <stp>@bh,CADCHF,h1,close,10</stp>
        <tr r="Z12" s="3"/>
      </tp>
      <tp>
        <v>0.62734999999999996</v>
        <stp/>
        <stp>21422436</stp>
        <stp>@bh,CADCHF,h1,close,11</stp>
        <tr r="Z13" s="3"/>
      </tp>
      <tp>
        <v>0.62658999999999998</v>
        <stp/>
        <stp>21422436</stp>
        <stp>@bh,CADCHF,h1,close,16</stp>
        <tr r="Z18" s="3"/>
      </tp>
      <tp>
        <v>0.62682000000000004</v>
        <stp/>
        <stp>21422436</stp>
        <stp>@bh,CADCHF,h1,close,17</stp>
        <tr r="Z19" s="3"/>
      </tp>
      <tp>
        <v>0.62683</v>
        <stp/>
        <stp>21422436</stp>
        <stp>@bh,CADCHF,h1,close,14</stp>
        <tr r="Z16" s="3"/>
      </tp>
      <tp>
        <v>0.62687999999999999</v>
        <stp/>
        <stp>21422436</stp>
        <stp>@bh,CADCHF,h1,close,15</stp>
        <tr r="Z17" s="3"/>
      </tp>
      <tp>
        <v>0.83035000000000003</v>
        <stp/>
        <stp>21422436</stp>
        <stp>@bh,NZDCAD,h4,close,13</stp>
        <tr r="X15" s="1"/>
      </tp>
      <tp>
        <v>0.83172999999999997</v>
        <stp/>
        <stp>21422436</stp>
        <stp>@bh,NZDCAD,h4,close,12</stp>
        <tr r="X14" s="1"/>
      </tp>
      <tp>
        <v>0.83350999999999997</v>
        <stp/>
        <stp>21422436</stp>
        <stp>@bh,NZDCAD,h4,close,11</stp>
        <tr r="X13" s="1"/>
      </tp>
      <tp>
        <v>0.83396999999999999</v>
        <stp/>
        <stp>21422436</stp>
        <stp>@bh,NZDCAD,h4,close,10</stp>
        <tr r="X12" s="1"/>
      </tp>
      <tp>
        <v>0.82811000000000001</v>
        <stp/>
        <stp>21422436</stp>
        <stp>@bh,NZDCAD,h4,close,17</stp>
        <tr r="X19" s="1"/>
      </tp>
      <tp>
        <v>0.82782999999999995</v>
        <stp/>
        <stp>21422436</stp>
        <stp>@bh,NZDCAD,h4,close,16</stp>
        <tr r="X18" s="1"/>
      </tp>
      <tp>
        <v>0.83086000000000004</v>
        <stp/>
        <stp>21422436</stp>
        <stp>@bh,NZDCAD,h4,close,15</stp>
        <tr r="X17" s="1"/>
      </tp>
      <tp>
        <v>0.83021999999999996</v>
        <stp/>
        <stp>21422436</stp>
        <stp>@bh,NZDCAD,h4,close,14</stp>
        <tr r="X16" s="1"/>
      </tp>
      <tp>
        <v>0.57916999999999996</v>
        <stp/>
        <stp>21422436</stp>
        <stp>@bh,AUDCHF,h1,close,26</stp>
        <tr r="F28" s="3"/>
      </tp>
      <tp>
        <v>0.57879000000000003</v>
        <stp/>
        <stp>21422436</stp>
        <stp>@bh,AUDCHF,h1,close,27</stp>
        <tr r="F29" s="3"/>
      </tp>
      <tp>
        <v>0.57809999999999995</v>
        <stp/>
        <stp>21422436</stp>
        <stp>@bh,AUDCHF,h1,close,24</stp>
        <tr r="F26" s="3"/>
      </tp>
      <tp>
        <v>0.82674000000000003</v>
        <stp/>
        <stp>21422436</stp>
        <stp>@bh,NZDCAD,h4,close,19</stp>
        <tr r="X21" s="1"/>
      </tp>
      <tp>
        <v>0.57838999999999996</v>
        <stp/>
        <stp>21422436</stp>
        <stp>@bh,AUDCHF,h1,close,25</stp>
        <tr r="F27" s="3"/>
      </tp>
      <tp>
        <v>0.82730999999999999</v>
        <stp/>
        <stp>21422436</stp>
        <stp>@bh,NZDCAD,h4,close,18</stp>
        <tr r="X20" s="1"/>
      </tp>
      <tp>
        <v>0.57674000000000003</v>
        <stp/>
        <stp>21422436</stp>
        <stp>@bh,AUDCHF,h1,close,22</stp>
        <tr r="F24" s="3"/>
      </tp>
      <tp>
        <v>0.57806999999999997</v>
        <stp/>
        <stp>21422436</stp>
        <stp>@bh,AUDCHF,h1,close,23</stp>
        <tr r="F25" s="3"/>
      </tp>
      <tp>
        <v>0.57713000000000003</v>
        <stp/>
        <stp>21422436</stp>
        <stp>@bh,AUDCHF,h1,close,20</stp>
        <tr r="F22" s="3"/>
      </tp>
      <tp>
        <v>0.57696000000000003</v>
        <stp/>
        <stp>21422436</stp>
        <stp>@bh,AUDCHF,h1,close,21</stp>
        <tr r="F23" s="3"/>
      </tp>
      <tp>
        <v>1.11798</v>
        <stp/>
        <stp>21422436</stp>
        <stp>@bh,GBPCHF,h4,close,19</stp>
        <tr r="S21" s="1"/>
      </tp>
      <tp>
        <v>1.12208</v>
        <stp/>
        <stp>21422436</stp>
        <stp>@bh,GBPCHF,h4,close,18</stp>
        <tr r="S20" s="1"/>
      </tp>
      <tp>
        <v>1.1209100000000001</v>
        <stp/>
        <stp>21422436</stp>
        <stp>@bh,GBPCHF,h4,close,11</stp>
        <tr r="S13" s="1"/>
      </tp>
      <tp>
        <v>1.1192</v>
        <stp/>
        <stp>21422436</stp>
        <stp>@bh,GBPCHF,h4,close,10</stp>
        <tr r="S12" s="1"/>
      </tp>
      <tp>
        <v>1.1207199999999999</v>
        <stp/>
        <stp>21422436</stp>
        <stp>@bh,GBPCHF,h4,close,13</stp>
        <tr r="S15" s="1"/>
      </tp>
      <tp>
        <v>1.12036</v>
        <stp/>
        <stp>21422436</stp>
        <stp>@bh,GBPCHF,h4,close,12</stp>
        <tr r="S14" s="1"/>
      </tp>
      <tp>
        <v>1.1190599999999999</v>
        <stp/>
        <stp>21422436</stp>
        <stp>@bh,GBPCHF,h4,close,15</stp>
        <tr r="S17" s="1"/>
      </tp>
      <tp>
        <v>1.12154</v>
        <stp/>
        <stp>21422436</stp>
        <stp>@bh,GBPCHF,h4,close,14</stp>
        <tr r="S16" s="1"/>
      </tp>
      <tp>
        <v>1.1209800000000001</v>
        <stp/>
        <stp>21422436</stp>
        <stp>@bh,GBPCHF,h4,close,17</stp>
        <tr r="S19" s="1"/>
      </tp>
      <tp>
        <v>1.1221300000000001</v>
        <stp/>
        <stp>21422436</stp>
        <stp>@bh,GBPCHF,h4,close,16</stp>
        <tr r="S18" s="1"/>
      </tp>
      <tp>
        <v>0.82145000000000001</v>
        <stp/>
        <stp>21422436</stp>
        <stp>@bh,NZDCAD,h4,close,23</stp>
        <tr r="X25" s="1"/>
      </tp>
      <tp>
        <v>0.82220000000000004</v>
        <stp/>
        <stp>21422436</stp>
        <stp>@bh,NZDCAD,h4,close,22</stp>
        <tr r="X24" s="1"/>
      </tp>
      <tp>
        <v>0.82545999999999997</v>
        <stp/>
        <stp>21422436</stp>
        <stp>@bh,NZDCAD,h4,close,21</stp>
        <tr r="X23" s="1"/>
      </tp>
      <tp>
        <v>0.82584999999999997</v>
        <stp/>
        <stp>21422436</stp>
        <stp>@bh,NZDCAD,h4,close,20</stp>
        <tr r="X22" s="1"/>
      </tp>
      <tp>
        <v>0.82316999999999996</v>
        <stp/>
        <stp>21422436</stp>
        <stp>@bh,NZDCAD,h4,close,27</stp>
        <tr r="X29" s="1"/>
      </tp>
      <tp>
        <v>0.82235999999999998</v>
        <stp/>
        <stp>21422436</stp>
        <stp>@bh,NZDCAD,h4,close,26</stp>
        <tr r="X28" s="1"/>
      </tp>
      <tp>
        <v>0.57616999999999996</v>
        <stp/>
        <stp>21422436</stp>
        <stp>@bh,AUDCHF,h1,close,18</stp>
        <tr r="F20" s="3"/>
      </tp>
      <tp>
        <v>0.82162999999999997</v>
        <stp/>
        <stp>21422436</stp>
        <stp>@bh,NZDCAD,h4,close,25</stp>
        <tr r="X27" s="1"/>
      </tp>
      <tp>
        <v>0.57679000000000002</v>
        <stp/>
        <stp>21422436</stp>
        <stp>@bh,AUDCHF,h1,close,19</stp>
        <tr r="F21" s="3"/>
      </tp>
      <tp>
        <v>0.82259000000000004</v>
        <stp/>
        <stp>21422436</stp>
        <stp>@bh,NZDCAD,h4,close,24</stp>
        <tr r="X26" s="1"/>
      </tp>
      <tp>
        <v>0.57559000000000005</v>
        <stp/>
        <stp>21422436</stp>
        <stp>@bh,AUDCHF,h1,close,16</stp>
        <tr r="F18" s="3"/>
      </tp>
      <tp>
        <v>0.57589999999999997</v>
        <stp/>
        <stp>21422436</stp>
        <stp>@bh,AUDCHF,h1,close,17</stp>
        <tr r="F19" s="3"/>
      </tp>
      <tp>
        <v>0.57613999999999999</v>
        <stp/>
        <stp>21422436</stp>
        <stp>@bh,AUDCHF,h1,close,14</stp>
        <tr r="F16" s="3"/>
      </tp>
      <tp>
        <v>0.57589999999999997</v>
        <stp/>
        <stp>21422436</stp>
        <stp>@bh,AUDCHF,h1,close,15</stp>
        <tr r="F17" s="3"/>
      </tp>
      <tp>
        <v>0.57555999999999996</v>
        <stp/>
        <stp>21422436</stp>
        <stp>@bh,AUDCHF,h1,close,12</stp>
        <tr r="F14" s="3"/>
      </tp>
      <tp>
        <v>0.57581000000000004</v>
        <stp/>
        <stp>21422436</stp>
        <stp>@bh,AUDCHF,h1,close,13</stp>
        <tr r="F15" s="3"/>
      </tp>
      <tp>
        <v>0.57611000000000001</v>
        <stp/>
        <stp>21422436</stp>
        <stp>@bh,AUDCHF,h1,close,10</stp>
        <tr r="F12" s="3"/>
      </tp>
      <tp>
        <v>0.57615000000000005</v>
        <stp/>
        <stp>21422436</stp>
        <stp>@bh,AUDCHF,h1,close,11</stp>
        <tr r="F13" s="3"/>
      </tp>
      <tp>
        <v>1.1213599999999999</v>
        <stp/>
        <stp>21422436</stp>
        <stp>@bh,GBPCHF,h4,close,21</stp>
        <tr r="S23" s="1"/>
      </tp>
      <tp>
        <v>1.1193200000000001</v>
        <stp/>
        <stp>21422436</stp>
        <stp>@bh,GBPCHF,h4,close,20</stp>
        <tr r="S22" s="1"/>
      </tp>
      <tp>
        <v>1.1214599999999999</v>
        <stp/>
        <stp>21422436</stp>
        <stp>@bh,GBPCHF,h4,close,23</stp>
        <tr r="S25" s="1"/>
      </tp>
      <tp>
        <v>1.1213599999999999</v>
        <stp/>
        <stp>21422436</stp>
        <stp>@bh,GBPCHF,h4,close,22</stp>
        <tr r="S24" s="1"/>
      </tp>
      <tp>
        <v>1.1190500000000001</v>
        <stp/>
        <stp>21422436</stp>
        <stp>@bh,GBPCHF,h4,close,25</stp>
        <tr r="S27" s="1"/>
      </tp>
      <tp>
        <v>1.1209</v>
        <stp/>
        <stp>21422436</stp>
        <stp>@bh,GBPCHF,h4,close,24</stp>
        <tr r="S26" s="1"/>
      </tp>
      <tp>
        <v>1.1111200000000001</v>
        <stp/>
        <stp>21422436</stp>
        <stp>@bh,GBPCHF,h4,close,27</stp>
        <tr r="S29" s="1"/>
      </tp>
      <tp>
        <v>1.1124700000000001</v>
        <stp/>
        <stp>21422436</stp>
        <stp>@bh,GBPCHF,h4,close,26</stp>
        <tr r="S28" s="1"/>
      </tp>
      <tp>
        <v>0.95557999999999998</v>
        <stp/>
        <stp>21422436</stp>
        <stp>@bh,EURCHF,h4,close,18</stp>
        <tr r="K20" s="1"/>
      </tp>
      <tp>
        <v>0.95296999999999998</v>
        <stp/>
        <stp>21422436</stp>
        <stp>@bh,EURCHF,h4,close,19</stp>
        <tr r="K21" s="1"/>
      </tp>
      <tp>
        <v>0.95613000000000004</v>
        <stp/>
        <stp>21422436</stp>
        <stp>@bh,EURCHF,h4,close,16</stp>
        <tr r="K18" s="1"/>
      </tp>
      <tp>
        <v>0.95503000000000005</v>
        <stp/>
        <stp>21422436</stp>
        <stp>@bh,EURCHF,h4,close,17</stp>
        <tr r="K19" s="1"/>
      </tp>
      <tp>
        <v>0.95426</v>
        <stp/>
        <stp>21422436</stp>
        <stp>@bh,EURCHF,h4,close,14</stp>
        <tr r="K16" s="1"/>
      </tp>
      <tp>
        <v>0.95372000000000001</v>
        <stp/>
        <stp>21422436</stp>
        <stp>@bh,EURCHF,h4,close,15</stp>
        <tr r="K17" s="1"/>
      </tp>
      <tp>
        <v>0.95565</v>
        <stp/>
        <stp>21422436</stp>
        <stp>@bh,EURCHF,h4,close,12</stp>
        <tr r="K14" s="1"/>
      </tp>
      <tp>
        <v>0.95526</v>
        <stp/>
        <stp>21422436</stp>
        <stp>@bh,EURCHF,h4,close,13</stp>
        <tr r="K15" s="1"/>
      </tp>
      <tp>
        <v>0.95523999999999998</v>
        <stp/>
        <stp>21422436</stp>
        <stp>@bh,EURCHF,h4,close,10</stp>
        <tr r="K12" s="1"/>
      </tp>
      <tp>
        <v>0.95650000000000002</v>
        <stp/>
        <stp>21422436</stp>
        <stp>@bh,EURCHF,h4,close,11</stp>
        <tr r="K13" s="1"/>
      </tp>
      <tp>
        <v>0.62812000000000001</v>
        <stp/>
        <stp>21422436</stp>
        <stp>@bh,CADCHF,h1,close,22</stp>
        <tr r="Z24" s="3"/>
      </tp>
      <tp>
        <v>0.62922</v>
        <stp/>
        <stp>21422436</stp>
        <stp>@bh,CADCHF,h1,close,23</stp>
        <tr r="Z25" s="3"/>
      </tp>
      <tp>
        <v>0.62805</v>
        <stp/>
        <stp>21422436</stp>
        <stp>@bh,CADCHF,h1,close,20</stp>
        <tr r="Z22" s="3"/>
      </tp>
      <tp>
        <v>0.62824999999999998</v>
        <stp/>
        <stp>21422436</stp>
        <stp>@bh,CADCHF,h1,close,21</stp>
        <tr r="Z23" s="3"/>
      </tp>
      <tp>
        <v>0.63073999999999997</v>
        <stp/>
        <stp>21422436</stp>
        <stp>@bh,CADCHF,h1,close,26</stp>
        <tr r="Z28" s="3"/>
      </tp>
      <tp>
        <v>0.63134000000000001</v>
        <stp/>
        <stp>21422436</stp>
        <stp>@bh,CADCHF,h1,close,27</stp>
        <tr r="Z29" s="3"/>
      </tp>
      <tp>
        <v>0.62892999999999999</v>
        <stp/>
        <stp>21422436</stp>
        <stp>@bh,CADCHF,h1,close,24</stp>
        <tr r="Z26" s="3"/>
      </tp>
      <tp>
        <v>0.62953000000000003</v>
        <stp/>
        <stp>21422436</stp>
        <stp>@bh,CADCHF,h1,close,25</stp>
        <tr r="Z27" s="3"/>
      </tp>
      <tp>
        <v>0.83779000000000003</v>
        <stp/>
        <stp>21422436</stp>
        <stp>@bh,NZDCAD,h1,close,13</stp>
        <tr r="X15" s="3"/>
      </tp>
      <tp>
        <v>0.83726999999999996</v>
        <stp/>
        <stp>21422436</stp>
        <stp>@bh,NZDCAD,h1,close,12</stp>
        <tr r="X14" s="3"/>
      </tp>
      <tp>
        <v>0.83704999999999996</v>
        <stp/>
        <stp>21422436</stp>
        <stp>@bh,NZDCAD,h1,close,11</stp>
        <tr r="X13" s="3"/>
      </tp>
      <tp>
        <v>0.83625000000000005</v>
        <stp/>
        <stp>21422436</stp>
        <stp>@bh,NZDCAD,h1,close,10</stp>
        <tr r="X12" s="3"/>
      </tp>
      <tp>
        <v>0.83777999999999997</v>
        <stp/>
        <stp>21422436</stp>
        <stp>@bh,NZDCAD,h1,close,17</stp>
        <tr r="X19" s="3"/>
      </tp>
      <tp>
        <v>0.83838999999999997</v>
        <stp/>
        <stp>21422436</stp>
        <stp>@bh,NZDCAD,h1,close,16</stp>
        <tr r="X18" s="3"/>
      </tp>
      <tp>
        <v>0.83826999999999996</v>
        <stp/>
        <stp>21422436</stp>
        <stp>@bh,NZDCAD,h1,close,15</stp>
        <tr r="X17" s="3"/>
      </tp>
      <tp>
        <v>0.83914999999999995</v>
        <stp/>
        <stp>21422436</stp>
        <stp>@bh,NZDCAD,h1,close,14</stp>
        <tr r="X16" s="3"/>
      </tp>
      <tp>
        <v>0.57310000000000005</v>
        <stp/>
        <stp>21422436</stp>
        <stp>@bh,AUDCHF,h4,close,26</stp>
        <tr r="F28" s="1"/>
      </tp>
      <tp>
        <v>0.57325999999999999</v>
        <stp/>
        <stp>21422436</stp>
        <stp>@bh,AUDCHF,h4,close,27</stp>
        <tr r="F29" s="1"/>
      </tp>
      <tp>
        <v>0.57770999999999995</v>
        <stp/>
        <stp>21422436</stp>
        <stp>@bh,AUDCHF,h4,close,24</stp>
        <tr r="F26" s="1"/>
      </tp>
      <tp>
        <v>0.83819999999999995</v>
        <stp/>
        <stp>21422436</stp>
        <stp>@bh,NZDCAD,h1,close,19</stp>
        <tr r="X21" s="3"/>
      </tp>
      <tp>
        <v>0.57686999999999999</v>
        <stp/>
        <stp>21422436</stp>
        <stp>@bh,AUDCHF,h4,close,25</stp>
        <tr r="F27" s="1"/>
      </tp>
      <tp>
        <v>0.83808000000000005</v>
        <stp/>
        <stp>21422436</stp>
        <stp>@bh,NZDCAD,h1,close,18</stp>
        <tr r="X20" s="3"/>
      </tp>
      <tp>
        <v>0.57655999999999996</v>
        <stp/>
        <stp>21422436</stp>
        <stp>@bh,AUDCHF,h4,close,22</stp>
        <tr r="F24" s="1"/>
      </tp>
      <tp>
        <v>0.57676000000000005</v>
        <stp/>
        <stp>21422436</stp>
        <stp>@bh,AUDCHF,h4,close,23</stp>
        <tr r="F25" s="1"/>
      </tp>
      <tp>
        <v>0.57611999999999997</v>
        <stp/>
        <stp>21422436</stp>
        <stp>@bh,AUDCHF,h4,close,20</stp>
        <tr r="F22" s="1"/>
      </tp>
      <tp>
        <v>0.57720000000000005</v>
        <stp/>
        <stp>21422436</stp>
        <stp>@bh,AUDCHF,h4,close,21</stp>
        <tr r="F23" s="1"/>
      </tp>
      <tp>
        <v>1.11422</v>
        <stp/>
        <stp>21422436</stp>
        <stp>@bh,GBPCHF,h1,close,19</stp>
        <tr r="S21" s="3"/>
      </tp>
      <tp>
        <v>1.1131</v>
        <stp/>
        <stp>21422436</stp>
        <stp>@bh,GBPCHF,h1,close,18</stp>
        <tr r="S20" s="3"/>
      </tp>
      <tp>
        <v>1.1127800000000001</v>
        <stp/>
        <stp>21422436</stp>
        <stp>@bh,GBPCHF,h1,close,11</stp>
        <tr r="S13" s="3"/>
      </tp>
      <tp>
        <v>1.1127</v>
        <stp/>
        <stp>21422436</stp>
        <stp>@bh,GBPCHF,h1,close,10</stp>
        <tr r="S12" s="3"/>
      </tp>
      <tp>
        <v>1.11216</v>
        <stp/>
        <stp>21422436</stp>
        <stp>@bh,GBPCHF,h1,close,13</stp>
        <tr r="S15" s="3"/>
      </tp>
      <tp>
        <v>1.1121399999999999</v>
        <stp/>
        <stp>21422436</stp>
        <stp>@bh,GBPCHF,h1,close,12</stp>
        <tr r="S14" s="3"/>
      </tp>
      <tp>
        <v>1.1126100000000001</v>
        <stp/>
        <stp>21422436</stp>
        <stp>@bh,GBPCHF,h1,close,15</stp>
        <tr r="S17" s="3"/>
      </tp>
      <tp>
        <v>1.1125400000000001</v>
        <stp/>
        <stp>21422436</stp>
        <stp>@bh,GBPCHF,h1,close,14</stp>
        <tr r="S16" s="3"/>
      </tp>
      <tp>
        <v>1.11294</v>
        <stp/>
        <stp>21422436</stp>
        <stp>@bh,GBPCHF,h1,close,17</stp>
        <tr r="S19" s="3"/>
      </tp>
      <tp>
        <v>1.1120300000000001</v>
        <stp/>
        <stp>21422436</stp>
        <stp>@bh,GBPCHF,h1,close,16</stp>
        <tr r="S18" s="3"/>
      </tp>
      <tp>
        <v>0.95345999999999997</v>
        <stp/>
        <stp>21422436</stp>
        <stp>@bh,EURCHF,h1,close,26</stp>
        <tr r="K28" s="3"/>
      </tp>
      <tp>
        <v>0.95243999999999995</v>
        <stp/>
        <stp>21422436</stp>
        <stp>@bh,EURCHF,h1,close,27</stp>
        <tr r="K29" s="3"/>
      </tp>
      <tp>
        <v>0.95247000000000004</v>
        <stp/>
        <stp>21422436</stp>
        <stp>@bh,EURCHF,h1,close,24</stp>
        <tr r="K26" s="3"/>
      </tp>
      <tp>
        <v>0.95265</v>
        <stp/>
        <stp>21422436</stp>
        <stp>@bh,EURCHF,h1,close,25</stp>
        <tr r="K27" s="3"/>
      </tp>
      <tp>
        <v>0.95162000000000002</v>
        <stp/>
        <stp>21422436</stp>
        <stp>@bh,EURCHF,h1,close,22</stp>
        <tr r="K24" s="3"/>
      </tp>
      <tp>
        <v>0.95247000000000004</v>
        <stp/>
        <stp>21422436</stp>
        <stp>@bh,EURCHF,h1,close,23</stp>
        <tr r="K25" s="3"/>
      </tp>
      <tp>
        <v>0.95137000000000005</v>
        <stp/>
        <stp>21422436</stp>
        <stp>@bh,EURCHF,h1,close,20</stp>
        <tr r="K22" s="3"/>
      </tp>
      <tp>
        <v>0.95187999999999995</v>
        <stp/>
        <stp>21422436</stp>
        <stp>@bh,EURCHF,h1,close,21</stp>
        <tr r="K23" s="3"/>
      </tp>
      <tp>
        <v>0.63410999999999995</v>
        <stp/>
        <stp>21422436</stp>
        <stp>@bh,CADCHF,h4,close,18</stp>
        <tr r="Z20" s="1"/>
      </tp>
      <tp>
        <v>0.63153000000000004</v>
        <stp/>
        <stp>21422436</stp>
        <stp>@bh,CADCHF,h4,close,19</stp>
        <tr r="Z21" s="1"/>
      </tp>
      <tp>
        <v>0.63229000000000002</v>
        <stp/>
        <stp>21422436</stp>
        <stp>@bh,CADCHF,h4,close,12</stp>
        <tr r="Z14" s="1"/>
      </tp>
      <tp>
        <v>0.63295000000000001</v>
        <stp/>
        <stp>21422436</stp>
        <stp>@bh,CADCHF,h4,close,13</stp>
        <tr r="Z15" s="1"/>
      </tp>
      <tp>
        <v>0.63214999999999999</v>
        <stp/>
        <stp>21422436</stp>
        <stp>@bh,CADCHF,h4,close,10</stp>
        <tr r="Z12" s="1"/>
      </tp>
      <tp>
        <v>0.63285999999999998</v>
        <stp/>
        <stp>21422436</stp>
        <stp>@bh,CADCHF,h4,close,11</stp>
        <tr r="Z13" s="1"/>
      </tp>
      <tp>
        <v>0.63399000000000005</v>
        <stp/>
        <stp>21422436</stp>
        <stp>@bh,CADCHF,h4,close,16</stp>
        <tr r="Z18" s="1"/>
      </tp>
      <tp>
        <v>0.63305</v>
        <stp/>
        <stp>21422436</stp>
        <stp>@bh,CADCHF,h4,close,17</stp>
        <tr r="Z19" s="1"/>
      </tp>
      <tp>
        <v>0.63229000000000002</v>
        <stp/>
        <stp>21422436</stp>
        <stp>@bh,CADCHF,h4,close,14</stp>
        <tr r="Z16" s="1"/>
      </tp>
      <tp>
        <v>0.63221000000000005</v>
        <stp/>
        <stp>21422436</stp>
        <stp>@bh,CADCHF,h4,close,15</stp>
        <tr r="Z17" s="1"/>
      </tp>
      <tp>
        <v>0.95052000000000003</v>
        <stp/>
        <stp>21422436</stp>
        <stp>@bh,EURCHF,h1,close,18</stp>
        <tr r="K20" s="3"/>
      </tp>
      <tp>
        <v>0.95104999999999995</v>
        <stp/>
        <stp>21422436</stp>
        <stp>@bh,EURCHF,h1,close,19</stp>
        <tr r="K21" s="3"/>
      </tp>
      <tp>
        <v>0.94959000000000005</v>
        <stp/>
        <stp>21422436</stp>
        <stp>@bh,EURCHF,h1,close,16</stp>
        <tr r="K18" s="3"/>
      </tp>
      <tp>
        <v>0.95033000000000001</v>
        <stp/>
        <stp>21422436</stp>
        <stp>@bh,EURCHF,h1,close,17</stp>
        <tr r="K19" s="3"/>
      </tp>
      <tp>
        <v>0.94977999999999996</v>
        <stp/>
        <stp>21422436</stp>
        <stp>@bh,EURCHF,h1,close,14</stp>
        <tr r="K16" s="3"/>
      </tp>
      <tp>
        <v>0.94986000000000004</v>
        <stp/>
        <stp>21422436</stp>
        <stp>@bh,EURCHF,h1,close,15</stp>
        <tr r="K17" s="3"/>
      </tp>
      <tp>
        <v>0.94938999999999996</v>
        <stp/>
        <stp>21422436</stp>
        <stp>@bh,EURCHF,h1,close,12</stp>
        <tr r="K14" s="3"/>
      </tp>
      <tp>
        <v>0.94959000000000005</v>
        <stp/>
        <stp>21422436</stp>
        <stp>@bh,EURCHF,h1,close,13</stp>
        <tr r="K15" s="3"/>
      </tp>
      <tp>
        <v>0.94974999999999998</v>
        <stp/>
        <stp>21422436</stp>
        <stp>@bh,EURCHF,h1,close,10</stp>
        <tr r="K12" s="3"/>
      </tp>
      <tp>
        <v>0.94996000000000003</v>
        <stp/>
        <stp>21422436</stp>
        <stp>@bh,EURCHF,h1,close,11</stp>
        <tr r="K13" s="3"/>
      </tp>
      <tp>
        <v>0.63485999999999998</v>
        <stp/>
        <stp>21422436</stp>
        <stp>@bh,CADCHF,h4,close,22</stp>
        <tr r="Z24" s="1"/>
      </tp>
      <tp>
        <v>0.63554999999999995</v>
        <stp/>
        <stp>21422436</stp>
        <stp>@bh,CADCHF,h4,close,23</stp>
        <tr r="Z25" s="1"/>
      </tp>
      <tp>
        <v>0.63305</v>
        <stp/>
        <stp>21422436</stp>
        <stp>@bh,CADCHF,h4,close,20</stp>
        <tr r="Z22" s="1"/>
      </tp>
      <tp>
        <v>0.63470000000000004</v>
        <stp/>
        <stp>21422436</stp>
        <stp>@bh,CADCHF,h4,close,21</stp>
        <tr r="Z23" s="1"/>
      </tp>
      <tp>
        <v>0.63183999999999996</v>
        <stp/>
        <stp>21422436</stp>
        <stp>@bh,CADCHF,h4,close,26</stp>
        <tr r="Z28" s="1"/>
      </tp>
      <tp>
        <v>0.63119999999999998</v>
        <stp/>
        <stp>21422436</stp>
        <stp>@bh,CADCHF,h4,close,27</stp>
        <tr r="Z29" s="1"/>
      </tp>
      <tp>
        <v>0.63619999999999999</v>
        <stp/>
        <stp>21422436</stp>
        <stp>@bh,CADCHF,h4,close,24</stp>
        <tr r="Z26" s="1"/>
      </tp>
      <tp>
        <v>0.63607999999999998</v>
        <stp/>
        <stp>21422436</stp>
        <stp>@bh,CADCHF,h4,close,25</stp>
        <tr r="Z27" s="1"/>
      </tp>
      <tp>
        <v>0.83738000000000001</v>
        <stp/>
        <stp>21422436</stp>
        <stp>@bh,NZDCAD,h1,close,23</stp>
        <tr r="X25" s="3"/>
      </tp>
      <tp>
        <v>0.83753</v>
        <stp/>
        <stp>21422436</stp>
        <stp>@bh,NZDCAD,h1,close,22</stp>
        <tr r="X24" s="3"/>
      </tp>
      <tp>
        <v>0.83774999999999999</v>
        <stp/>
        <stp>21422436</stp>
        <stp>@bh,NZDCAD,h1,close,21</stp>
        <tr r="X23" s="3"/>
      </tp>
      <tp>
        <v>0.83843000000000001</v>
        <stp/>
        <stp>21422436</stp>
        <stp>@bh,NZDCAD,h1,close,20</stp>
        <tr r="X22" s="3"/>
      </tp>
      <tp>
        <v>0.83611999999999997</v>
        <stp/>
        <stp>21422436</stp>
        <stp>@bh,NZDCAD,h1,close,27</stp>
        <tr r="X29" s="3"/>
      </tp>
      <tp>
        <v>0.83686000000000005</v>
        <stp/>
        <stp>21422436</stp>
        <stp>@bh,NZDCAD,h1,close,26</stp>
        <tr r="X28" s="3"/>
      </tp>
      <tp>
        <v>0.57801000000000002</v>
        <stp/>
        <stp>21422436</stp>
        <stp>@bh,AUDCHF,h4,close,18</stp>
        <tr r="F20" s="1"/>
      </tp>
      <tp>
        <v>0.83735000000000004</v>
        <stp/>
        <stp>21422436</stp>
        <stp>@bh,NZDCAD,h1,close,25</stp>
        <tr r="X27" s="3"/>
      </tp>
      <tp>
        <v>0.57442000000000004</v>
        <stp/>
        <stp>21422436</stp>
        <stp>@bh,AUDCHF,h4,close,19</stp>
        <tr r="F21" s="1"/>
      </tp>
      <tp>
        <v>0.83814999999999995</v>
        <stp/>
        <stp>21422436</stp>
        <stp>@bh,NZDCAD,h1,close,24</stp>
        <tr r="X26" s="3"/>
      </tp>
      <tp>
        <v>0.57891999999999999</v>
        <stp/>
        <stp>21422436</stp>
        <stp>@bh,AUDCHF,h4,close,16</stp>
        <tr r="F18" s="1"/>
      </tp>
      <tp>
        <v>0.57755999999999996</v>
        <stp/>
        <stp>21422436</stp>
        <stp>@bh,AUDCHF,h4,close,17</stp>
        <tr r="F19" s="1"/>
      </tp>
      <tp>
        <v>0.57826</v>
        <stp/>
        <stp>21422436</stp>
        <stp>@bh,AUDCHF,h4,close,14</stp>
        <tr r="F16" s="1"/>
      </tp>
      <tp>
        <v>0.57772000000000001</v>
        <stp/>
        <stp>21422436</stp>
        <stp>@bh,AUDCHF,h4,close,15</stp>
        <tr r="F17" s="1"/>
      </tp>
      <tp>
        <v>0.57996000000000003</v>
        <stp/>
        <stp>21422436</stp>
        <stp>@bh,AUDCHF,h4,close,12</stp>
        <tr r="F14" s="1"/>
      </tp>
      <tp>
        <v>0.57952000000000004</v>
        <stp/>
        <stp>21422436</stp>
        <stp>@bh,AUDCHF,h4,close,13</stp>
        <tr r="F15" s="1"/>
      </tp>
      <tp>
        <v>0.57974999999999999</v>
        <stp/>
        <stp>21422436</stp>
        <stp>@bh,AUDCHF,h4,close,10</stp>
        <tr r="F12" s="1"/>
      </tp>
      <tp>
        <v>0.58087</v>
        <stp/>
        <stp>21422436</stp>
        <stp>@bh,AUDCHF,h4,close,11</stp>
        <tr r="F13" s="1"/>
      </tp>
      <tp>
        <v>1.11507</v>
        <stp/>
        <stp>21422436</stp>
        <stp>@bh,GBPCHF,h1,close,21</stp>
        <tr r="S23" s="3"/>
      </tp>
      <tp>
        <v>1.1147100000000001</v>
        <stp/>
        <stp>21422436</stp>
        <stp>@bh,GBPCHF,h1,close,20</stp>
        <tr r="S22" s="3"/>
      </tp>
      <tp>
        <v>1.1172200000000001</v>
        <stp/>
        <stp>21422436</stp>
        <stp>@bh,GBPCHF,h1,close,23</stp>
        <tr r="S25" s="3"/>
      </tp>
      <tp>
        <v>1.1151500000000001</v>
        <stp/>
        <stp>21422436</stp>
        <stp>@bh,GBPCHF,h1,close,22</stp>
        <tr r="S24" s="3"/>
      </tp>
      <tp>
        <v>1.11785</v>
        <stp/>
        <stp>21422436</stp>
        <stp>@bh,GBPCHF,h1,close,25</stp>
        <tr r="S27" s="3"/>
      </tp>
      <tp>
        <v>1.1169199999999999</v>
        <stp/>
        <stp>21422436</stp>
        <stp>@bh,GBPCHF,h1,close,24</stp>
        <tr r="S26" s="3"/>
      </tp>
      <tp>
        <v>1.11802</v>
        <stp/>
        <stp>21422436</stp>
        <stp>@bh,GBPCHF,h1,close,27</stp>
        <tr r="S29" s="3"/>
      </tp>
      <tp>
        <v>1.1191599999999999</v>
        <stp/>
        <stp>21422436</stp>
        <stp>@bh,GBPCHF,h1,close,26</stp>
        <tr r="S28" s="3"/>
      </tp>
      <tp>
        <v>0.52749999999999997</v>
        <stp/>
        <stp>21422436</stp>
        <stp>@bh,NZDCHF,h4,close,11</stp>
        <tr r="V13" s="1"/>
      </tp>
      <tp>
        <v>0.5272</v>
        <stp/>
        <stp>21422436</stp>
        <stp>@bh,NZDCHF,h4,close,10</stp>
        <tr r="V12" s="1"/>
      </tp>
      <tp>
        <v>0.52558000000000005</v>
        <stp/>
        <stp>21422436</stp>
        <stp>@bh,NZDCHF,h4,close,13</stp>
        <tr r="V15" s="1"/>
      </tp>
      <tp>
        <v>0.52590999999999999</v>
        <stp/>
        <stp>21422436</stp>
        <stp>@bh,NZDCHF,h4,close,12</stp>
        <tr r="V14" s="1"/>
      </tp>
      <tp>
        <v>0.52529000000000003</v>
        <stp/>
        <stp>21422436</stp>
        <stp>@bh,NZDCHF,h4,close,15</stp>
        <tr r="V17" s="1"/>
      </tp>
      <tp>
        <v>0.52495000000000003</v>
        <stp/>
        <stp>21422436</stp>
        <stp>@bh,NZDCHF,h4,close,14</stp>
        <tr r="V16" s="1"/>
      </tp>
      <tp>
        <v>0.52427000000000001</v>
        <stp/>
        <stp>21422436</stp>
        <stp>@bh,NZDCHF,h4,close,17</stp>
        <tr r="V19" s="1"/>
      </tp>
      <tp>
        <v>0.52483999999999997</v>
        <stp/>
        <stp>21422436</stp>
        <stp>@bh,NZDCHF,h4,close,16</stp>
        <tr r="V18" s="1"/>
      </tp>
      <tp>
        <v>0.91918</v>
        <stp/>
        <stp>21422436</stp>
        <stp>@bh,AUDCAD,h1,close,24</stp>
        <tr r="G26" s="3"/>
      </tp>
      <tp>
        <v>0.52212999999999998</v>
        <stp/>
        <stp>21422436</stp>
        <stp>@bh,NZDCHF,h4,close,19</stp>
        <tr r="V21" s="1"/>
      </tp>
      <tp>
        <v>0.91876999999999998</v>
        <stp/>
        <stp>21422436</stp>
        <stp>@bh,AUDCAD,h1,close,25</stp>
        <tr r="G27" s="3"/>
      </tp>
      <tp>
        <v>0.52461000000000002</v>
        <stp/>
        <stp>21422436</stp>
        <stp>@bh,NZDCHF,h4,close,18</stp>
        <tr r="V20" s="1"/>
      </tp>
      <tp>
        <v>0.91822999999999999</v>
        <stp/>
        <stp>21422436</stp>
        <stp>@bh,AUDCAD,h1,close,26</stp>
        <tr r="G28" s="3"/>
      </tp>
      <tp>
        <v>0.91676000000000002</v>
        <stp/>
        <stp>21422436</stp>
        <stp>@bh,AUDCAD,h1,close,27</stp>
        <tr r="G29" s="3"/>
      </tp>
      <tp>
        <v>0.91890000000000005</v>
        <stp/>
        <stp>21422436</stp>
        <stp>@bh,AUDCAD,h1,close,20</stp>
        <tr r="G22" s="3"/>
      </tp>
      <tp>
        <v>0.91835</v>
        <stp/>
        <stp>21422436</stp>
        <stp>@bh,AUDCAD,h1,close,21</stp>
        <tr r="G23" s="3"/>
      </tp>
      <tp>
        <v>0.91820999999999997</v>
        <stp/>
        <stp>21422436</stp>
        <stp>@bh,AUDCAD,h1,close,22</stp>
        <tr r="G24" s="3"/>
      </tp>
      <tp>
        <v>0.91871000000000003</v>
        <stp/>
        <stp>21422436</stp>
        <stp>@bh,AUDCAD,h1,close,23</stp>
        <tr r="G25" s="3"/>
      </tp>
      <tp>
        <v>1.77023</v>
        <stp/>
        <stp>21422436</stp>
        <stp>@bh,GBPCAD,h4,close,19</stp>
        <tr r="R21" s="1"/>
      </tp>
      <tp>
        <v>1.76953</v>
        <stp/>
        <stp>21422436</stp>
        <stp>@bh,GBPCAD,h4,close,18</stp>
        <tr r="R20" s="1"/>
      </tp>
      <tp>
        <v>1.7706299999999999</v>
        <stp/>
        <stp>21422436</stp>
        <stp>@bh,GBPCAD,h4,close,13</stp>
        <tr r="R15" s="1"/>
      </tp>
      <tp>
        <v>1.7718799999999999</v>
        <stp/>
        <stp>21422436</stp>
        <stp>@bh,GBPCAD,h4,close,12</stp>
        <tr r="R14" s="1"/>
      </tp>
      <tp>
        <v>1.77101</v>
        <stp/>
        <stp>21422436</stp>
        <stp>@bh,GBPCAD,h4,close,11</stp>
        <tr r="R13" s="1"/>
      </tp>
      <tp>
        <v>1.7704599999999999</v>
        <stp/>
        <stp>21422436</stp>
        <stp>@bh,GBPCAD,h4,close,10</stp>
        <tr r="R12" s="1"/>
      </tp>
      <tp>
        <v>1.7706500000000001</v>
        <stp/>
        <stp>21422436</stp>
        <stp>@bh,GBPCAD,h4,close,17</stp>
        <tr r="R19" s="1"/>
      </tp>
      <tp>
        <v>1.7699400000000001</v>
        <stp/>
        <stp>21422436</stp>
        <stp>@bh,GBPCAD,h4,close,16</stp>
        <tr r="R18" s="1"/>
      </tp>
      <tp>
        <v>1.7700499999999999</v>
        <stp/>
        <stp>21422436</stp>
        <stp>@bh,GBPCAD,h4,close,15</stp>
        <tr r="R17" s="1"/>
      </tp>
      <tp>
        <v>1.7737499999999999</v>
        <stp/>
        <stp>21422436</stp>
        <stp>@bh,GBPCAD,h4,close,14</stp>
        <tr r="R16" s="1"/>
      </tp>
      <tp>
        <v>1.5049999999999999</v>
        <stp/>
        <stp>21422436</stp>
        <stp>@bh,EURCAD,h4,close,24</stp>
        <tr r="I26" s="1"/>
      </tp>
      <tp>
        <v>1.5037799999999999</v>
        <stp/>
        <stp>21422436</stp>
        <stp>@bh,EURCAD,h4,close,25</stp>
        <tr r="I27" s="1"/>
      </tp>
      <tp>
        <v>1.5087600000000001</v>
        <stp/>
        <stp>21422436</stp>
        <stp>@bh,EURCAD,h4,close,26</stp>
        <tr r="I28" s="1"/>
      </tp>
      <tp>
        <v>1.50963</v>
        <stp/>
        <stp>21422436</stp>
        <stp>@bh,EURCAD,h4,close,27</stp>
        <tr r="I29" s="1"/>
      </tp>
      <tp>
        <v>1.50678</v>
        <stp/>
        <stp>21422436</stp>
        <stp>@bh,EURCAD,h4,close,20</stp>
        <tr r="I22" s="1"/>
      </tp>
      <tp>
        <v>1.50725</v>
        <stp/>
        <stp>21422436</stp>
        <stp>@bh,EURCAD,h4,close,21</stp>
        <tr r="I23" s="1"/>
      </tp>
      <tp>
        <v>1.50715</v>
        <stp/>
        <stp>21422436</stp>
        <stp>@bh,EURCAD,h4,close,22</stp>
        <tr r="I24" s="1"/>
      </tp>
      <tp>
        <v>1.5061</v>
        <stp/>
        <stp>21422436</stp>
        <stp>@bh,EURCAD,h4,close,23</stp>
        <tr r="I25" s="1"/>
      </tp>
      <tp>
        <v>1.5069999999999999</v>
        <stp/>
        <stp>21422436</stp>
        <stp>@bh,EURCAD,h4,close,18</stp>
        <tr r="I20" s="1"/>
      </tp>
      <tp>
        <v>1.50898</v>
        <stp/>
        <stp>21422436</stp>
        <stp>@bh,EURCAD,h4,close,19</stp>
        <tr r="I21" s="1"/>
      </tp>
      <tp>
        <v>1.5092099999999999</v>
        <stp/>
        <stp>21422436</stp>
        <stp>@bh,EURCAD,h4,close,14</stp>
        <tr r="I16" s="1"/>
      </tp>
      <tp>
        <v>1.5085599999999999</v>
        <stp/>
        <stp>21422436</stp>
        <stp>@bh,EURCAD,h4,close,15</stp>
        <tr r="I17" s="1"/>
      </tp>
      <tp>
        <v>1.5080800000000001</v>
        <stp/>
        <stp>21422436</stp>
        <stp>@bh,EURCAD,h4,close,16</stp>
        <tr r="I18" s="1"/>
      </tp>
      <tp>
        <v>1.5085500000000001</v>
        <stp/>
        <stp>21422436</stp>
        <stp>@bh,EURCAD,h4,close,17</stp>
        <tr r="I19" s="1"/>
      </tp>
      <tp>
        <v>1.51112</v>
        <stp/>
        <stp>21422436</stp>
        <stp>@bh,EURCAD,h4,close,10</stp>
        <tr r="I12" s="1"/>
      </tp>
      <tp>
        <v>1.51122</v>
        <stp/>
        <stp>21422436</stp>
        <stp>@bh,EURCAD,h4,close,11</stp>
        <tr r="I13" s="1"/>
      </tp>
      <tp>
        <v>1.5114300000000001</v>
        <stp/>
        <stp>21422436</stp>
        <stp>@bh,EURCAD,h4,close,12</stp>
        <tr r="I14" s="1"/>
      </tp>
      <tp>
        <v>1.5092399999999999</v>
        <stp/>
        <stp>21422436</stp>
        <stp>@bh,EURCAD,h4,close,13</stp>
        <tr r="I15" s="1"/>
      </tp>
      <tp>
        <v>0.52393000000000001</v>
        <stp/>
        <stp>21422436</stp>
        <stp>@bh,NZDCHF,h4,close,21</stp>
        <tr r="V23" s="1"/>
      </tp>
      <tp>
        <v>0.52281</v>
        <stp/>
        <stp>21422436</stp>
        <stp>@bh,NZDCHF,h4,close,20</stp>
        <tr r="V22" s="1"/>
      </tp>
      <tp>
        <v>0.52205999999999997</v>
        <stp/>
        <stp>21422436</stp>
        <stp>@bh,NZDCHF,h4,close,23</stp>
        <tr r="V25" s="1"/>
      </tp>
      <tp>
        <v>0.52200000000000002</v>
        <stp/>
        <stp>21422436</stp>
        <stp>@bh,NZDCHF,h4,close,22</stp>
        <tr r="V24" s="1"/>
      </tp>
      <tp>
        <v>0.91886999999999996</v>
        <stp/>
        <stp>21422436</stp>
        <stp>@bh,AUDCAD,h1,close,18</stp>
        <tr r="G20" s="3"/>
      </tp>
      <tp>
        <v>0.52263999999999999</v>
        <stp/>
        <stp>21422436</stp>
        <stp>@bh,NZDCHF,h4,close,25</stp>
        <tr r="V27" s="1"/>
      </tp>
      <tp>
        <v>0.91905999999999999</v>
        <stp/>
        <stp>21422436</stp>
        <stp>@bh,AUDCAD,h1,close,19</stp>
        <tr r="G21" s="3"/>
      </tp>
      <tp>
        <v>0.52332999999999996</v>
        <stp/>
        <stp>21422436</stp>
        <stp>@bh,NZDCHF,h4,close,24</stp>
        <tr r="V26" s="1"/>
      </tp>
      <tp>
        <v>0.51961000000000002</v>
        <stp/>
        <stp>21422436</stp>
        <stp>@bh,NZDCHF,h4,close,27</stp>
        <tr r="V29" s="1"/>
      </tp>
      <tp>
        <v>0.51961999999999997</v>
        <stp/>
        <stp>21422436</stp>
        <stp>@bh,NZDCHF,h4,close,26</stp>
        <tr r="V28" s="1"/>
      </tp>
      <tp>
        <v>0.91913999999999996</v>
        <stp/>
        <stp>21422436</stp>
        <stp>@bh,AUDCAD,h1,close,14</stp>
        <tr r="G16" s="3"/>
      </tp>
      <tp>
        <v>0.91866000000000003</v>
        <stp/>
        <stp>21422436</stp>
        <stp>@bh,AUDCAD,h1,close,15</stp>
        <tr r="G17" s="3"/>
      </tp>
      <tp>
        <v>0.91859000000000002</v>
        <stp/>
        <stp>21422436</stp>
        <stp>@bh,AUDCAD,h1,close,16</stp>
        <tr r="G18" s="3"/>
      </tp>
      <tp>
        <v>0.91859000000000002</v>
        <stp/>
        <stp>21422436</stp>
        <stp>@bh,AUDCAD,h1,close,17</stp>
        <tr r="G19" s="3"/>
      </tp>
      <tp>
        <v>0.91822000000000004</v>
        <stp/>
        <stp>21422436</stp>
        <stp>@bh,AUDCAD,h1,close,10</stp>
        <tr r="G12" s="3"/>
      </tp>
      <tp>
        <v>0.91835999999999995</v>
        <stp/>
        <stp>21422436</stp>
        <stp>@bh,AUDCAD,h1,close,11</stp>
        <tr r="G13" s="3"/>
      </tp>
      <tp>
        <v>0.91820000000000002</v>
        <stp/>
        <stp>21422436</stp>
        <stp>@bh,AUDCAD,h1,close,12</stp>
        <tr r="G14" s="3"/>
      </tp>
      <tp>
        <v>0.91846000000000005</v>
        <stp/>
        <stp>21422436</stp>
        <stp>@bh,AUDCAD,h1,close,13</stp>
        <tr r="G15" s="3"/>
      </tp>
      <tp>
        <v>1.7644599999999999</v>
        <stp/>
        <stp>21422436</stp>
        <stp>@bh,GBPCAD,h4,close,23</stp>
        <tr r="R25" s="1"/>
      </tp>
      <tp>
        <v>1.7662800000000001</v>
        <stp/>
        <stp>21422436</stp>
        <stp>@bh,GBPCAD,h4,close,22</stp>
        <tr r="R24" s="1"/>
      </tp>
      <tp>
        <v>1.76675</v>
        <stp/>
        <stp>21422436</stp>
        <stp>@bh,GBPCAD,h4,close,21</stp>
        <tr r="R23" s="1"/>
      </tp>
      <tp>
        <v>1.7681199999999999</v>
        <stp/>
        <stp>21422436</stp>
        <stp>@bh,GBPCAD,h4,close,20</stp>
        <tr r="R22" s="1"/>
      </tp>
      <tp>
        <v>1.76027</v>
        <stp/>
        <stp>21422436</stp>
        <stp>@bh,GBPCAD,h4,close,27</stp>
        <tr r="R29" s="1"/>
      </tp>
      <tp>
        <v>1.76065</v>
        <stp/>
        <stp>21422436</stp>
        <stp>@bh,GBPCAD,h4,close,26</stp>
        <tr r="R28" s="1"/>
      </tp>
      <tp>
        <v>1.75925</v>
        <stp/>
        <stp>21422436</stp>
        <stp>@bh,GBPCAD,h4,close,25</stp>
        <tr r="R27" s="1"/>
      </tp>
      <tp>
        <v>1.7618499999999999</v>
        <stp/>
        <stp>21422436</stp>
        <stp>@bh,GBPCAD,h4,close,24</stp>
        <tr r="R26" s="1"/>
      </tp>
      <tp>
        <v>1.5144200000000001</v>
        <stp/>
        <stp>21422436</stp>
        <stp>@bh,EURCAD,h1,close,24</stp>
        <tr r="I26" s="3"/>
      </tp>
      <tp>
        <v>1.5133300000000001</v>
        <stp/>
        <stp>21422436</stp>
        <stp>@bh,EURCAD,h1,close,25</stp>
        <tr r="I27" s="3"/>
      </tp>
      <tp>
        <v>1.5116099999999999</v>
        <stp/>
        <stp>21422436</stp>
        <stp>@bh,EURCAD,h1,close,26</stp>
        <tr r="I28" s="3"/>
      </tp>
      <tp>
        <v>1.5085599999999999</v>
        <stp/>
        <stp>21422436</stp>
        <stp>@bh,EURCAD,h1,close,27</stp>
        <tr r="I29" s="3"/>
      </tp>
      <tp>
        <v>1.5147699999999999</v>
        <stp/>
        <stp>21422436</stp>
        <stp>@bh,EURCAD,h1,close,20</stp>
        <tr r="I22" s="3"/>
      </tp>
      <tp>
        <v>1.5150999999999999</v>
        <stp/>
        <stp>21422436</stp>
        <stp>@bh,EURCAD,h1,close,21</stp>
        <tr r="I23" s="3"/>
      </tp>
      <tp>
        <v>1.5149999999999999</v>
        <stp/>
        <stp>21422436</stp>
        <stp>@bh,EURCAD,h1,close,22</stp>
        <tr r="I24" s="3"/>
      </tp>
      <tp>
        <v>1.51373</v>
        <stp/>
        <stp>21422436</stp>
        <stp>@bh,EURCAD,h1,close,23</stp>
        <tr r="I25" s="3"/>
      </tp>
      <tp>
        <v>0.52515000000000001</v>
        <stp/>
        <stp>21422436</stp>
        <stp>@bh,NZDCHF,h1,close,11</stp>
        <tr r="V13" s="3"/>
      </tp>
      <tp>
        <v>0.52468000000000004</v>
        <stp/>
        <stp>21422436</stp>
        <stp>@bh,NZDCHF,h1,close,10</stp>
        <tr r="V12" s="3"/>
      </tp>
      <tp>
        <v>0.52524000000000004</v>
        <stp/>
        <stp>21422436</stp>
        <stp>@bh,NZDCHF,h1,close,13</stp>
        <tr r="V15" s="3"/>
      </tp>
      <tp>
        <v>0.52483999999999997</v>
        <stp/>
        <stp>21422436</stp>
        <stp>@bh,NZDCHF,h1,close,12</stp>
        <tr r="V14" s="3"/>
      </tp>
      <tp>
        <v>0.52549999999999997</v>
        <stp/>
        <stp>21422436</stp>
        <stp>@bh,NZDCHF,h1,close,15</stp>
        <tr r="V17" s="3"/>
      </tp>
      <tp>
        <v>0.52600999999999998</v>
        <stp/>
        <stp>21422436</stp>
        <stp>@bh,NZDCHF,h1,close,14</stp>
        <tr r="V16" s="3"/>
      </tp>
      <tp>
        <v>0.52522000000000002</v>
        <stp/>
        <stp>21422436</stp>
        <stp>@bh,NZDCHF,h1,close,17</stp>
        <tr r="V19" s="3"/>
      </tp>
      <tp>
        <v>0.52534999999999998</v>
        <stp/>
        <stp>21422436</stp>
        <stp>@bh,NZDCHF,h1,close,16</stp>
        <tr r="V18" s="3"/>
      </tp>
      <tp>
        <v>0.90805999999999998</v>
        <stp/>
        <stp>21422436</stp>
        <stp>@bh,AUDCAD,h4,close,24</stp>
        <tr r="G26" s="1"/>
      </tp>
      <tp>
        <v>0.52600000000000002</v>
        <stp/>
        <stp>21422436</stp>
        <stp>@bh,NZDCHF,h1,close,19</stp>
        <tr r="V21" s="3"/>
      </tp>
      <tp>
        <v>0.90688999999999997</v>
        <stp/>
        <stp>21422436</stp>
        <stp>@bh,AUDCAD,h4,close,25</stp>
        <tr r="G27" s="1"/>
      </tp>
      <tp>
        <v>0.52546000000000004</v>
        <stp/>
        <stp>21422436</stp>
        <stp>@bh,NZDCHF,h1,close,18</stp>
        <tr r="V20" s="3"/>
      </tp>
      <tp>
        <v>0.90703</v>
        <stp/>
        <stp>21422436</stp>
        <stp>@bh,AUDCAD,h4,close,26</stp>
        <tr r="G28" s="1"/>
      </tp>
      <tp>
        <v>0.90819000000000005</v>
        <stp/>
        <stp>21422436</stp>
        <stp>@bh,AUDCAD,h4,close,27</stp>
        <tr r="G29" s="1"/>
      </tp>
      <tp>
        <v>0.91005999999999998</v>
        <stp/>
        <stp>21422436</stp>
        <stp>@bh,AUDCAD,h4,close,20</stp>
        <tr r="G22" s="1"/>
      </tp>
      <tp>
        <v>0.90941000000000005</v>
        <stp/>
        <stp>21422436</stp>
        <stp>@bh,AUDCAD,h4,close,21</stp>
        <tr r="G23" s="1"/>
      </tp>
      <tp>
        <v>0.90815999999999997</v>
        <stp/>
        <stp>21422436</stp>
        <stp>@bh,AUDCAD,h4,close,22</stp>
        <tr r="G24" s="1"/>
      </tp>
      <tp>
        <v>0.90742999999999996</v>
        <stp/>
        <stp>21422436</stp>
        <stp>@bh,AUDCAD,h4,close,23</stp>
        <tr r="G25" s="1"/>
      </tp>
      <tp>
        <v>1.7753699999999999</v>
        <stp/>
        <stp>21422436</stp>
        <stp>@bh,GBPCAD,h1,close,19</stp>
        <tr r="R21" s="3"/>
      </tp>
      <tp>
        <v>1.7751699999999999</v>
        <stp/>
        <stp>21422436</stp>
        <stp>@bh,GBPCAD,h1,close,18</stp>
        <tr r="R20" s="3"/>
      </tp>
      <tp>
        <v>1.7739799999999999</v>
        <stp/>
        <stp>21422436</stp>
        <stp>@bh,GBPCAD,h1,close,13</stp>
        <tr r="R15" s="3"/>
      </tp>
      <tp>
        <v>1.7742100000000001</v>
        <stp/>
        <stp>21422436</stp>
        <stp>@bh,GBPCAD,h1,close,12</stp>
        <tr r="R14" s="3"/>
      </tp>
      <tp>
        <v>1.77372</v>
        <stp/>
        <stp>21422436</stp>
        <stp>@bh,GBPCAD,h1,close,11</stp>
        <tr r="R13" s="3"/>
      </tp>
      <tp>
        <v>1.77346</v>
        <stp/>
        <stp>21422436</stp>
        <stp>@bh,GBPCAD,h1,close,10</stp>
        <tr r="R12" s="3"/>
      </tp>
      <tp>
        <v>1.7751999999999999</v>
        <stp/>
        <stp>21422436</stp>
        <stp>@bh,GBPCAD,h1,close,17</stp>
        <tr r="R19" s="3"/>
      </tp>
      <tp>
        <v>1.77468</v>
        <stp/>
        <stp>21422436</stp>
        <stp>@bh,GBPCAD,h1,close,16</stp>
        <tr r="R18" s="3"/>
      </tp>
      <tp>
        <v>1.77481</v>
        <stp/>
        <stp>21422436</stp>
        <stp>@bh,GBPCAD,h1,close,15</stp>
        <tr r="R17" s="3"/>
      </tp>
      <tp>
        <v>1.77485</v>
        <stp/>
        <stp>21422436</stp>
        <stp>@bh,GBPCAD,h1,close,14</stp>
        <tr r="R16" s="3"/>
      </tp>
      <tp>
        <v>0.52632999999999996</v>
        <stp/>
        <stp>21422436</stp>
        <stp>@bh,NZDCHF,h1,close,21</stp>
        <tr r="V23" s="3"/>
      </tp>
      <tp>
        <v>0.52659</v>
        <stp/>
        <stp>21422436</stp>
        <stp>@bh,NZDCHF,h1,close,20</stp>
        <tr r="V22" s="3"/>
      </tp>
      <tp>
        <v>0.52690999999999999</v>
        <stp/>
        <stp>21422436</stp>
        <stp>@bh,NZDCHF,h1,close,23</stp>
        <tr r="V25" s="3"/>
      </tp>
      <tp>
        <v>0.52607999999999999</v>
        <stp/>
        <stp>21422436</stp>
        <stp>@bh,NZDCHF,h1,close,22</stp>
        <tr r="V24" s="3"/>
      </tp>
      <tp>
        <v>0.91154000000000002</v>
        <stp/>
        <stp>21422436</stp>
        <stp>@bh,AUDCAD,h4,close,18</stp>
        <tr r="G20" s="1"/>
      </tp>
      <tp>
        <v>0.52715000000000001</v>
        <stp/>
        <stp>21422436</stp>
        <stp>@bh,NZDCHF,h1,close,25</stp>
        <tr r="V27" s="3"/>
      </tp>
      <tp>
        <v>0.90954999999999997</v>
        <stp/>
        <stp>21422436</stp>
        <stp>@bh,AUDCAD,h4,close,19</stp>
        <tr r="G21" s="1"/>
      </tp>
      <tp>
        <v>0.52715000000000001</v>
        <stp/>
        <stp>21422436</stp>
        <stp>@bh,NZDCHF,h1,close,24</stp>
        <tr r="V26" s="3"/>
      </tp>
      <tp>
        <v>0.52788999999999997</v>
        <stp/>
        <stp>21422436</stp>
        <stp>@bh,NZDCHF,h1,close,27</stp>
        <tr r="V29" s="3"/>
      </tp>
      <tp>
        <v>0.52786</v>
        <stp/>
        <stp>21422436</stp>
        <stp>@bh,NZDCHF,h1,close,26</stp>
        <tr r="V28" s="3"/>
      </tp>
      <tp>
        <v>0.91454000000000002</v>
        <stp/>
        <stp>21422436</stp>
        <stp>@bh,AUDCAD,h4,close,14</stp>
        <tr r="G16" s="1"/>
      </tp>
      <tp>
        <v>0.91379999999999995</v>
        <stp/>
        <stp>21422436</stp>
        <stp>@bh,AUDCAD,h4,close,15</stp>
        <tr r="G17" s="1"/>
      </tp>
      <tp>
        <v>0.91315999999999997</v>
        <stp/>
        <stp>21422436</stp>
        <stp>@bh,AUDCAD,h4,close,16</stp>
        <tr r="G18" s="1"/>
      </tp>
      <tp>
        <v>0.91229000000000005</v>
        <stp/>
        <stp>21422436</stp>
        <stp>@bh,AUDCAD,h4,close,17</stp>
        <tr r="G19" s="1"/>
      </tp>
      <tp>
        <v>0.91710000000000003</v>
        <stp/>
        <stp>21422436</stp>
        <stp>@bh,AUDCAD,h4,close,10</stp>
        <tr r="G12" s="1"/>
      </tp>
      <tp>
        <v>0.91774999999999995</v>
        <stp/>
        <stp>21422436</stp>
        <stp>@bh,AUDCAD,h4,close,11</stp>
        <tr r="G13" s="1"/>
      </tp>
      <tp>
        <v>0.91722000000000004</v>
        <stp/>
        <stp>21422436</stp>
        <stp>@bh,AUDCAD,h4,close,12</stp>
        <tr r="G14" s="1"/>
      </tp>
      <tp>
        <v>0.91559000000000001</v>
        <stp/>
        <stp>21422436</stp>
        <stp>@bh,AUDCAD,h4,close,13</stp>
        <tr r="G15" s="1"/>
      </tp>
      <tp>
        <v>1.7755399999999999</v>
        <stp/>
        <stp>21422436</stp>
        <stp>@bh,GBPCAD,h1,close,23</stp>
        <tr r="R25" s="3"/>
      </tp>
      <tp>
        <v>1.7753699999999999</v>
        <stp/>
        <stp>21422436</stp>
        <stp>@bh,GBPCAD,h1,close,22</stp>
        <tr r="R24" s="3"/>
      </tp>
      <tp>
        <v>1.7748600000000001</v>
        <stp/>
        <stp>21422436</stp>
        <stp>@bh,GBPCAD,h1,close,21</stp>
        <tr r="R23" s="3"/>
      </tp>
      <tp>
        <v>1.77484</v>
        <stp/>
        <stp>21422436</stp>
        <stp>@bh,GBPCAD,h1,close,20</stp>
        <tr r="R22" s="3"/>
      </tp>
      <tp>
        <v>1.77085</v>
        <stp/>
        <stp>21422436</stp>
        <stp>@bh,GBPCAD,h1,close,27</stp>
        <tr r="R29" s="3"/>
      </tp>
      <tp>
        <v>1.7743</v>
        <stp/>
        <stp>21422436</stp>
        <stp>@bh,GBPCAD,h1,close,26</stp>
        <tr r="R28" s="3"/>
      </tp>
      <tp>
        <v>1.77566</v>
        <stp/>
        <stp>21422436</stp>
        <stp>@bh,GBPCAD,h1,close,25</stp>
        <tr r="R27" s="3"/>
      </tp>
      <tp>
        <v>1.7758799999999999</v>
        <stp/>
        <stp>21422436</stp>
        <stp>@bh,GBPCAD,h1,close,24</stp>
        <tr r="R26" s="3"/>
      </tp>
      <tp>
        <v>1.51589</v>
        <stp/>
        <stp>21422436</stp>
        <stp>@bh,EURCAD,h1,close,18</stp>
        <tr r="I20" s="3"/>
      </tp>
      <tp>
        <v>1.5154300000000001</v>
        <stp/>
        <stp>21422436</stp>
        <stp>@bh,EURCAD,h1,close,19</stp>
        <tr r="I21" s="3"/>
      </tp>
      <tp>
        <v>1.5152099999999999</v>
        <stp/>
        <stp>21422436</stp>
        <stp>@bh,EURCAD,h1,close,14</stp>
        <tr r="I16" s="3"/>
      </tp>
      <tp>
        <v>1.5152600000000001</v>
        <stp/>
        <stp>21422436</stp>
        <stp>@bh,EURCAD,h1,close,15</stp>
        <tr r="I17" s="3"/>
      </tp>
      <tp>
        <v>1.51549</v>
        <stp/>
        <stp>21422436</stp>
        <stp>@bh,EURCAD,h1,close,16</stp>
        <tr r="I18" s="3"/>
      </tp>
      <tp>
        <v>1.5159100000000001</v>
        <stp/>
        <stp>21422436</stp>
        <stp>@bh,EURCAD,h1,close,17</stp>
        <tr r="I19" s="3"/>
      </tp>
      <tp>
        <v>1.5138199999999999</v>
        <stp/>
        <stp>21422436</stp>
        <stp>@bh,EURCAD,h1,close,10</stp>
        <tr r="I12" s="3"/>
      </tp>
      <tp>
        <v>1.5142</v>
        <stp/>
        <stp>21422436</stp>
        <stp>@bh,EURCAD,h1,close,11</stp>
        <tr r="I13" s="3"/>
      </tp>
      <tp>
        <v>1.5145900000000001</v>
        <stp/>
        <stp>21422436</stp>
        <stp>@bh,EURCAD,h1,close,12</stp>
        <tr r="I14" s="3"/>
      </tp>
      <tp>
        <v>1.51468</v>
        <stp/>
        <stp>21422436</stp>
        <stp>@bh,EURCAD,h1,close,13</stp>
        <tr r="I15" s="3"/>
      </tp>
      <tp>
        <v>0.86867000000000005</v>
        <stp/>
        <stp>21422436</stp>
        <stp>@bh,USDCHF,h4,close,20</stp>
        <tr r="AC22" s="1"/>
      </tp>
      <tp>
        <v>0.87114000000000003</v>
        <stp/>
        <stp>21422436</stp>
        <stp>@bh,USDCHF,h4,close,21</stp>
        <tr r="AC23" s="1"/>
      </tp>
      <tp>
        <v>0.87175999999999998</v>
        <stp/>
        <stp>21422436</stp>
        <stp>@bh,USDCHF,h4,close,22</stp>
        <tr r="AC24" s="1"/>
      </tp>
      <tp>
        <v>0.87253999999999998</v>
        <stp/>
        <stp>21422436</stp>
        <stp>@bh,USDCHF,h4,close,23</stp>
        <tr r="AC25" s="1"/>
      </tp>
      <tp>
        <v>0.87219999999999998</v>
        <stp/>
        <stp>21422436</stp>
        <stp>@bh,USDCHF,h4,close,24</stp>
        <tr r="AC26" s="1"/>
      </tp>
      <tp>
        <v>0.87305999999999995</v>
        <stp/>
        <stp>21422436</stp>
        <stp>@bh,USDCHF,h4,close,25</stp>
        <tr r="AC27" s="1"/>
      </tp>
      <tp>
        <v>0.86616000000000004</v>
        <stp/>
        <stp>21422436</stp>
        <stp>@bh,USDCHF,h4,close,26</stp>
        <tr r="AC28" s="1"/>
      </tp>
      <tp>
        <v>0.86536000000000002</v>
        <stp/>
        <stp>21422436</stp>
        <stp>@bh,USDCHF,h4,close,27</stp>
        <tr r="AC29" s="1"/>
      </tp>
      <tp>
        <v>0.86843000000000004</v>
        <stp/>
        <stp>21422436</stp>
        <stp>@bh,USDCHF,h4,close,18</stp>
        <tr r="AC20" s="1"/>
      </tp>
      <tp>
        <v>0.86684000000000005</v>
        <stp/>
        <stp>21422436</stp>
        <stp>@bh,USDCHF,h4,close,19</stp>
        <tr r="AC21" s="1"/>
      </tp>
      <tp>
        <v>0.86190999999999995</v>
        <stp/>
        <stp>21422436</stp>
        <stp>@bh,USDCHF,h4,close,10</stp>
        <tr r="AC12" s="1"/>
      </tp>
      <tp>
        <v>0.86287999999999998</v>
        <stp/>
        <stp>21422436</stp>
        <stp>@bh,USDCHF,h4,close,11</stp>
        <tr r="AC13" s="1"/>
      </tp>
      <tp>
        <v>0.86304000000000003</v>
        <stp/>
        <stp>21422436</stp>
        <stp>@bh,USDCHF,h4,close,12</stp>
        <tr r="AC14" s="1"/>
      </tp>
      <tp>
        <v>0.86536999999999997</v>
        <stp/>
        <stp>21422436</stp>
        <stp>@bh,USDCHF,h4,close,13</stp>
        <tr r="AC15" s="1"/>
      </tp>
      <tp>
        <v>0.86460000000000004</v>
        <stp/>
        <stp>21422436</stp>
        <stp>@bh,USDCHF,h4,close,14</stp>
        <tr r="AC16" s="1"/>
      </tp>
      <tp>
        <v>0.86392000000000002</v>
        <stp/>
        <stp>21422436</stp>
        <stp>@bh,USDCHF,h4,close,15</stp>
        <tr r="AC17" s="1"/>
      </tp>
      <tp>
        <v>0.86673</v>
        <stp/>
        <stp>21422436</stp>
        <stp>@bh,USDCHF,h4,close,16</stp>
        <tr r="AC18" s="1"/>
      </tp>
      <tp>
        <v>0.86599000000000004</v>
        <stp/>
        <stp>21422436</stp>
        <stp>@bh,USDCHF,h4,close,17</stp>
        <tr r="AC19" s="1"/>
      </tp>
      <tp>
        <v>0.85550999999999999</v>
        <stp/>
        <stp>21422436</stp>
        <stp>@bh,USDCHF,h1,close,20</stp>
        <tr r="AC22" s="3"/>
      </tp>
      <tp>
        <v>0.85629999999999995</v>
        <stp/>
        <stp>21422436</stp>
        <stp>@bh,USDCHF,h1,close,21</stp>
        <tr r="AC23" s="3"/>
      </tp>
      <tp>
        <v>0.85618000000000005</v>
        <stp/>
        <stp>21422436</stp>
        <stp>@bh,USDCHF,h1,close,22</stp>
        <tr r="AC24" s="3"/>
      </tp>
      <tp>
        <v>0.85768999999999995</v>
        <stp/>
        <stp>21422436</stp>
        <stp>@bh,USDCHF,h1,close,23</stp>
        <tr r="AC25" s="3"/>
      </tp>
      <tp>
        <v>0.85718000000000005</v>
        <stp/>
        <stp>21422436</stp>
        <stp>@bh,USDCHF,h1,close,24</stp>
        <tr r="AC26" s="3"/>
      </tp>
      <tp>
        <v>0.85811999999999999</v>
        <stp/>
        <stp>21422436</stp>
        <stp>@bh,USDCHF,h1,close,25</stp>
        <tr r="AC27" s="3"/>
      </tp>
      <tp>
        <v>0.85912999999999995</v>
        <stp/>
        <stp>21422436</stp>
        <stp>@bh,USDCHF,h1,close,26</stp>
        <tr r="AC28" s="3"/>
      </tp>
      <tp>
        <v>0.85955999999999999</v>
        <stp/>
        <stp>21422436</stp>
        <stp>@bh,USDCHF,h1,close,27</stp>
        <tr r="AC29" s="3"/>
      </tp>
      <tp>
        <v>0.85402999999999996</v>
        <stp/>
        <stp>21422436</stp>
        <stp>@bh,USDCHF,h1,close,18</stp>
        <tr r="AC20" s="3"/>
      </tp>
      <tp>
        <v>0.85492999999999997</v>
        <stp/>
        <stp>21422436</stp>
        <stp>@bh,USDCHF,h1,close,19</stp>
        <tr r="AC21" s="3"/>
      </tp>
      <tp>
        <v>0.85419999999999996</v>
        <stp/>
        <stp>21422436</stp>
        <stp>@bh,USDCHF,h1,close,10</stp>
        <tr r="AC12" s="3"/>
      </tp>
      <tp>
        <v>0.85421000000000002</v>
        <stp/>
        <stp>21422436</stp>
        <stp>@bh,USDCHF,h1,close,11</stp>
        <tr r="AC13" s="3"/>
      </tp>
      <tp>
        <v>0.85365000000000002</v>
        <stp/>
        <stp>21422436</stp>
        <stp>@bh,USDCHF,h1,close,12</stp>
        <tr r="AC14" s="3"/>
      </tp>
      <tp>
        <v>0.85382999999999998</v>
        <stp/>
        <stp>21422436</stp>
        <stp>@bh,USDCHF,h1,close,13</stp>
        <tr r="AC15" s="3"/>
      </tp>
      <tp>
        <v>0.85353000000000001</v>
        <stp/>
        <stp>21422436</stp>
        <stp>@bh,USDCHF,h1,close,14</stp>
        <tr r="AC16" s="3"/>
      </tp>
      <tp>
        <v>0.85365999999999997</v>
        <stp/>
        <stp>21422436</stp>
        <stp>@bh,USDCHF,h1,close,15</stp>
        <tr r="AC17" s="3"/>
      </tp>
      <tp>
        <v>0.85333000000000003</v>
        <stp/>
        <stp>21422436</stp>
        <stp>@bh,USDCHF,h1,close,16</stp>
        <tr r="AC18" s="3"/>
      </tp>
      <tp>
        <v>0.85399999999999998</v>
        <stp/>
        <stp>21422436</stp>
        <stp>@bh,USDCHF,h1,close,17</stp>
        <tr r="AC19" s="3"/>
      </tp>
      <tp>
        <v>1.37317</v>
        <stp/>
        <stp>21422436</stp>
        <stp>@bh,USDCAD,h4,close,22</stp>
        <tr r="AB24" s="1"/>
      </tp>
      <tp>
        <v>1.3729</v>
        <stp/>
        <stp>21422436</stp>
        <stp>@bh,USDCAD,h4,close,23</stp>
        <tr r="AB25" s="1"/>
      </tp>
      <tp>
        <v>1.37225</v>
        <stp/>
        <stp>21422436</stp>
        <stp>@bh,USDCAD,h4,close,20</stp>
        <tr r="AB22" s="1"/>
      </tp>
      <tp>
        <v>1.3725099999999999</v>
        <stp/>
        <stp>21422436</stp>
        <stp>@bh,USDCAD,h4,close,21</stp>
        <tr r="AB23" s="1"/>
      </tp>
      <tp>
        <v>1.3709499999999999</v>
        <stp/>
        <stp>21422436</stp>
        <stp>@bh,USDCAD,h4,close,26</stp>
        <tr r="AB28" s="1"/>
      </tp>
      <tp>
        <v>1.3710500000000001</v>
        <stp/>
        <stp>21422436</stp>
        <stp>@bh,USDCAD,h4,close,27</stp>
        <tr r="AB29" s="1"/>
      </tp>
      <tp>
        <v>1.3710500000000001</v>
        <stp/>
        <stp>21422436</stp>
        <stp>@bh,USDCAD,h4,close,24</stp>
        <tr r="AB26" s="1"/>
      </tp>
      <tp>
        <v>1.37262</v>
        <stp/>
        <stp>21422436</stp>
        <stp>@bh,USDCAD,h4,close,25</stp>
        <tr r="AB27" s="1"/>
      </tp>
      <tp>
        <v>1.36958</v>
        <stp/>
        <stp>21422436</stp>
        <stp>@bh,USDCAD,h4,close,18</stp>
        <tr r="AB20" s="1"/>
      </tp>
      <tp>
        <v>1.37262</v>
        <stp/>
        <stp>21422436</stp>
        <stp>@bh,USDCAD,h4,close,19</stp>
        <tr r="AB21" s="1"/>
      </tp>
      <tp>
        <v>1.36494</v>
        <stp/>
        <stp>21422436</stp>
        <stp>@bh,USDCAD,h4,close,12</stp>
        <tr r="AB14" s="1"/>
      </tp>
      <tp>
        <v>1.3672500000000001</v>
        <stp/>
        <stp>21422436</stp>
        <stp>@bh,USDCAD,h4,close,13</stp>
        <tr r="AB15" s="1"/>
      </tp>
      <tp>
        <v>1.3634900000000001</v>
        <stp/>
        <stp>21422436</stp>
        <stp>@bh,USDCAD,h4,close,10</stp>
        <tr r="AB12" s="1"/>
      </tp>
      <tp>
        <v>1.36334</v>
        <stp/>
        <stp>21422436</stp>
        <stp>@bh,USDCAD,h4,close,11</stp>
        <tr r="AB13" s="1"/>
      </tp>
      <tp>
        <v>1.36713</v>
        <stp/>
        <stp>21422436</stp>
        <stp>@bh,USDCAD,h4,close,16</stp>
        <tr r="AB18" s="1"/>
      </tp>
      <tp>
        <v>1.3678999999999999</v>
        <stp/>
        <stp>21422436</stp>
        <stp>@bh,USDCAD,h4,close,17</stp>
        <tr r="AB19" s="1"/>
      </tp>
      <tp>
        <v>1.3674200000000001</v>
        <stp/>
        <stp>21422436</stp>
        <stp>@bh,USDCAD,h4,close,14</stp>
        <tr r="AB16" s="1"/>
      </tp>
      <tp>
        <v>1.36653</v>
        <stp/>
        <stp>21422436</stp>
        <stp>@bh,USDCAD,h4,close,15</stp>
        <tr r="AB17" s="1"/>
      </tp>
      <tp>
        <v>1.3630899999999999</v>
        <stp/>
        <stp>21422436</stp>
        <stp>@bh,USDCAD,h1,close,22</stp>
        <tr r="AB24" s="3"/>
      </tp>
      <tp>
        <v>1.3631500000000001</v>
        <stp/>
        <stp>21422436</stp>
        <stp>@bh,USDCAD,h1,close,23</stp>
        <tr r="AB25" s="3"/>
      </tp>
      <tp>
        <v>1.3621799999999999</v>
        <stp/>
        <stp>21422436</stp>
        <stp>@bh,USDCAD,h1,close,20</stp>
        <tr r="AB22" s="3"/>
      </tp>
      <tp>
        <v>1.36303</v>
        <stp/>
        <stp>21422436</stp>
        <stp>@bh,USDCAD,h1,close,21</stp>
        <tr r="AB23" s="3"/>
      </tp>
      <tp>
        <v>1.3620699999999999</v>
        <stp/>
        <stp>21422436</stp>
        <stp>@bh,USDCAD,h1,close,26</stp>
        <tr r="AB28" s="3"/>
      </tp>
      <tp>
        <v>1.36147</v>
        <stp/>
        <stp>21422436</stp>
        <stp>@bh,USDCAD,h1,close,27</stp>
        <tr r="AB29" s="3"/>
      </tp>
      <tp>
        <v>1.3629599999999999</v>
        <stp/>
        <stp>21422436</stp>
        <stp>@bh,USDCAD,h1,close,24</stp>
        <tr r="AB26" s="3"/>
      </tp>
      <tp>
        <v>1.36317</v>
        <stp/>
        <stp>21422436</stp>
        <stp>@bh,USDCAD,h1,close,25</stp>
        <tr r="AB27" s="3"/>
      </tp>
      <tp>
        <v>1.3620300000000001</v>
        <stp/>
        <stp>21422436</stp>
        <stp>@bh,USDCAD,h1,close,18</stp>
        <tr r="AB20" s="3"/>
      </tp>
      <tp>
        <v>1.3622799999999999</v>
        <stp/>
        <stp>21422436</stp>
        <stp>@bh,USDCAD,h1,close,19</stp>
        <tr r="AB21" s="3"/>
      </tp>
      <tp>
        <v>1.36188</v>
        <stp/>
        <stp>21422436</stp>
        <stp>@bh,USDCAD,h1,close,12</stp>
        <tr r="AB14" s="3"/>
      </tp>
      <tp>
        <v>1.3620000000000001</v>
        <stp/>
        <stp>21422436</stp>
        <stp>@bh,USDCAD,h1,close,13</stp>
        <tr r="AB15" s="3"/>
      </tp>
      <tp>
        <v>1.3614900000000001</v>
        <stp/>
        <stp>21422436</stp>
        <stp>@bh,USDCAD,h1,close,10</stp>
        <tr r="AB12" s="3"/>
      </tp>
      <tp>
        <v>1.36161</v>
        <stp/>
        <stp>21422436</stp>
        <stp>@bh,USDCAD,h1,close,11</stp>
        <tr r="AB13" s="3"/>
      </tp>
      <tp>
        <v>1.3618399999999999</v>
        <stp/>
        <stp>21422436</stp>
        <stp>@bh,USDCAD,h1,close,16</stp>
        <tr r="AB18" s="3"/>
      </tp>
      <tp>
        <v>1.36219</v>
        <stp/>
        <stp>21422436</stp>
        <stp>@bh,USDCAD,h1,close,17</stp>
        <tr r="AB19" s="3"/>
      </tp>
      <tp>
        <v>1.3616900000000001</v>
        <stp/>
        <stp>21422436</stp>
        <stp>@bh,USDCAD,h1,close,14</stp>
        <tr r="AB16" s="3"/>
      </tp>
      <tp>
        <v>1.3617600000000001</v>
        <stp/>
        <stp>21422436</stp>
        <stp>@bh,USDCAD,h1,close,15</stp>
        <tr r="AB17" s="3"/>
      </tp>
      <tp>
        <v>1.11181</v>
        <stp/>
        <stp>21422436</stp>
        <stp>@bh,AUDNZD,d1,close,18</stp>
        <tr r="D20" s="2"/>
      </tp>
      <tp>
        <v>1.1105</v>
        <stp/>
        <stp>21422436</stp>
        <stp>@bh,AUDNZD,d1,close,19</stp>
        <tr r="D21" s="2"/>
      </tp>
      <tp>
        <v>1.09276</v>
        <stp/>
        <stp>21422436</stp>
        <stp>@bh,AUDNZD,d1,close,14</stp>
        <tr r="D16" s="2"/>
      </tp>
      <tp>
        <v>1.0992299999999999</v>
        <stp/>
        <stp>21422436</stp>
        <stp>@bh,AUDNZD,d1,close,15</stp>
        <tr r="D17" s="2"/>
      </tp>
      <tp>
        <v>1.10737</v>
        <stp/>
        <stp>21422436</stp>
        <stp>@bh,AUDNZD,d1,close,16</stp>
        <tr r="D18" s="2"/>
      </tp>
      <tp>
        <v>1.1144799999999999</v>
        <stp/>
        <stp>21422436</stp>
        <stp>@bh,AUDNZD,d1,close,17</stp>
        <tr r="D19" s="2"/>
      </tp>
      <tp>
        <v>1.08755</v>
        <stp/>
        <stp>21422436</stp>
        <stp>@bh,AUDNZD,d1,close,10</stp>
        <tr r="D12" s="2"/>
      </tp>
      <tp>
        <v>1.0946199999999999</v>
        <stp/>
        <stp>21422436</stp>
        <stp>@bh,AUDNZD,d1,close,11</stp>
        <tr r="D13" s="2"/>
      </tp>
      <tp>
        <v>1.0936600000000001</v>
        <stp/>
        <stp>21422436</stp>
        <stp>@bh,AUDNZD,d1,close,12</stp>
        <tr r="D14" s="2"/>
      </tp>
      <tp>
        <v>1.0925800000000001</v>
        <stp/>
        <stp>21422436</stp>
        <stp>@bh,AUDNZD,d1,close,13</stp>
        <tr r="D15" s="2"/>
      </tp>
      <tp>
        <v>1.1093299999999999</v>
        <stp/>
        <stp>21422436</stp>
        <stp>@bh,AUDNZD,d1,close,24</stp>
        <tr r="D26" s="2"/>
      </tp>
      <tp>
        <v>1.1063000000000001</v>
        <stp/>
        <stp>21422436</stp>
        <stp>@bh,AUDNZD,d1,close,25</stp>
        <tr r="D27" s="2"/>
      </tp>
      <tp>
        <v>1.11293</v>
        <stp/>
        <stp>21422436</stp>
        <stp>@bh,AUDNZD,d1,close,26</stp>
        <tr r="D28" s="2"/>
      </tp>
      <tp>
        <v>1.1127100000000001</v>
        <stp/>
        <stp>21422436</stp>
        <stp>@bh,AUDNZD,d1,close,27</stp>
        <tr r="D29" s="2"/>
      </tp>
      <tp>
        <v>1.1096200000000001</v>
        <stp/>
        <stp>21422436</stp>
        <stp>@bh,AUDNZD,d1,close,20</stp>
        <tr r="D22" s="2"/>
      </tp>
      <tp>
        <v>1.1107199999999999</v>
        <stp/>
        <stp>21422436</stp>
        <stp>@bh,AUDNZD,d1,close,21</stp>
        <tr r="D23" s="2"/>
      </tp>
      <tp>
        <v>1.1109199999999999</v>
        <stp/>
        <stp>21422436</stp>
        <stp>@bh,AUDNZD,d1,close,22</stp>
        <tr r="D24" s="2"/>
      </tp>
      <tp>
        <v>1.1122300000000001</v>
        <stp/>
        <stp>21422436</stp>
        <stp>@bh,AUDNZD,d1,close,23</stp>
        <tr r="D25" s="2"/>
      </tp>
      <tp>
        <v>1.8436900000000001</v>
        <stp/>
        <stp>21422436</stp>
        <stp>@bh,EURNZD,d1,close,18</stp>
        <tr r="N20" s="2"/>
      </tp>
      <tp>
        <v>1.84213</v>
        <stp/>
        <stp>21422436</stp>
        <stp>@bh,EURNZD,d1,close,19</stp>
        <tr r="N21" s="2"/>
      </tp>
      <tp>
        <v>1.81375</v>
        <stp/>
        <stp>21422436</stp>
        <stp>@bh,EURNZD,d1,close,14</stp>
        <tr r="N16" s="2"/>
      </tp>
      <tp>
        <v>1.81932</v>
        <stp/>
        <stp>21422436</stp>
        <stp>@bh,EURNZD,d1,close,15</stp>
        <tr r="N17" s="2"/>
      </tp>
      <tp>
        <v>1.83192</v>
        <stp/>
        <stp>21422436</stp>
        <stp>@bh,EURNZD,d1,close,16</stp>
        <tr r="N18" s="2"/>
      </tp>
      <tp>
        <v>1.8415699999999999</v>
        <stp/>
        <stp>21422436</stp>
        <stp>@bh,EURNZD,d1,close,17</stp>
        <tr r="N19" s="2"/>
      </tp>
      <tp>
        <v>1.82237</v>
        <stp/>
        <stp>21422436</stp>
        <stp>@bh,EURNZD,d1,close,10</stp>
        <tr r="N12" s="2"/>
      </tp>
      <tp>
        <v>1.8359399999999999</v>
        <stp/>
        <stp>21422436</stp>
        <stp>@bh,EURNZD,d1,close,11</stp>
        <tr r="N13" s="2"/>
      </tp>
      <tp>
        <v>1.8437699999999999</v>
        <stp/>
        <stp>21422436</stp>
        <stp>@bh,EURNZD,d1,close,12</stp>
        <tr r="N14" s="2"/>
      </tp>
      <tp>
        <v>1.8311200000000001</v>
        <stp/>
        <stp>21422436</stp>
        <stp>@bh,EURNZD,d1,close,13</stp>
        <tr r="N15" s="2"/>
      </tp>
      <tp>
        <v>2.1486399999999999</v>
        <stp/>
        <stp>21422436</stp>
        <stp>@bh,GBPNZD,d1,close,23</stp>
        <tr r="Q25" s="2"/>
      </tp>
      <tp>
        <v>2.1631300000000002</v>
        <stp/>
        <stp>21422436</stp>
        <stp>@bh,GBPNZD,d1,close,22</stp>
        <tr r="Q24" s="2"/>
      </tp>
      <tp>
        <v>2.1669999999999998</v>
        <stp/>
        <stp>21422436</stp>
        <stp>@bh,GBPNZD,d1,close,21</stp>
        <tr r="Q23" s="2"/>
      </tp>
      <tp>
        <v>2.1762100000000002</v>
        <stp/>
        <stp>21422436</stp>
        <stp>@bh,GBPNZD,d1,close,20</stp>
        <tr r="Q22" s="2"/>
      </tp>
      <tp>
        <v>2.13463</v>
        <stp/>
        <stp>21422436</stp>
        <stp>@bh,GBPNZD,d1,close,27</stp>
        <tr r="Q29" s="2"/>
      </tp>
      <tp>
        <v>2.14419</v>
        <stp/>
        <stp>21422436</stp>
        <stp>@bh,GBPNZD,d1,close,26</stp>
        <tr r="Q28" s="2"/>
      </tp>
      <tp>
        <v>2.1385200000000002</v>
        <stp/>
        <stp>21422436</stp>
        <stp>@bh,GBPNZD,d1,close,25</stp>
        <tr r="Q27" s="2"/>
      </tp>
      <tp>
        <v>2.14106</v>
        <stp/>
        <stp>21422436</stp>
        <stp>@bh,GBPNZD,d1,close,24</stp>
        <tr r="Q26" s="2"/>
      </tp>
      <tp>
        <v>2.1825600000000001</v>
        <stp/>
        <stp>21422436</stp>
        <stp>@bh,GBPNZD,d1,close,19</stp>
        <tr r="Q21" s="2"/>
      </tp>
      <tp>
        <v>2.1850000000000001</v>
        <stp/>
        <stp>21422436</stp>
        <stp>@bh,GBPNZD,d1,close,18</stp>
        <tr r="Q20" s="2"/>
      </tp>
      <tp>
        <v>2.1490499999999999</v>
        <stp/>
        <stp>21422436</stp>
        <stp>@bh,GBPNZD,d1,close,13</stp>
        <tr r="Q15" s="2"/>
      </tp>
      <tp>
        <v>2.1509800000000001</v>
        <stp/>
        <stp>21422436</stp>
        <stp>@bh,GBPNZD,d1,close,12</stp>
        <tr r="Q14" s="2"/>
      </tp>
      <tp>
        <v>2.1315200000000001</v>
        <stp/>
        <stp>21422436</stp>
        <stp>@bh,GBPNZD,d1,close,11</stp>
        <tr r="Q13" s="2"/>
      </tp>
      <tp>
        <v>2.1172399999999998</v>
        <stp/>
        <stp>21422436</stp>
        <stp>@bh,GBPNZD,d1,close,10</stp>
        <tr r="Q12" s="2"/>
      </tp>
      <tp>
        <v>2.1886000000000001</v>
        <stp/>
        <stp>21422436</stp>
        <stp>@bh,GBPNZD,d1,close,17</stp>
        <tr r="Q19" s="2"/>
      </tp>
      <tp>
        <v>2.1742300000000001</v>
        <stp/>
        <stp>21422436</stp>
        <stp>@bh,GBPNZD,d1,close,16</stp>
        <tr r="Q18" s="2"/>
      </tp>
      <tp>
        <v>2.1601300000000001</v>
        <stp/>
        <stp>21422436</stp>
        <stp>@bh,GBPNZD,d1,close,15</stp>
        <tr r="Q17" s="2"/>
      </tp>
      <tp>
        <v>2.1409600000000002</v>
        <stp/>
        <stp>21422436</stp>
        <stp>@bh,GBPNZD,d1,close,14</stp>
        <tr r="Q16" s="2"/>
      </tp>
      <tp>
        <v>1.8025100000000001</v>
        <stp/>
        <stp>21422436</stp>
        <stp>@bh,EURNZD,d1,close,24</stp>
        <tr r="N26" s="2"/>
      </tp>
      <tp>
        <v>1.7986899999999999</v>
        <stp/>
        <stp>21422436</stp>
        <stp>@bh,EURNZD,d1,close,25</stp>
        <tr r="N27" s="2"/>
      </tp>
      <tp>
        <v>1.80141</v>
        <stp/>
        <stp>21422436</stp>
        <stp>@bh,EURNZD,d1,close,26</stp>
        <tr r="N28" s="2"/>
      </tp>
      <tp>
        <v>1.7934300000000001</v>
        <stp/>
        <stp>21422436</stp>
        <stp>@bh,EURNZD,d1,close,27</stp>
        <tr r="N29" s="2"/>
      </tp>
      <tp>
        <v>1.82785</v>
        <stp/>
        <stp>21422436</stp>
        <stp>@bh,EURNZD,d1,close,20</stp>
        <tr r="N22" s="2"/>
      </tp>
      <tp>
        <v>1.82223</v>
        <stp/>
        <stp>21422436</stp>
        <stp>@bh,EURNZD,d1,close,21</stp>
        <tr r="N23" s="2"/>
      </tp>
      <tp>
        <v>1.8214999999999999</v>
        <stp/>
        <stp>21422436</stp>
        <stp>@bh,EURNZD,d1,close,22</stp>
        <tr r="N24" s="2"/>
      </tp>
      <tp>
        <v>1.8109</v>
        <stp/>
        <stp>21422436</stp>
        <stp>@bh,EURNZD,d1,close,23</stp>
        <tr r="N25" s="2"/>
      </tp>
      <tp>
        <v>1.64758</v>
        <stp/>
        <stp>21422436</stp>
        <stp>@bh,EURAUD,h1,close,24</stp>
        <tr r="M26" s="3"/>
      </tp>
      <tp>
        <v>1.6471100000000001</v>
        <stp/>
        <stp>21422436</stp>
        <stp>@bh,EURAUD,h1,close,25</stp>
        <tr r="M27" s="3"/>
      </tp>
      <tp>
        <v>1.6462300000000001</v>
        <stp/>
        <stp>21422436</stp>
        <stp>@bh,EURAUD,h1,close,26</stp>
        <tr r="M28" s="3"/>
      </tp>
      <tp>
        <v>1.64554</v>
        <stp/>
        <stp>21422436</stp>
        <stp>@bh,EURAUD,h1,close,27</stp>
        <tr r="M29" s="3"/>
      </tp>
      <tp>
        <v>1.6484399999999999</v>
        <stp/>
        <stp>21422436</stp>
        <stp>@bh,EURAUD,h1,close,20</stp>
        <tr r="M22" s="3"/>
      </tp>
      <tp>
        <v>1.6497900000000001</v>
        <stp/>
        <stp>21422436</stp>
        <stp>@bh,EURAUD,h1,close,21</stp>
        <tr r="M23" s="3"/>
      </tp>
      <tp>
        <v>1.6499299999999999</v>
        <stp/>
        <stp>21422436</stp>
        <stp>@bh,EURAUD,h1,close,22</stp>
        <tr r="M24" s="3"/>
      </tp>
      <tp>
        <v>1.64768</v>
        <stp/>
        <stp>21422436</stp>
        <stp>@bh,EURAUD,h1,close,23</stp>
        <tr r="M25" s="3"/>
      </tp>
      <tp>
        <v>1.93174</v>
        <stp/>
        <stp>21422436</stp>
        <stp>@bh,GBPAUD,h1,close,19</stp>
        <tr r="P21" s="3"/>
      </tp>
      <tp>
        <v>1.93174</v>
        <stp/>
        <stp>21422436</stp>
        <stp>@bh,GBPAUD,h1,close,18</stp>
        <tr r="P20" s="3"/>
      </tp>
      <tp>
        <v>1.9314499999999999</v>
        <stp/>
        <stp>21422436</stp>
        <stp>@bh,GBPAUD,h1,close,13</stp>
        <tr r="P15" s="3"/>
      </tp>
      <tp>
        <v>1.9322600000000001</v>
        <stp/>
        <stp>21422436</stp>
        <stp>@bh,GBPAUD,h1,close,12</stp>
        <tr r="P14" s="3"/>
      </tp>
      <tp>
        <v>1.9314</v>
        <stp/>
        <stp>21422436</stp>
        <stp>@bh,GBPAUD,h1,close,11</stp>
        <tr r="P13" s="3"/>
      </tp>
      <tp>
        <v>1.9314</v>
        <stp/>
        <stp>21422436</stp>
        <stp>@bh,GBPAUD,h1,close,10</stp>
        <tr r="P12" s="3"/>
      </tp>
      <tp>
        <v>1.93204</v>
        <stp/>
        <stp>21422436</stp>
        <stp>@bh,GBPAUD,h1,close,17</stp>
        <tr r="P19" s="3"/>
      </tp>
      <tp>
        <v>1.9319599999999999</v>
        <stp/>
        <stp>21422436</stp>
        <stp>@bh,GBPAUD,h1,close,16</stp>
        <tr r="P18" s="3"/>
      </tp>
      <tp>
        <v>1.9319299999999999</v>
        <stp/>
        <stp>21422436</stp>
        <stp>@bh,GBPAUD,h1,close,15</stp>
        <tr r="P17" s="3"/>
      </tp>
      <tp>
        <v>1.9309799999999999</v>
        <stp/>
        <stp>21422436</stp>
        <stp>@bh,GBPAUD,h1,close,14</stp>
        <tr r="P16" s="3"/>
      </tp>
      <tp>
        <v>1.93265</v>
        <stp/>
        <stp>21422436</stp>
        <stp>@bh,GBPAUD,h1,close,23</stp>
        <tr r="P25" s="3"/>
      </tp>
      <tp>
        <v>1.9334800000000001</v>
        <stp/>
        <stp>21422436</stp>
        <stp>@bh,GBPAUD,h1,close,22</stp>
        <tr r="P24" s="3"/>
      </tp>
      <tp>
        <v>1.93262</v>
        <stp/>
        <stp>21422436</stp>
        <stp>@bh,GBPAUD,h1,close,21</stp>
        <tr r="P23" s="3"/>
      </tp>
      <tp>
        <v>1.93147</v>
        <stp/>
        <stp>21422436</stp>
        <stp>@bh,GBPAUD,h1,close,20</stp>
        <tr r="P22" s="3"/>
      </tp>
      <tp>
        <v>1.93164</v>
        <stp/>
        <stp>21422436</stp>
        <stp>@bh,GBPAUD,h1,close,27</stp>
        <tr r="P29" s="3"/>
      </tp>
      <tp>
        <v>1.93232</v>
        <stp/>
        <stp>21422436</stp>
        <stp>@bh,GBPAUD,h1,close,26</stp>
        <tr r="P28" s="3"/>
      </tp>
      <tp>
        <v>1.93265</v>
        <stp/>
        <stp>21422436</stp>
        <stp>@bh,GBPAUD,h1,close,25</stp>
        <tr r="P27" s="3"/>
      </tp>
      <tp>
        <v>1.93204</v>
        <stp/>
        <stp>21422436</stp>
        <stp>@bh,GBPAUD,h1,close,24</stp>
        <tr r="P26" s="3"/>
      </tp>
      <tp>
        <v>1.6495899999999999</v>
        <stp/>
        <stp>21422436</stp>
        <stp>@bh,EURAUD,h1,close,18</stp>
        <tr r="M20" s="3"/>
      </tp>
      <tp>
        <v>1.6489</v>
        <stp/>
        <stp>21422436</stp>
        <stp>@bh,EURAUD,h1,close,19</stp>
        <tr r="M21" s="3"/>
      </tp>
      <tp>
        <v>1.6485099999999999</v>
        <stp/>
        <stp>21422436</stp>
        <stp>@bh,EURAUD,h1,close,14</stp>
        <tr r="M16" s="3"/>
      </tp>
      <tp>
        <v>1.64941</v>
        <stp/>
        <stp>21422436</stp>
        <stp>@bh,EURAUD,h1,close,15</stp>
        <tr r="M17" s="3"/>
      </tp>
      <tp>
        <v>1.6497999999999999</v>
        <stp/>
        <stp>21422436</stp>
        <stp>@bh,EURAUD,h1,close,16</stp>
        <tr r="M18" s="3"/>
      </tp>
      <tp>
        <v>1.6498600000000001</v>
        <stp/>
        <stp>21422436</stp>
        <stp>@bh,EURAUD,h1,close,17</stp>
        <tr r="M19" s="3"/>
      </tp>
      <tp>
        <v>1.6486400000000001</v>
        <stp/>
        <stp>21422436</stp>
        <stp>@bh,EURAUD,h1,close,10</stp>
        <tr r="M12" s="3"/>
      </tp>
      <tp>
        <v>1.6488100000000001</v>
        <stp/>
        <stp>21422436</stp>
        <stp>@bh,EURAUD,h1,close,11</stp>
        <tr r="M13" s="3"/>
      </tp>
      <tp>
        <v>1.64951</v>
        <stp/>
        <stp>21422436</stp>
        <stp>@bh,EURAUD,h1,close,12</stp>
        <tr r="M14" s="3"/>
      </tp>
      <tp>
        <v>1.6491400000000001</v>
        <stp/>
        <stp>21422436</stp>
        <stp>@bh,EURAUD,h1,close,13</stp>
        <tr r="M15" s="3"/>
      </tp>
      <tp>
        <v>1.9461900000000001</v>
        <stp/>
        <stp>21422436</stp>
        <stp>@bh,GBPAUD,h4,close,19</stp>
        <tr r="P21" s="1"/>
      </tp>
      <tp>
        <v>1.9412400000000001</v>
        <stp/>
        <stp>21422436</stp>
        <stp>@bh,GBPAUD,h4,close,18</stp>
        <tr r="P20" s="1"/>
      </tp>
      <tp>
        <v>1.93387</v>
        <stp/>
        <stp>21422436</stp>
        <stp>@bh,GBPAUD,h4,close,13</stp>
        <tr r="P15" s="1"/>
      </tp>
      <tp>
        <v>1.9317800000000001</v>
        <stp/>
        <stp>21422436</stp>
        <stp>@bh,GBPAUD,h4,close,12</stp>
        <tr r="P14" s="1"/>
      </tp>
      <tp>
        <v>1.9295500000000001</v>
        <stp/>
        <stp>21422436</stp>
        <stp>@bh,GBPAUD,h4,close,11</stp>
        <tr r="P13" s="1"/>
      </tp>
      <tp>
        <v>1.93049</v>
        <stp/>
        <stp>21422436</stp>
        <stp>@bh,GBPAUD,h4,close,10</stp>
        <tr r="P12" s="1"/>
      </tp>
      <tp>
        <v>1.9406300000000001</v>
        <stp/>
        <stp>21422436</stp>
        <stp>@bh,GBPAUD,h4,close,17</stp>
        <tr r="P19" s="1"/>
      </tp>
      <tp>
        <v>1.9382600000000001</v>
        <stp/>
        <stp>21422436</stp>
        <stp>@bh,GBPAUD,h4,close,16</stp>
        <tr r="P18" s="1"/>
      </tp>
      <tp>
        <v>1.9370099999999999</v>
        <stp/>
        <stp>21422436</stp>
        <stp>@bh,GBPAUD,h4,close,15</stp>
        <tr r="P17" s="1"/>
      </tp>
      <tp>
        <v>1.9395100000000001</v>
        <stp/>
        <stp>21422436</stp>
        <stp>@bh,GBPAUD,h4,close,14</stp>
        <tr r="P16" s="1"/>
      </tp>
      <tp>
        <v>1.65734</v>
        <stp/>
        <stp>21422436</stp>
        <stp>@bh,EURAUD,h4,close,24</stp>
        <tr r="M26" s="1"/>
      </tp>
      <tp>
        <v>1.6581600000000001</v>
        <stp/>
        <stp>21422436</stp>
        <stp>@bh,EURAUD,h4,close,25</stp>
        <tr r="M27" s="1"/>
      </tp>
      <tp>
        <v>1.6633899999999999</v>
        <stp/>
        <stp>21422436</stp>
        <stp>@bh,EURAUD,h4,close,26</stp>
        <tr r="M28" s="1"/>
      </tp>
      <tp>
        <v>1.6622300000000001</v>
        <stp/>
        <stp>21422436</stp>
        <stp>@bh,EURAUD,h4,close,27</stp>
        <tr r="M29" s="1"/>
      </tp>
      <tp>
        <v>1.6556599999999999</v>
        <stp/>
        <stp>21422436</stp>
        <stp>@bh,EURAUD,h4,close,20</stp>
        <tr r="M22" s="1"/>
      </tp>
      <tp>
        <v>1.6573800000000001</v>
        <stp/>
        <stp>21422436</stp>
        <stp>@bh,EURAUD,h4,close,21</stp>
        <tr r="M23" s="1"/>
      </tp>
      <tp>
        <v>1.6595500000000001</v>
        <stp/>
        <stp>21422436</stp>
        <stp>@bh,EURAUD,h4,close,22</stp>
        <tr r="M24" s="1"/>
      </tp>
      <tp>
        <v>1.6596299999999999</v>
        <stp/>
        <stp>21422436</stp>
        <stp>@bh,EURAUD,h4,close,23</stp>
        <tr r="M25" s="1"/>
      </tp>
      <tp>
        <v>1.65324</v>
        <stp/>
        <stp>21422436</stp>
        <stp>@bh,EURAUD,h4,close,18</stp>
        <tr r="M20" s="1"/>
      </tp>
      <tp>
        <v>1.6589799999999999</v>
        <stp/>
        <stp>21422436</stp>
        <stp>@bh,EURAUD,h4,close,19</stp>
        <tr r="M21" s="1"/>
      </tp>
      <tp>
        <v>1.65025</v>
        <stp/>
        <stp>21422436</stp>
        <stp>@bh,EURAUD,h4,close,14</stp>
        <tr r="M16" s="1"/>
      </tp>
      <tp>
        <v>1.65086</v>
        <stp/>
        <stp>21422436</stp>
        <stp>@bh,EURAUD,h4,close,15</stp>
        <tr r="M17" s="1"/>
      </tp>
      <tp>
        <v>1.6515</v>
        <stp/>
        <stp>21422436</stp>
        <stp>@bh,EURAUD,h4,close,16</stp>
        <tr r="M18" s="1"/>
      </tp>
      <tp>
        <v>1.65337</v>
        <stp/>
        <stp>21422436</stp>
        <stp>@bh,EURAUD,h4,close,17</stp>
        <tr r="M19" s="1"/>
      </tp>
      <tp>
        <v>1.64771</v>
        <stp/>
        <stp>21422436</stp>
        <stp>@bh,EURAUD,h4,close,10</stp>
        <tr r="M12" s="1"/>
      </tp>
      <tp>
        <v>1.6465099999999999</v>
        <stp/>
        <stp>21422436</stp>
        <stp>@bh,EURAUD,h4,close,11</stp>
        <tr r="M13" s="1"/>
      </tp>
      <tp>
        <v>1.6478299999999999</v>
        <stp/>
        <stp>21422436</stp>
        <stp>@bh,EURAUD,h4,close,12</stp>
        <tr r="M14" s="1"/>
      </tp>
      <tp>
        <v>1.64838</v>
        <stp/>
        <stp>21422436</stp>
        <stp>@bh,EURAUD,h4,close,13</stp>
        <tr r="M15" s="1"/>
      </tp>
      <tp>
        <v>1.94432</v>
        <stp/>
        <stp>21422436</stp>
        <stp>@bh,GBPAUD,h4,close,23</stp>
        <tr r="P25" s="1"/>
      </tp>
      <tp>
        <v>1.94489</v>
        <stp/>
        <stp>21422436</stp>
        <stp>@bh,GBPAUD,h4,close,22</stp>
        <tr r="P24" s="1"/>
      </tp>
      <tp>
        <v>1.9427300000000001</v>
        <stp/>
        <stp>21422436</stp>
        <stp>@bh,GBPAUD,h4,close,21</stp>
        <tr r="P23" s="1"/>
      </tp>
      <tp>
        <v>1.94282</v>
        <stp/>
        <stp>21422436</stp>
        <stp>@bh,GBPAUD,h4,close,20</stp>
        <tr r="P22" s="1"/>
      </tp>
      <tp>
        <v>1.93821</v>
        <stp/>
        <stp>21422436</stp>
        <stp>@bh,GBPAUD,h4,close,27</stp>
        <tr r="P29" s="1"/>
      </tp>
      <tp>
        <v>1.9411099999999999</v>
        <stp/>
        <stp>21422436</stp>
        <stp>@bh,GBPAUD,h4,close,26</stp>
        <tr r="P28" s="1"/>
      </tp>
      <tp>
        <v>1.9398599999999999</v>
        <stp/>
        <stp>21422436</stp>
        <stp>@bh,GBPAUD,h4,close,25</stp>
        <tr r="P27" s="1"/>
      </tp>
      <tp>
        <v>1.9401900000000001</v>
        <stp/>
        <stp>21422436</stp>
        <stp>@bh,GBPAUD,h4,close,24</stp>
        <tr r="P26" s="1"/>
      </tp>
      <tp>
        <v>0.85160999999999998</v>
        <stp/>
        <stp>21422436</stp>
        <stp>@bh,EURGBP,h4,close,18</stp>
        <tr r="J20" s="1"/>
      </tp>
      <tp>
        <v>0.85238999999999998</v>
        <stp/>
        <stp>21422436</stp>
        <stp>@bh,EURGBP,h4,close,19</stp>
        <tr r="J21" s="1"/>
      </tp>
      <tp>
        <v>0.85348999999999997</v>
        <stp/>
        <stp>21422436</stp>
        <stp>@bh,EURGBP,h4,close,10</stp>
        <tr r="J12" s="1"/>
      </tp>
      <tp>
        <v>0.85323000000000004</v>
        <stp/>
        <stp>21422436</stp>
        <stp>@bh,EURGBP,h4,close,11</stp>
        <tr r="J13" s="1"/>
      </tp>
      <tp>
        <v>0.85299000000000003</v>
        <stp/>
        <stp>21422436</stp>
        <stp>@bh,EURGBP,h4,close,12</stp>
        <tr r="J14" s="1"/>
      </tp>
      <tp>
        <v>0.85236000000000001</v>
        <stp/>
        <stp>21422436</stp>
        <stp>@bh,EURGBP,h4,close,13</stp>
        <tr r="J15" s="1"/>
      </tp>
      <tp>
        <v>0.85084000000000004</v>
        <stp/>
        <stp>21422436</stp>
        <stp>@bh,EURGBP,h4,close,14</stp>
        <tr r="J16" s="1"/>
      </tp>
      <tp>
        <v>0.85226000000000002</v>
        <stp/>
        <stp>21422436</stp>
        <stp>@bh,EURGBP,h4,close,15</stp>
        <tr r="J17" s="1"/>
      </tp>
      <tp>
        <v>0.85202999999999995</v>
        <stp/>
        <stp>21422436</stp>
        <stp>@bh,EURGBP,h4,close,16</stp>
        <tr r="J18" s="1"/>
      </tp>
      <tp>
        <v>0.85172999999999999</v>
        <stp/>
        <stp>21422436</stp>
        <stp>@bh,EURGBP,h4,close,17</stp>
        <tr r="J19" s="1"/>
      </tp>
      <tp>
        <v>0.85218000000000005</v>
        <stp/>
        <stp>21422436</stp>
        <stp>@bh,EURGBP,h4,close,20</stp>
        <tr r="J22" s="1"/>
      </tp>
      <tp>
        <v>0.85309999999999997</v>
        <stp/>
        <stp>21422436</stp>
        <stp>@bh,EURGBP,h4,close,21</stp>
        <tr r="J23" s="1"/>
      </tp>
      <tp>
        <v>0.85326999999999997</v>
        <stp/>
        <stp>21422436</stp>
        <stp>@bh,EURGBP,h4,close,22</stp>
        <tr r="J24" s="1"/>
      </tp>
      <tp>
        <v>0.85350999999999999</v>
        <stp/>
        <stp>21422436</stp>
        <stp>@bh,EURGBP,h4,close,23</stp>
        <tr r="J25" s="1"/>
      </tp>
      <tp>
        <v>0.85419999999999996</v>
        <stp/>
        <stp>21422436</stp>
        <stp>@bh,EURGBP,h4,close,24</stp>
        <tr r="J26" s="1"/>
      </tp>
      <tp>
        <v>0.85477999999999998</v>
        <stp/>
        <stp>21422436</stp>
        <stp>@bh,EURGBP,h4,close,25</stp>
        <tr r="J27" s="1"/>
      </tp>
      <tp>
        <v>0.85692000000000002</v>
        <stp/>
        <stp>21422436</stp>
        <stp>@bh,EURGBP,h4,close,26</stp>
        <tr r="J28" s="1"/>
      </tp>
      <tp>
        <v>0.85760000000000003</v>
        <stp/>
        <stp>21422436</stp>
        <stp>@bh,EURGBP,h4,close,27</stp>
        <tr r="J29" s="1"/>
      </tp>
      <tp>
        <v>0.85397000000000001</v>
        <stp/>
        <stp>21422436</stp>
        <stp>@bh,EURGBP,h1,close,18</stp>
        <tr r="J20" s="3"/>
      </tp>
      <tp>
        <v>0.85357000000000005</v>
        <stp/>
        <stp>21422436</stp>
        <stp>@bh,EURGBP,h1,close,19</stp>
        <tr r="J21" s="3"/>
      </tp>
      <tp>
        <v>0.85355999999999999</v>
        <stp/>
        <stp>21422436</stp>
        <stp>@bh,EURGBP,h1,close,10</stp>
        <tr r="J12" s="3"/>
      </tp>
      <tp>
        <v>0.85365000000000002</v>
        <stp/>
        <stp>21422436</stp>
        <stp>@bh,EURGBP,h1,close,11</stp>
        <tr r="J13" s="3"/>
      </tp>
      <tp>
        <v>0.85367000000000004</v>
        <stp/>
        <stp>21422436</stp>
        <stp>@bh,EURGBP,h1,close,12</stp>
        <tr r="J14" s="3"/>
      </tp>
      <tp>
        <v>0.85379000000000005</v>
        <stp/>
        <stp>21422436</stp>
        <stp>@bh,EURGBP,h1,close,13</stp>
        <tr r="J15" s="3"/>
      </tp>
      <tp>
        <v>0.85368999999999995</v>
        <stp/>
        <stp>21422436</stp>
        <stp>@bh,EURGBP,h1,close,14</stp>
        <tr r="J16" s="3"/>
      </tp>
      <tp>
        <v>0.85375000000000001</v>
        <stp/>
        <stp>21422436</stp>
        <stp>@bh,EURGBP,h1,close,15</stp>
        <tr r="J17" s="3"/>
      </tp>
      <tp>
        <v>0.85396000000000005</v>
        <stp/>
        <stp>21422436</stp>
        <stp>@bh,EURGBP,h1,close,16</stp>
        <tr r="J18" s="3"/>
      </tp>
      <tp>
        <v>0.85382999999999998</v>
        <stp/>
        <stp>21422436</stp>
        <stp>@bh,EURGBP,h1,close,17</stp>
        <tr r="J19" s="3"/>
      </tp>
      <tp>
        <v>0.85346</v>
        <stp/>
        <stp>21422436</stp>
        <stp>@bh,EURGBP,h1,close,20</stp>
        <tr r="J22" s="3"/>
      </tp>
      <tp>
        <v>0.85365000000000002</v>
        <stp/>
        <stp>21422436</stp>
        <stp>@bh,EURGBP,h1,close,21</stp>
        <tr r="J23" s="3"/>
      </tp>
      <tp>
        <v>0.85335000000000005</v>
        <stp/>
        <stp>21422436</stp>
        <stp>@bh,EURGBP,h1,close,22</stp>
        <tr r="J24" s="3"/>
      </tp>
      <tp>
        <v>0.85253999999999996</v>
        <stp/>
        <stp>21422436</stp>
        <stp>@bh,EURGBP,h1,close,23</stp>
        <tr r="J25" s="3"/>
      </tp>
      <tp>
        <v>0.85272999999999999</v>
        <stp/>
        <stp>21422436</stp>
        <stp>@bh,EURGBP,h1,close,24</stp>
        <tr r="J26" s="3"/>
      </tp>
      <tp>
        <v>0.85223000000000004</v>
        <stp/>
        <stp>21422436</stp>
        <stp>@bh,EURGBP,h1,close,25</stp>
        <tr r="J27" s="3"/>
      </tp>
      <tp>
        <v>0.85192000000000001</v>
        <stp/>
        <stp>21422436</stp>
        <stp>@bh,EURGBP,h1,close,26</stp>
        <tr r="J28" s="3"/>
      </tp>
      <tp>
        <v>0.85185999999999995</v>
        <stp/>
        <stp>21422436</stp>
        <stp>@bh,EURGBP,h1,close,27</stp>
        <tr r="J29" s="3"/>
      </tp>
      <tp>
        <v>158.084</v>
        <stp/>
        <stp>21422436</stp>
        <stp>@bh,USDJPY,d1,close,27</stp>
        <tr r="AD29" s="2"/>
      </tp>
      <tp>
        <v>158.404</v>
        <stp/>
        <stp>21422436</stp>
        <stp>@bh,USDJPY,d1,close,26</stp>
        <tr r="AD28" s="2"/>
      </tp>
      <tp>
        <v>156.18700000000001</v>
        <stp/>
        <stp>21422436</stp>
        <stp>@bh,USDJPY,d1,close,25</stp>
        <tr r="AD27" s="2"/>
      </tp>
      <tp>
        <v>157.364</v>
        <stp/>
        <stp>21422436</stp>
        <stp>@bh,USDJPY,d1,close,24</stp>
        <tr r="AD26" s="2"/>
      </tp>
      <tp>
        <v>157.51499999999999</v>
        <stp/>
        <stp>21422436</stp>
        <stp>@bh,USDJPY,d1,close,23</stp>
        <tr r="AD25" s="2"/>
      </tp>
      <tp>
        <v>157.06200000000001</v>
        <stp/>
        <stp>21422436</stp>
        <stp>@bh,USDJPY,d1,close,22</stp>
        <tr r="AD24" s="2"/>
      </tp>
      <tp>
        <v>155.595</v>
        <stp/>
        <stp>21422436</stp>
        <stp>@bh,USDJPY,d1,close,21</stp>
        <tr r="AD23" s="2"/>
      </tp>
      <tp>
        <v>153.89699999999999</v>
        <stp/>
        <stp>21422436</stp>
        <stp>@bh,USDJPY,d1,close,20</stp>
        <tr r="AD22" s="2"/>
      </tp>
      <tp>
        <v>154.03399999999999</v>
        <stp/>
        <stp>21422436</stp>
        <stp>@bh,USDJPY,d1,close,17</stp>
        <tr r="AD19" s="2"/>
      </tp>
      <tp>
        <v>152.75399999999999</v>
        <stp/>
        <stp>21422436</stp>
        <stp>@bh,USDJPY,d1,close,16</stp>
        <tr r="AD18" s="2"/>
      </tp>
      <tp>
        <v>149.96</v>
        <stp/>
        <stp>21422436</stp>
        <stp>@bh,USDJPY,d1,close,15</stp>
        <tr r="AD17" s="2"/>
      </tp>
      <tp>
        <v>149.33000000000001</v>
        <stp/>
        <stp>21422436</stp>
        <stp>@bh,USDJPY,d1,close,14</stp>
        <tr r="AD16" s="2"/>
      </tp>
      <tp>
        <v>146.50200000000001</v>
        <stp/>
        <stp>21422436</stp>
        <stp>@bh,USDJPY,d1,close,13</stp>
        <tr r="AD15" s="2"/>
      </tp>
      <tp>
        <v>144.166</v>
        <stp/>
        <stp>21422436</stp>
        <stp>@bh,USDJPY,d1,close,12</stp>
        <tr r="AD14" s="2"/>
      </tp>
      <tp>
        <v>144.35900000000001</v>
        <stp/>
        <stp>21422436</stp>
        <stp>@bh,USDJPY,d1,close,11</stp>
        <tr r="AD13" s="2"/>
      </tp>
      <tp>
        <v>146.71299999999999</v>
        <stp/>
        <stp>21422436</stp>
        <stp>@bh,USDJPY,d1,close,10</stp>
        <tr r="AD12" s="2"/>
      </tp>
      <tp>
        <v>153.94200000000001</v>
        <stp/>
        <stp>21422436</stp>
        <stp>@bh,USDJPY,d1,close,19</stp>
        <tr r="AD21" s="2"/>
      </tp>
      <tp>
        <v>153.773</v>
        <stp/>
        <stp>21422436</stp>
        <stp>@bh,USDJPY,d1,close,18</stp>
        <tr r="AD20" s="2"/>
      </tp>
      <tp>
        <v>90.528999999999996</v>
        <stp/>
        <stp>21422436</stp>
        <stp>@bh,NZDJPY,d1,close,18</stp>
        <tr r="U20" s="2"/>
      </tp>
      <tp>
        <v>90.605999999999995</v>
        <stp/>
        <stp>21422436</stp>
        <stp>@bh,NZDJPY,d1,close,19</stp>
        <tr r="U21" s="2"/>
      </tp>
      <tp>
        <v>90.158000000000001</v>
        <stp/>
        <stp>21422436</stp>
        <stp>@bh,NZDJPY,d1,close,16</stp>
        <tr r="U18" s="2"/>
      </tp>
      <tp>
        <v>90.492000000000004</v>
        <stp/>
        <stp>21422436</stp>
        <stp>@bh,NZDJPY,d1,close,17</stp>
        <tr r="U19" s="2"/>
      </tp>
      <tp>
        <v>88.832999999999998</v>
        <stp/>
        <stp>21422436</stp>
        <stp>@bh,NZDJPY,d1,close,14</stp>
        <tr r="U16" s="2"/>
      </tp>
      <tp>
        <v>89.197000000000003</v>
        <stp/>
        <stp>21422436</stp>
        <stp>@bh,NZDJPY,d1,close,15</stp>
        <tr r="U17" s="2"/>
      </tp>
      <tp>
        <v>85.605999999999995</v>
        <stp/>
        <stp>21422436</stp>
        <stp>@bh,NZDJPY,d1,close,12</stp>
        <tr r="U14" s="2"/>
      </tp>
      <tp>
        <v>87.271000000000001</v>
        <stp/>
        <stp>21422436</stp>
        <stp>@bh,NZDJPY,d1,close,13</stp>
        <tr r="U15" s="2"/>
      </tp>
      <tp>
        <v>87.894999999999996</v>
        <stp/>
        <stp>21422436</stp>
        <stp>@bh,NZDJPY,d1,close,10</stp>
        <tr r="U12" s="2"/>
      </tp>
      <tp>
        <v>85.924999999999997</v>
        <stp/>
        <stp>21422436</stp>
        <stp>@bh,NZDJPY,d1,close,11</stp>
        <tr r="U13" s="2"/>
      </tp>
      <tp>
        <v>95.813999999999993</v>
        <stp/>
        <stp>21422436</stp>
        <stp>@bh,NZDJPY,d1,close,26</stp>
        <tr r="U28" s="2"/>
      </tp>
      <tp>
        <v>96.010999999999996</v>
        <stp/>
        <stp>21422436</stp>
        <stp>@bh,NZDJPY,d1,close,27</stp>
        <tr r="U29" s="2"/>
      </tp>
      <tp>
        <v>95.108999999999995</v>
        <stp/>
        <stp>21422436</stp>
        <stp>@bh,NZDJPY,d1,close,24</stp>
        <tr r="U26" s="2"/>
      </tp>
      <tp>
        <v>94.947999999999993</v>
        <stp/>
        <stp>21422436</stp>
        <stp>@bh,NZDJPY,d1,close,25</stp>
        <tr r="U27" s="2"/>
      </tp>
      <tp>
        <v>93.882999999999996</v>
        <stp/>
        <stp>21422436</stp>
        <stp>@bh,NZDJPY,d1,close,22</stp>
        <tr r="U24" s="2"/>
      </tp>
      <tp>
        <v>94.638000000000005</v>
        <stp/>
        <stp>21422436</stp>
        <stp>@bh,NZDJPY,d1,close,23</stp>
        <tr r="U25" s="2"/>
      </tp>
      <tp>
        <v>91.22</v>
        <stp/>
        <stp>21422436</stp>
        <stp>@bh,NZDJPY,d1,close,20</stp>
        <tr r="U22" s="2"/>
      </tp>
      <tp>
        <v>92.653999999999996</v>
        <stp/>
        <stp>21422436</stp>
        <stp>@bh,NZDJPY,d1,close,21</stp>
        <tr r="U23" s="2"/>
      </tp>
      <tp>
        <v>108.599</v>
        <stp/>
        <stp>21422436</stp>
        <stp>@bh,CADJPY,d1,close,15</stp>
        <tr r="Y17" s="2"/>
      </tp>
      <tp>
        <v>107.627</v>
        <stp/>
        <stp>21422436</stp>
        <stp>@bh,CADJPY,d1,close,14</stp>
        <tr r="Y16" s="2"/>
      </tp>
      <tp>
        <v>111.2</v>
        <stp/>
        <stp>21422436</stp>
        <stp>@bh,CADJPY,d1,close,17</stp>
        <tr r="Y19" s="2"/>
      </tp>
      <tp>
        <v>110.286</v>
        <stp/>
        <stp>21422436</stp>
        <stp>@bh,CADJPY,d1,close,16</stp>
        <tr r="Y18" s="2"/>
      </tp>
      <tp>
        <v>104.718</v>
        <stp/>
        <stp>21422436</stp>
        <stp>@bh,CADJPY,d1,close,11</stp>
        <tr r="Y13" s="2"/>
      </tp>
      <tp>
        <v>173.99799999999999</v>
        <stp/>
        <stp>21422436</stp>
        <stp>@bh,CHFJPY,d1,close,18</stp>
        <tr r="AA20" s="2"/>
      </tp>
      <tp>
        <v>106.646</v>
        <stp/>
        <stp>21422436</stp>
        <stp>@bh,CADJPY,d1,close,10</stp>
        <tr r="Y12" s="2"/>
      </tp>
      <tp>
        <v>174.6</v>
        <stp/>
        <stp>21422436</stp>
        <stp>@bh,CHFJPY,d1,close,19</stp>
        <tr r="AA21" s="2"/>
      </tp>
      <tp>
        <v>105.587</v>
        <stp/>
        <stp>21422436</stp>
        <stp>@bh,CADJPY,d1,close,13</stp>
        <tr r="Y15" s="2"/>
      </tp>
      <tp>
        <v>104.27</v>
        <stp/>
        <stp>21422436</stp>
        <stp>@bh,CADJPY,d1,close,12</stp>
        <tr r="Y14" s="2"/>
      </tp>
      <tp>
        <v>171.06299999999999</v>
        <stp/>
        <stp>21422436</stp>
        <stp>@bh,CHFJPY,d1,close,14</stp>
        <tr r="AA16" s="2"/>
      </tp>
      <tp>
        <v>170.70599999999999</v>
        <stp/>
        <stp>21422436</stp>
        <stp>@bh,CHFJPY,d1,close,15</stp>
        <tr r="AA17" s="2"/>
      </tp>
      <tp>
        <v>173.011</v>
        <stp/>
        <stp>21422436</stp>
        <stp>@bh,CHFJPY,d1,close,16</stp>
        <tr r="AA18" s="2"/>
      </tp>
      <tp>
        <v>173.81700000000001</v>
        <stp/>
        <stp>21422436</stp>
        <stp>@bh,CHFJPY,d1,close,17</stp>
        <tr r="AA19" s="2"/>
      </tp>
      <tp>
        <v>111.357</v>
        <stp/>
        <stp>21422436</stp>
        <stp>@bh,CADJPY,d1,close,19</stp>
        <tr r="Y21" s="2"/>
      </tp>
      <tp>
        <v>170.25</v>
        <stp/>
        <stp>21422436</stp>
        <stp>@bh,CHFJPY,d1,close,10</stp>
        <tr r="AA12" s="2"/>
      </tp>
      <tp>
        <v>111.136</v>
        <stp/>
        <stp>21422436</stp>
        <stp>@bh,CADJPY,d1,close,18</stp>
        <tr r="Y20" s="2"/>
      </tp>
      <tp>
        <v>169.55500000000001</v>
        <stp/>
        <stp>21422436</stp>
        <stp>@bh,CHFJPY,d1,close,11</stp>
        <tr r="AA13" s="2"/>
      </tp>
      <tp>
        <v>169.119</v>
        <stp/>
        <stp>21422436</stp>
        <stp>@bh,CHFJPY,d1,close,12</stp>
        <tr r="AA14" s="2"/>
      </tp>
      <tp>
        <v>170.71899999999999</v>
        <stp/>
        <stp>21422436</stp>
        <stp>@bh,CHFJPY,d1,close,13</stp>
        <tr r="AA15" s="2"/>
      </tp>
      <tp>
        <v>102.93300000000001</v>
        <stp/>
        <stp>21422436</stp>
        <stp>@bh,AUDJPY,d1,close,21</stp>
        <tr r="E23" s="2"/>
      </tp>
      <tp>
        <v>101.274</v>
        <stp/>
        <stp>21422436</stp>
        <stp>@bh,AUDJPY,d1,close,20</stp>
        <tr r="E22" s="2"/>
      </tp>
      <tp>
        <v>105.28</v>
        <stp/>
        <stp>21422436</stp>
        <stp>@bh,AUDJPY,d1,close,23</stp>
        <tr r="E25" s="2"/>
      </tp>
      <tp>
        <v>104.324</v>
        <stp/>
        <stp>21422436</stp>
        <stp>@bh,AUDJPY,d1,close,22</stp>
        <tr r="E24" s="2"/>
      </tp>
      <tp>
        <v>105.096</v>
        <stp/>
        <stp>21422436</stp>
        <stp>@bh,AUDJPY,d1,close,25</stp>
        <tr r="E27" s="2"/>
      </tp>
      <tp>
        <v>105.52500000000001</v>
        <stp/>
        <stp>21422436</stp>
        <stp>@bh,AUDJPY,d1,close,24</stp>
        <tr r="E26" s="2"/>
      </tp>
      <tp>
        <v>106.851</v>
        <stp/>
        <stp>21422436</stp>
        <stp>@bh,AUDJPY,d1,close,27</stp>
        <tr r="E29" s="2"/>
      </tp>
      <tp>
        <v>106.66</v>
        <stp/>
        <stp>21422436</stp>
        <stp>@bh,AUDJPY,d1,close,26</stp>
        <tr r="E28" s="2"/>
      </tp>
      <tp>
        <v>94.084999999999994</v>
        <stp/>
        <stp>21422436</stp>
        <stp>@bh,AUDJPY,d1,close,11</stp>
        <tr r="E13" s="2"/>
      </tp>
      <tp>
        <v>95.644000000000005</v>
        <stp/>
        <stp>21422436</stp>
        <stp>@bh,AUDJPY,d1,close,10</stp>
        <tr r="E12" s="2"/>
      </tp>
      <tp>
        <v>95.352000000000004</v>
        <stp/>
        <stp>21422436</stp>
        <stp>@bh,AUDJPY,d1,close,13</stp>
        <tr r="E15" s="2"/>
      </tp>
      <tp>
        <v>93.649000000000001</v>
        <stp/>
        <stp>21422436</stp>
        <stp>@bh,AUDJPY,d1,close,12</stp>
        <tr r="E14" s="2"/>
      </tp>
      <tp>
        <v>98.093000000000004</v>
        <stp/>
        <stp>21422436</stp>
        <stp>@bh,AUDJPY,d1,close,15</stp>
        <tr r="E17" s="2"/>
      </tp>
      <tp>
        <v>97.076999999999998</v>
        <stp/>
        <stp>21422436</stp>
        <stp>@bh,AUDJPY,d1,close,14</stp>
        <tr r="E16" s="2"/>
      </tp>
      <tp>
        <v>100.876</v>
        <stp/>
        <stp>21422436</stp>
        <stp>@bh,AUDJPY,d1,close,17</stp>
        <tr r="E19" s="2"/>
      </tp>
      <tp>
        <v>99.858999999999995</v>
        <stp/>
        <stp>21422436</stp>
        <stp>@bh,AUDJPY,d1,close,16</stp>
        <tr r="E18" s="2"/>
      </tp>
      <tp>
        <v>100.645</v>
        <stp/>
        <stp>21422436</stp>
        <stp>@bh,AUDJPY,d1,close,19</stp>
        <tr r="E21" s="2"/>
      </tp>
      <tp>
        <v>100.66200000000001</v>
        <stp/>
        <stp>21422436</stp>
        <stp>@bh,AUDJPY,d1,close,18</stp>
        <tr r="E20" s="2"/>
      </tp>
      <tp>
        <v>114.14400000000001</v>
        <stp/>
        <stp>21422436</stp>
        <stp>@bh,CADJPY,d1,close,25</stp>
        <tr r="Y27" s="2"/>
      </tp>
      <tp>
        <v>114.816</v>
        <stp/>
        <stp>21422436</stp>
        <stp>@bh,CADJPY,d1,close,24</stp>
        <tr r="Y26" s="2"/>
      </tp>
      <tp>
        <v>115.53100000000001</v>
        <stp/>
        <stp>21422436</stp>
        <stp>@bh,CADJPY,d1,close,27</stp>
        <tr r="Y29" s="2"/>
      </tp>
      <tp>
        <v>115.849</v>
        <stp/>
        <stp>21422436</stp>
        <stp>@bh,CADJPY,d1,close,26</stp>
        <tr r="Y28" s="2"/>
      </tp>
      <tp>
        <v>112.877</v>
        <stp/>
        <stp>21422436</stp>
        <stp>@bh,CADJPY,d1,close,21</stp>
        <tr r="Y23" s="2"/>
      </tp>
      <tp>
        <v>111.459</v>
        <stp/>
        <stp>21422436</stp>
        <stp>@bh,CADJPY,d1,close,20</stp>
        <tr r="Y22" s="2"/>
      </tp>
      <tp>
        <v>114.718</v>
        <stp/>
        <stp>21422436</stp>
        <stp>@bh,CADJPY,d1,close,23</stp>
        <tr r="Y25" s="2"/>
      </tp>
      <tp>
        <v>114.169</v>
        <stp/>
        <stp>21422436</stp>
        <stp>@bh,CADJPY,d1,close,22</stp>
        <tr r="Y24" s="2"/>
      </tp>
      <tp>
        <v>177.24100000000001</v>
        <stp/>
        <stp>21422436</stp>
        <stp>@bh,CHFJPY,d1,close,24</stp>
        <tr r="AA26" s="2"/>
      </tp>
      <tp>
        <v>176.791</v>
        <stp/>
        <stp>21422436</stp>
        <stp>@bh,CHFJPY,d1,close,25</stp>
        <tr r="AA27" s="2"/>
      </tp>
      <tp>
        <v>177.20500000000001</v>
        <stp/>
        <stp>21422436</stp>
        <stp>@bh,CHFJPY,d1,close,26</stp>
        <tr r="AA28" s="2"/>
      </tp>
      <tp>
        <v>176.46600000000001</v>
        <stp/>
        <stp>21422436</stp>
        <stp>@bh,CHFJPY,d1,close,27</stp>
        <tr r="AA29" s="2"/>
      </tp>
      <tp>
        <v>173.84899999999999</v>
        <stp/>
        <stp>21422436</stp>
        <stp>@bh,CHFJPY,d1,close,20</stp>
        <tr r="AA22" s="2"/>
      </tp>
      <tp>
        <v>174.547</v>
        <stp/>
        <stp>21422436</stp>
        <stp>@bh,CHFJPY,d1,close,21</stp>
        <tr r="AA23" s="2"/>
      </tp>
      <tp>
        <v>176.53</v>
        <stp/>
        <stp>21422436</stp>
        <stp>@bh,CHFJPY,d1,close,22</stp>
        <tr r="AA24" s="2"/>
      </tp>
      <tp>
        <v>177.15899999999999</v>
        <stp/>
        <stp>21422436</stp>
        <stp>@bh,CHFJPY,d1,close,23</stp>
        <tr r="AA25" s="2"/>
      </tp>
      <tp>
        <v>196.06700000000001</v>
        <stp/>
        <stp>21422436</stp>
        <stp>@bh,GBPJPY,d1,close,16</stp>
        <tr r="T18" s="2"/>
      </tp>
      <tp>
        <v>198.10300000000001</v>
        <stp/>
        <stp>21422436</stp>
        <stp>@bh,GBPJPY,d1,close,17</stp>
        <tr r="T19" s="2"/>
      </tp>
      <tp>
        <v>190.22399999999999</v>
        <stp/>
        <stp>21422436</stp>
        <stp>@bh,GBPJPY,d1,close,14</stp>
        <tr r="T16" s="2"/>
      </tp>
      <tp>
        <v>192.77600000000001</v>
        <stp/>
        <stp>21422436</stp>
        <stp>@bh,GBPJPY,d1,close,15</stp>
        <tr r="T17" s="2"/>
      </tp>
      <tp>
        <v>184.18600000000001</v>
        <stp/>
        <stp>21422436</stp>
        <stp>@bh,GBPJPY,d1,close,12</stp>
        <tr r="T14" s="2"/>
      </tp>
      <tp>
        <v>187.583</v>
        <stp/>
        <stp>21422436</stp>
        <stp>@bh,GBPJPY,d1,close,13</stp>
        <tr r="T15" s="2"/>
      </tp>
      <tp>
        <v>186.20699999999999</v>
        <stp/>
        <stp>21422436</stp>
        <stp>@bh,GBPJPY,d1,close,10</stp>
        <tr r="T12" s="2"/>
      </tp>
      <tp>
        <v>183.21</v>
        <stp/>
        <stp>21422436</stp>
        <stp>@bh,GBPJPY,d1,close,11</stp>
        <tr r="T13" s="2"/>
      </tp>
      <tp>
        <v>197.82400000000001</v>
        <stp/>
        <stp>21422436</stp>
        <stp>@bh,GBPJPY,d1,close,18</stp>
        <tr r="T20" s="2"/>
      </tp>
      <tp>
        <v>197.80500000000001</v>
        <stp/>
        <stp>21422436</stp>
        <stp>@bh,GBPJPY,d1,close,19</stp>
        <tr r="T21" s="2"/>
      </tp>
      <tp>
        <v>168.86699999999999</v>
        <stp/>
        <stp>21422436</stp>
        <stp>@bh,EURJPY,d1,close,21</stp>
        <tr r="L23" s="2"/>
      </tp>
      <tp>
        <v>166.81200000000001</v>
        <stp/>
        <stp>21422436</stp>
        <stp>@bh,EURJPY,d1,close,20</stp>
        <tr r="L22" s="2"/>
      </tp>
      <tp>
        <v>171.37899999999999</v>
        <stp/>
        <stp>21422436</stp>
        <stp>@bh,EURJPY,d1,close,23</stp>
        <tr r="L25" s="2"/>
      </tp>
      <tp>
        <v>171.048</v>
        <stp/>
        <stp>21422436</stp>
        <stp>@bh,EURJPY,d1,close,22</stp>
        <tr r="L24" s="2"/>
      </tp>
      <tp>
        <v>170.87100000000001</v>
        <stp/>
        <stp>21422436</stp>
        <stp>@bh,EURJPY,d1,close,25</stp>
        <tr r="L27" s="2"/>
      </tp>
      <tp>
        <v>171.46299999999999</v>
        <stp/>
        <stp>21422436</stp>
        <stp>@bh,EURJPY,d1,close,24</stp>
        <tr r="L26" s="2"/>
      </tp>
      <tp>
        <v>172.22399999999999</v>
        <stp/>
        <stp>21422436</stp>
        <stp>@bh,EURJPY,d1,close,27</stp>
        <tr r="L29" s="2"/>
      </tp>
      <tp>
        <v>172.63900000000001</v>
        <stp/>
        <stp>21422436</stp>
        <stp>@bh,EURJPY,d1,close,26</stp>
        <tr r="L28" s="2"/>
      </tp>
      <tp>
        <v>157.792</v>
        <stp/>
        <stp>21422436</stp>
        <stp>@bh,EURJPY,d1,close,11</stp>
        <tr r="L13" s="2"/>
      </tp>
      <tp>
        <v>160.262</v>
        <stp/>
        <stp>21422436</stp>
        <stp>@bh,EURJPY,d1,close,10</stp>
        <tr r="L12" s="2"/>
      </tp>
      <tp>
        <v>159.839</v>
        <stp/>
        <stp>21422436</stp>
        <stp>@bh,EURJPY,d1,close,13</stp>
        <tr r="L15" s="2"/>
      </tp>
      <tp>
        <v>157.886</v>
        <stp/>
        <stp>21422436</stp>
        <stp>@bh,EURJPY,d1,close,12</stp>
        <tr r="L14" s="2"/>
      </tp>
      <tp>
        <v>162.345</v>
        <stp/>
        <stp>21422436</stp>
        <stp>@bh,EURJPY,d1,close,15</stp>
        <tr r="L17" s="2"/>
      </tp>
      <tp>
        <v>161.148</v>
        <stp/>
        <stp>21422436</stp>
        <stp>@bh,EURJPY,d1,close,14</stp>
        <tr r="L16" s="2"/>
      </tp>
      <tp>
        <v>166.68299999999999</v>
        <stp/>
        <stp>21422436</stp>
        <stp>@bh,EURJPY,d1,close,17</stp>
        <tr r="L19" s="2"/>
      </tp>
      <tp>
        <v>165.196</v>
        <stp/>
        <stp>21422436</stp>
        <stp>@bh,EURJPY,d1,close,16</stp>
        <tr r="L18" s="2"/>
      </tp>
      <tp>
        <v>166.94800000000001</v>
        <stp/>
        <stp>21422436</stp>
        <stp>@bh,EURJPY,d1,close,19</stp>
        <tr r="L21" s="2"/>
      </tp>
      <tp>
        <v>166.92599999999999</v>
        <stp/>
        <stp>21422436</stp>
        <stp>@bh,EURJPY,d1,close,18</stp>
        <tr r="L20" s="2"/>
      </tp>
      <tp>
        <v>205.495</v>
        <stp/>
        <stp>21422436</stp>
        <stp>@bh,GBPJPY,d1,close,26</stp>
        <tr r="T28" s="2"/>
      </tp>
      <tp>
        <v>204.98599999999999</v>
        <stp/>
        <stp>21422436</stp>
        <stp>@bh,GBPJPY,d1,close,27</stp>
        <tr r="T29" s="2"/>
      </tp>
      <tp>
        <v>203.673</v>
        <stp/>
        <stp>21422436</stp>
        <stp>@bh,GBPJPY,d1,close,24</stp>
        <tr r="T26" s="2"/>
      </tp>
      <tp>
        <v>203.16499999999999</v>
        <stp/>
        <stp>21422436</stp>
        <stp>@bh,GBPJPY,d1,close,25</stp>
        <tr r="T27" s="2"/>
      </tp>
      <tp>
        <v>203.13399999999999</v>
        <stp/>
        <stp>21422436</stp>
        <stp>@bh,GBPJPY,d1,close,22</stp>
        <tr r="T24" s="2"/>
      </tp>
      <tp>
        <v>203.38200000000001</v>
        <stp/>
        <stp>21422436</stp>
        <stp>@bh,GBPJPY,d1,close,23</stp>
        <tr r="T25" s="2"/>
      </tp>
      <tp>
        <v>198.624</v>
        <stp/>
        <stp>21422436</stp>
        <stp>@bh,GBPJPY,d1,close,20</stp>
        <tr r="T22" s="2"/>
      </tp>
      <tp>
        <v>200.821</v>
        <stp/>
        <stp>21422436</stp>
        <stp>@bh,GBPJPY,d1,close,21</stp>
        <tr r="T23" s="2"/>
      </tp>
      <tp>
        <v>0.60082999999999998</v>
        <stp/>
        <stp>21422436</stp>
        <stp>@bh,NZDUSD,d1,close,23</stp>
        <tr r="W25" s="2"/>
      </tp>
      <tp>
        <v>0.59784000000000004</v>
        <stp/>
        <stp>21422436</stp>
        <stp>@bh,NZDUSD,d1,close,22</stp>
        <tr r="W24" s="2"/>
      </tp>
      <tp>
        <v>0.59558</v>
        <stp/>
        <stp>21422436</stp>
        <stp>@bh,NZDUSD,d1,close,21</stp>
        <tr r="W23" s="2"/>
      </tp>
      <tp>
        <v>0.59301000000000004</v>
        <stp/>
        <stp>21422436</stp>
        <stp>@bh,NZDUSD,d1,close,20</stp>
        <tr r="W22" s="2"/>
      </tp>
      <tp>
        <v>0.60746999999999995</v>
        <stp/>
        <stp>21422436</stp>
        <stp>@bh,NZDUSD,d1,close,27</stp>
        <tr r="W29" s="2"/>
      </tp>
      <tp>
        <v>0.60497000000000001</v>
        <stp/>
        <stp>21422436</stp>
        <stp>@bh,NZDUSD,d1,close,26</stp>
        <tr r="W28" s="2"/>
      </tp>
      <tp>
        <v>0.60819999999999996</v>
        <stp/>
        <stp>21422436</stp>
        <stp>@bh,NZDUSD,d1,close,25</stp>
        <tr r="W27" s="2"/>
      </tp>
      <tp>
        <v>0.60448999999999997</v>
        <stp/>
        <stp>21422436</stp>
        <stp>@bh,NZDUSD,d1,close,24</stp>
        <tr r="W26" s="2"/>
      </tp>
      <tp>
        <v>0.59574000000000005</v>
        <stp/>
        <stp>21422436</stp>
        <stp>@bh,NZDUSD,d1,close,13</stp>
        <tr r="W15" s="2"/>
      </tp>
      <tp>
        <v>0.59389999999999998</v>
        <stp/>
        <stp>21422436</stp>
        <stp>@bh,NZDUSD,d1,close,12</stp>
        <tr r="W14" s="2"/>
      </tp>
      <tp>
        <v>0.59531999999999996</v>
        <stp/>
        <stp>21422436</stp>
        <stp>@bh,NZDUSD,d1,close,11</stp>
        <tr r="W13" s="2"/>
      </tp>
      <tp>
        <v>0.59946999999999995</v>
        <stp/>
        <stp>21422436</stp>
        <stp>@bh,NZDUSD,d1,close,10</stp>
        <tr r="W12" s="2"/>
      </tp>
      <tp>
        <v>0.58757999999999999</v>
        <stp/>
        <stp>21422436</stp>
        <stp>@bh,NZDUSD,d1,close,17</stp>
        <tr r="W19" s="2"/>
      </tp>
      <tp>
        <v>0.59031</v>
        <stp/>
        <stp>21422436</stp>
        <stp>@bh,NZDUSD,d1,close,16</stp>
        <tr r="W18" s="2"/>
      </tp>
      <tp>
        <v>0.59508000000000005</v>
        <stp/>
        <stp>21422436</stp>
        <stp>@bh,NZDUSD,d1,close,15</stp>
        <tr r="W17" s="2"/>
      </tp>
      <tp>
        <v>0.59497</v>
        <stp/>
        <stp>21422436</stp>
        <stp>@bh,NZDUSD,d1,close,14</stp>
        <tr r="W16" s="2"/>
      </tp>
      <tp>
        <v>0.58867000000000003</v>
        <stp/>
        <stp>21422436</stp>
        <stp>@bh,NZDUSD,d1,close,19</stp>
        <tr r="W21" s="2"/>
      </tp>
      <tp>
        <v>0.58872999999999998</v>
        <stp/>
        <stp>21422436</stp>
        <stp>@bh,NZDUSD,d1,close,18</stp>
        <tr r="W20" s="2"/>
      </tp>
      <tp>
        <v>0.65464</v>
        <stp/>
        <stp>21422436</stp>
        <stp>@bh,AUDUSD,d1,close,18</stp>
        <tr r="C20" s="2"/>
      </tp>
      <tp>
        <v>0.65380000000000005</v>
        <stp/>
        <stp>21422436</stp>
        <stp>@bh,AUDUSD,d1,close,19</stp>
        <tr r="C21" s="2"/>
      </tp>
      <tp>
        <v>0.65017999999999998</v>
        <stp/>
        <stp>21422436</stp>
        <stp>@bh,AUDUSD,d1,close,14</stp>
        <tr r="C16" s="2"/>
      </tp>
      <tp>
        <v>0.65415000000000001</v>
        <stp/>
        <stp>21422436</stp>
        <stp>@bh,AUDUSD,d1,close,15</stp>
        <tr r="C17" s="2"/>
      </tp>
      <tp>
        <v>0.65373999999999999</v>
        <stp/>
        <stp>21422436</stp>
        <stp>@bh,AUDUSD,d1,close,16</stp>
        <tr r="C18" s="2"/>
      </tp>
      <tp>
        <v>0.65490999999999999</v>
        <stp/>
        <stp>21422436</stp>
        <stp>@bh,AUDUSD,d1,close,17</stp>
        <tr r="C19" s="2"/>
      </tp>
      <tp>
        <v>0.65193999999999996</v>
        <stp/>
        <stp>21422436</stp>
        <stp>@bh,AUDUSD,d1,close,10</stp>
        <tr r="C12" s="2"/>
      </tp>
      <tp>
        <v>0.65178000000000003</v>
        <stp/>
        <stp>21422436</stp>
        <stp>@bh,AUDUSD,d1,close,11</stp>
        <tr r="C13" s="2"/>
      </tp>
      <tp>
        <v>0.64961000000000002</v>
        <stp/>
        <stp>21422436</stp>
        <stp>@bh,AUDUSD,d1,close,12</stp>
        <tr r="C14" s="2"/>
      </tp>
      <tp>
        <v>0.65102000000000004</v>
        <stp/>
        <stp>21422436</stp>
        <stp>@bh,AUDUSD,d1,close,13</stp>
        <tr r="C15" s="2"/>
      </tp>
      <tp>
        <v>0.67059999999999997</v>
        <stp/>
        <stp>21422436</stp>
        <stp>@bh,AUDUSD,d1,close,24</stp>
        <tr r="C26" s="2"/>
      </tp>
      <tp>
        <v>0.67290000000000005</v>
        <stp/>
        <stp>21422436</stp>
        <stp>@bh,AUDUSD,d1,close,25</stp>
        <tr r="C27" s="2"/>
      </tp>
      <tp>
        <v>0.67335999999999996</v>
        <stp/>
        <stp>21422436</stp>
        <stp>@bh,AUDUSD,d1,close,26</stp>
        <tr r="C28" s="2"/>
      </tp>
      <tp>
        <v>0.67596000000000001</v>
        <stp/>
        <stp>21422436</stp>
        <stp>@bh,AUDUSD,d1,close,27</stp>
        <tr r="C29" s="2"/>
      </tp>
      <tp>
        <v>0.65808</v>
        <stp/>
        <stp>21422436</stp>
        <stp>@bh,AUDUSD,d1,close,20</stp>
        <tr r="C22" s="2"/>
      </tp>
      <tp>
        <v>0.66156999999999999</v>
        <stp/>
        <stp>21422436</stp>
        <stp>@bh,AUDUSD,d1,close,21</stp>
        <tr r="C23" s="2"/>
      </tp>
      <tp>
        <v>0.66424000000000005</v>
        <stp/>
        <stp>21422436</stp>
        <stp>@bh,AUDUSD,d1,close,22</stp>
        <tr r="C24" s="2"/>
      </tp>
      <tp>
        <v>0.66839999999999999</v>
        <stp/>
        <stp>21422436</stp>
        <stp>@bh,AUDUSD,d1,close,23</stp>
        <tr r="C25" s="2"/>
      </tp>
      <tp>
        <v>1.29122</v>
        <stp/>
        <stp>21422436</stp>
        <stp>@bh,GBPUSD,d1,close,23</stp>
        <tr r="O25" s="2"/>
      </tp>
      <tp>
        <v>1.2933600000000001</v>
        <stp/>
        <stp>21422436</stp>
        <stp>@bh,GBPUSD,d1,close,22</stp>
        <tr r="O24" s="2"/>
      </tp>
      <tp>
        <v>1.2906899999999999</v>
        <stp/>
        <stp>21422436</stp>
        <stp>@bh,GBPUSD,d1,close,21</stp>
        <tr r="O23" s="2"/>
      </tp>
      <tp>
        <v>1.2906500000000001</v>
        <stp/>
        <stp>21422436</stp>
        <stp>@bh,GBPUSD,d1,close,20</stp>
        <tr r="O22" s="2"/>
      </tp>
      <tp>
        <v>1.29677</v>
        <stp/>
        <stp>21422436</stp>
        <stp>@bh,GBPUSD,d1,close,27</stp>
        <tr r="O29" s="2"/>
      </tp>
      <tp>
        <v>1.2972999999999999</v>
        <stp/>
        <stp>21422436</stp>
        <stp>@bh,GBPUSD,d1,close,26</stp>
        <tr r="O28" s="2"/>
      </tp>
      <tp>
        <v>1.30081</v>
        <stp/>
        <stp>21422436</stp>
        <stp>@bh,GBPUSD,d1,close,25</stp>
        <tr r="O27" s="2"/>
      </tp>
      <tp>
        <v>1.2943</v>
        <stp/>
        <stp>21422436</stp>
        <stp>@bh,GBPUSD,d1,close,24</stp>
        <tr r="O26" s="2"/>
      </tp>
      <tp>
        <v>1.0855399999999999</v>
        <stp/>
        <stp>21422436</stp>
        <stp>@bh,EURUSD,d1,close,18</stp>
        <tr r="H20" s="2"/>
      </tp>
      <tp>
        <v>1.08449</v>
        <stp/>
        <stp>21422436</stp>
        <stp>@bh,EURUSD,d1,close,19</stp>
        <tr r="H21" s="2"/>
      </tp>
      <tp>
        <v>1.0791299999999999</v>
        <stp/>
        <stp>21422436</stp>
        <stp>@bh,EURUSD,d1,close,14</stp>
        <tr r="H16" s="2"/>
      </tp>
      <tp>
        <v>1.0825899999999999</v>
        <stp/>
        <stp>21422436</stp>
        <stp>@bh,EURUSD,d1,close,15</stp>
        <tr r="H17" s="2"/>
      </tp>
      <tp>
        <v>1.0814299999999999</v>
        <stp/>
        <stp>21422436</stp>
        <stp>@bh,EURUSD,d1,close,16</stp>
        <tr r="H18" s="2"/>
      </tp>
      <tp>
        <v>1.08212</v>
        <stp/>
        <stp>21422436</stp>
        <stp>@bh,EURUSD,d1,close,17</stp>
        <tr r="H19" s="2"/>
      </tp>
      <tp>
        <v>1.0923499999999999</v>
        <stp/>
        <stp>21422436</stp>
        <stp>@bh,EURUSD,d1,close,10</stp>
        <tr r="H12" s="2"/>
      </tp>
      <tp>
        <v>1.0931299999999999</v>
        <stp/>
        <stp>21422436</stp>
        <stp>@bh,EURUSD,d1,close,11</stp>
        <tr r="H13" s="2"/>
      </tp>
      <tp>
        <v>1.0951200000000001</v>
        <stp/>
        <stp>21422436</stp>
        <stp>@bh,EURUSD,d1,close,12</stp>
        <tr r="H14" s="2"/>
      </tp>
      <tp>
        <v>1.0910500000000001</v>
        <stp/>
        <stp>21422436</stp>
        <stp>@bh,EURUSD,d1,close,13</stp>
        <tr r="H15" s="2"/>
      </tp>
      <tp>
        <v>1.0895900000000001</v>
        <stp/>
        <stp>21422436</stp>
        <stp>@bh,EURUSD,d1,close,24</stp>
        <tr r="H26" s="2"/>
      </tp>
      <tp>
        <v>1.09396</v>
        <stp/>
        <stp>21422436</stp>
        <stp>@bh,EURUSD,d1,close,25</stp>
        <tr r="H27" s="2"/>
      </tp>
      <tp>
        <v>1.0898600000000001</v>
        <stp/>
        <stp>21422436</stp>
        <stp>@bh,EURUSD,d1,close,26</stp>
        <tr r="H28" s="2"/>
      </tp>
      <tp>
        <v>1.08944</v>
        <stp/>
        <stp>21422436</stp>
        <stp>@bh,EURUSD,d1,close,27</stp>
        <tr r="H29" s="2"/>
      </tp>
      <tp>
        <v>1.08392</v>
        <stp/>
        <stp>21422436</stp>
        <stp>@bh,EURUSD,d1,close,20</stp>
        <tr r="H22" s="2"/>
      </tp>
      <tp>
        <v>1.0852999999999999</v>
        <stp/>
        <stp>21422436</stp>
        <stp>@bh,EURUSD,d1,close,21</stp>
        <tr r="H23" s="2"/>
      </tp>
      <tp>
        <v>1.0890500000000001</v>
        <stp/>
        <stp>21422436</stp>
        <stp>@bh,EURUSD,d1,close,22</stp>
        <tr r="H24" s="2"/>
      </tp>
      <tp>
        <v>1.0882400000000001</v>
        <stp/>
        <stp>21422436</stp>
        <stp>@bh,EURUSD,d1,close,23</stp>
        <tr r="H25" s="2"/>
      </tp>
      <tp>
        <v>1.28495</v>
        <stp/>
        <stp>21422436</stp>
        <stp>@bh,GBPUSD,d1,close,19</stp>
        <tr r="O21" s="2"/>
      </tp>
      <tp>
        <v>1.2865</v>
        <stp/>
        <stp>21422436</stp>
        <stp>@bh,GBPUSD,d1,close,18</stp>
        <tr r="O20" s="2"/>
      </tp>
      <tp>
        <v>1.2804899999999999</v>
        <stp/>
        <stp>21422436</stp>
        <stp>@bh,GBPUSD,d1,close,13</stp>
        <tr r="O15" s="2"/>
      </tp>
      <tp>
        <v>1.27762</v>
        <stp/>
        <stp>21422436</stp>
        <stp>@bh,GBPUSD,d1,close,12</stp>
        <tr r="O14" s="2"/>
      </tp>
      <tp>
        <v>1.2691699999999999</v>
        <stp/>
        <stp>21422436</stp>
        <stp>@bh,GBPUSD,d1,close,11</stp>
        <tr r="O13" s="2"/>
      </tp>
      <tp>
        <v>1.2692399999999999</v>
        <stp/>
        <stp>21422436</stp>
        <stp>@bh,GBPUSD,d1,close,10</stp>
        <tr r="O12" s="2"/>
      </tp>
      <tp>
        <v>1.2861100000000001</v>
        <stp/>
        <stp>21422436</stp>
        <stp>@bh,GBPUSD,d1,close,17</stp>
        <tr r="O19" s="2"/>
      </tp>
      <tp>
        <v>1.28356</v>
        <stp/>
        <stp>21422436</stp>
        <stp>@bh,GBPUSD,d1,close,16</stp>
        <tr r="O18" s="2"/>
      </tp>
      <tp>
        <v>1.2855399999999999</v>
        <stp/>
        <stp>21422436</stp>
        <stp>@bh,GBPUSD,d1,close,15</stp>
        <tr r="O17" s="2"/>
      </tp>
      <tp>
        <v>1.27386</v>
        <stp/>
        <stp>21422436</stp>
        <stp>@bh,GBPUSD,d1,close,14</stp>
        <tr r="O16" s="2"/>
      </tp>
      <tp>
        <v>0.59841</v>
        <stp/>
        <stp>21422436</stp>
        <stp>@bh,NZDUSD,h4,close,23</stp>
        <tr r="W25" s="1"/>
      </tp>
      <tp>
        <v>0.59879000000000004</v>
        <stp/>
        <stp>21422436</stp>
        <stp>@bh,NZDUSD,h4,close,22</stp>
        <tr r="W24" s="1"/>
      </tp>
      <tp>
        <v>0.60145000000000004</v>
        <stp/>
        <stp>21422436</stp>
        <stp>@bh,NZDUSD,h4,close,21</stp>
        <tr r="W23" s="1"/>
      </tp>
      <tp>
        <v>0.60185</v>
        <stp/>
        <stp>21422436</stp>
        <stp>@bh,NZDUSD,h4,close,20</stp>
        <tr r="W22" s="1"/>
      </tp>
      <tp>
        <v>0.60045999999999999</v>
        <stp/>
        <stp>21422436</stp>
        <stp>@bh,NZDUSD,h4,close,27</stp>
        <tr r="W29" s="1"/>
      </tp>
      <tp>
        <v>0.59991000000000005</v>
        <stp/>
        <stp>21422436</stp>
        <stp>@bh,NZDUSD,h4,close,26</stp>
        <tr r="W28" s="1"/>
      </tp>
      <tp>
        <v>0.59865000000000002</v>
        <stp/>
        <stp>21422436</stp>
        <stp>@bh,NZDUSD,h4,close,25</stp>
        <tr r="W27" s="1"/>
      </tp>
      <tp>
        <v>0.60002</v>
        <stp/>
        <stp>21422436</stp>
        <stp>@bh,NZDUSD,h4,close,24</stp>
        <tr r="W26" s="1"/>
      </tp>
      <tp>
        <v>0.60733999999999999</v>
        <stp/>
        <stp>21422436</stp>
        <stp>@bh,NZDUSD,h4,close,13</stp>
        <tr r="W15" s="1"/>
      </tp>
      <tp>
        <v>0.60938000000000003</v>
        <stp/>
        <stp>21422436</stp>
        <stp>@bh,NZDUSD,h4,close,12</stp>
        <tr r="W14" s="1"/>
      </tp>
      <tp>
        <v>0.61141000000000001</v>
        <stp/>
        <stp>21422436</stp>
        <stp>@bh,NZDUSD,h4,close,11</stp>
        <tr r="W13" s="1"/>
      </tp>
      <tp>
        <v>0.61167000000000005</v>
        <stp/>
        <stp>21422436</stp>
        <stp>@bh,NZDUSD,h4,close,10</stp>
        <tr r="W12" s="1"/>
      </tp>
      <tp>
        <v>0.60541</v>
        <stp/>
        <stp>21422436</stp>
        <stp>@bh,NZDUSD,h4,close,17</stp>
        <tr r="W19" s="1"/>
      </tp>
      <tp>
        <v>0.60555000000000003</v>
        <stp/>
        <stp>21422436</stp>
        <stp>@bh,NZDUSD,h4,close,16</stp>
        <tr r="W18" s="1"/>
      </tp>
      <tp>
        <v>0.60802999999999996</v>
        <stp/>
        <stp>21422436</stp>
        <stp>@bh,NZDUSD,h4,close,15</stp>
        <tr r="W17" s="1"/>
      </tp>
      <tp>
        <v>0.60716999999999999</v>
        <stp/>
        <stp>21422436</stp>
        <stp>@bh,NZDUSD,h4,close,14</stp>
        <tr r="W16" s="1"/>
      </tp>
      <tp>
        <v>0.60233000000000003</v>
        <stp/>
        <stp>21422436</stp>
        <stp>@bh,NZDUSD,h4,close,19</stp>
        <tr r="W21" s="1"/>
      </tp>
      <tp>
        <v>0.60409000000000002</v>
        <stp/>
        <stp>21422436</stp>
        <stp>@bh,NZDUSD,h4,close,18</stp>
        <tr r="W20" s="1"/>
      </tp>
      <tp>
        <v>0.61434</v>
        <stp/>
        <stp>21422436</stp>
        <stp>@bh,NZDUSD,h1,close,23</stp>
        <tr r="W25" s="3"/>
      </tp>
      <tp>
        <v>0.61446999999999996</v>
        <stp/>
        <stp>21422436</stp>
        <stp>@bh,NZDUSD,h1,close,22</stp>
        <tr r="W24" s="3"/>
      </tp>
      <tp>
        <v>0.61465999999999998</v>
        <stp/>
        <stp>21422436</stp>
        <stp>@bh,NZDUSD,h1,close,21</stp>
        <tr r="W23" s="3"/>
      </tp>
      <tp>
        <v>0.61553000000000002</v>
        <stp/>
        <stp>21422436</stp>
        <stp>@bh,NZDUSD,h1,close,20</stp>
        <tr r="W22" s="3"/>
      </tp>
      <tp>
        <v>0.61416000000000004</v>
        <stp/>
        <stp>21422436</stp>
        <stp>@bh,NZDUSD,h1,close,27</stp>
        <tr r="W29" s="3"/>
      </tp>
      <tp>
        <v>0.61443000000000003</v>
        <stp/>
        <stp>21422436</stp>
        <stp>@bh,NZDUSD,h1,close,26</stp>
        <tr r="W28" s="3"/>
      </tp>
      <tp>
        <v>0.61431000000000002</v>
        <stp/>
        <stp>21422436</stp>
        <stp>@bh,NZDUSD,h1,close,25</stp>
        <tr r="W27" s="3"/>
      </tp>
      <tp>
        <v>0.61497999999999997</v>
        <stp/>
        <stp>21422436</stp>
        <stp>@bh,NZDUSD,h1,close,24</stp>
        <tr r="W26" s="3"/>
      </tp>
      <tp>
        <v>0.61514999999999997</v>
        <stp/>
        <stp>21422436</stp>
        <stp>@bh,NZDUSD,h1,close,13</stp>
        <tr r="W15" s="3"/>
      </tp>
      <tp>
        <v>0.61482000000000003</v>
        <stp/>
        <stp>21422436</stp>
        <stp>@bh,NZDUSD,h1,close,12</stp>
        <tr r="W14" s="3"/>
      </tp>
      <tp>
        <v>0.61477999999999999</v>
        <stp/>
        <stp>21422436</stp>
        <stp>@bh,NZDUSD,h1,close,11</stp>
        <tr r="W13" s="3"/>
      </tp>
      <tp>
        <v>0.61424000000000001</v>
        <stp/>
        <stp>21422436</stp>
        <stp>@bh,NZDUSD,h1,close,10</stp>
        <tr r="W12" s="3"/>
      </tp>
      <tp>
        <v>0.61502999999999997</v>
        <stp/>
        <stp>21422436</stp>
        <stp>@bh,NZDUSD,h1,close,17</stp>
        <tr r="W19" s="3"/>
      </tp>
      <tp>
        <v>0.61565999999999999</v>
        <stp/>
        <stp>21422436</stp>
        <stp>@bh,NZDUSD,h1,close,16</stp>
        <tr r="W18" s="3"/>
      </tp>
      <tp>
        <v>0.61560000000000004</v>
        <stp/>
        <stp>21422436</stp>
        <stp>@bh,NZDUSD,h1,close,15</stp>
        <tr r="W17" s="3"/>
      </tp>
      <tp>
        <v>0.61628000000000005</v>
        <stp/>
        <stp>21422436</stp>
        <stp>@bh,NZDUSD,h1,close,14</stp>
        <tr r="W16" s="3"/>
      </tp>
      <tp>
        <v>0.61534</v>
        <stp/>
        <stp>21422436</stp>
        <stp>@bh,NZDUSD,h1,close,19</stp>
        <tr r="W21" s="3"/>
      </tp>
      <tp>
        <v>0.61536000000000002</v>
        <stp/>
        <stp>21422436</stp>
        <stp>@bh,NZDUSD,h1,close,18</stp>
        <tr r="W20" s="3"/>
      </tp>
      <tp>
        <v>1.10039</v>
        <stp/>
        <stp>21422436</stp>
        <stp>@bh,EURUSD,h4,close,18</stp>
        <tr r="H20" s="1"/>
      </tp>
      <tp>
        <v>1.0993999999999999</v>
        <stp/>
        <stp>21422436</stp>
        <stp>@bh,EURUSD,h4,close,19</stp>
        <tr r="H21" s="1"/>
      </tp>
      <tp>
        <v>1.1037300000000001</v>
        <stp/>
        <stp>21422436</stp>
        <stp>@bh,EURUSD,h4,close,14</stp>
        <tr r="H16" s="1"/>
      </tp>
      <tp>
        <v>1.10398</v>
        <stp/>
        <stp>21422436</stp>
        <stp>@bh,EURUSD,h4,close,15</stp>
        <tr r="H17" s="1"/>
      </tp>
      <tp>
        <v>1.1031500000000001</v>
        <stp/>
        <stp>21422436</stp>
        <stp>@bh,EURUSD,h4,close,16</stp>
        <tr r="H18" s="1"/>
      </tp>
      <tp>
        <v>1.10286</v>
        <stp/>
        <stp>21422436</stp>
        <stp>@bh,EURUSD,h4,close,17</stp>
        <tr r="H19" s="1"/>
      </tp>
      <tp>
        <v>1.1083099999999999</v>
        <stp/>
        <stp>21422436</stp>
        <stp>@bh,EURUSD,h4,close,10</stp>
        <tr r="H12" s="1"/>
      </tp>
      <tp>
        <v>1.1085100000000001</v>
        <stp/>
        <stp>21422436</stp>
        <stp>@bh,EURUSD,h4,close,11</stp>
        <tr r="H13" s="1"/>
      </tp>
      <tp>
        <v>1.10737</v>
        <stp/>
        <stp>21422436</stp>
        <stp>@bh,EURUSD,h4,close,12</stp>
        <tr r="H14" s="1"/>
      </tp>
      <tp>
        <v>1.1039000000000001</v>
        <stp/>
        <stp>21422436</stp>
        <stp>@bh,EURUSD,h4,close,13</stp>
        <tr r="H15" s="1"/>
      </tp>
      <tp>
        <v>0.67466999999999999</v>
        <stp/>
        <stp>21422436</stp>
        <stp>@bh,AUDUSD,h1,close,18</stp>
        <tr r="C20" s="3"/>
      </tp>
      <tp>
        <v>0.67466000000000004</v>
        <stp/>
        <stp>21422436</stp>
        <stp>@bh,AUDUSD,h1,close,19</stp>
        <tr r="C21" s="3"/>
      </tp>
      <tp>
        <v>0.67501999999999995</v>
        <stp/>
        <stp>21422436</stp>
        <stp>@bh,AUDUSD,h1,close,14</stp>
        <tr r="C16" s="3"/>
      </tp>
      <tp>
        <v>0.67464000000000002</v>
        <stp/>
        <stp>21422436</stp>
        <stp>@bh,AUDUSD,h1,close,15</stp>
        <tr r="C17" s="3"/>
      </tp>
      <tp>
        <v>0.67454000000000003</v>
        <stp/>
        <stp>21422436</stp>
        <stp>@bh,AUDUSD,h1,close,16</stp>
        <tr r="C18" s="3"/>
      </tp>
      <tp>
        <v>0.67437000000000002</v>
        <stp/>
        <stp>21422436</stp>
        <stp>@bh,AUDUSD,h1,close,17</stp>
        <tr r="C19" s="3"/>
      </tp>
      <tp>
        <v>0.67444000000000004</v>
        <stp/>
        <stp>21422436</stp>
        <stp>@bh,AUDUSD,h1,close,10</stp>
        <tr r="C12" s="3"/>
      </tp>
      <tp>
        <v>0.67447999999999997</v>
        <stp/>
        <stp>21422436</stp>
        <stp>@bh,AUDUSD,h1,close,11</stp>
        <tr r="C13" s="3"/>
      </tp>
      <tp>
        <v>0.67423</v>
        <stp/>
        <stp>21422436</stp>
        <stp>@bh,AUDUSD,h1,close,12</stp>
        <tr r="C14" s="3"/>
      </tp>
      <tp>
        <v>0.67439000000000004</v>
        <stp/>
        <stp>21422436</stp>
        <stp>@bh,AUDUSD,h1,close,13</stp>
        <tr r="C15" s="3"/>
      </tp>
      <tp>
        <v>1.2853300000000001</v>
        <stp/>
        <stp>21422436</stp>
        <stp>@bh,GBPUSD,h4,close,23</stp>
        <tr r="O25" s="1"/>
      </tp>
      <tp>
        <v>1.28633</v>
        <stp/>
        <stp>21422436</stp>
        <stp>@bh,GBPUSD,h4,close,22</stp>
        <tr r="O24" s="1"/>
      </tp>
      <tp>
        <v>1.28729</v>
        <stp/>
        <stp>21422436</stp>
        <stp>@bh,GBPUSD,h4,close,21</stp>
        <tr r="O23" s="1"/>
      </tp>
      <tp>
        <v>1.2885500000000001</v>
        <stp/>
        <stp>21422436</stp>
        <stp>@bh,GBPUSD,h4,close,20</stp>
        <tr r="O22" s="1"/>
      </tp>
      <tp>
        <v>1.2840100000000001</v>
        <stp/>
        <stp>21422436</stp>
        <stp>@bh,GBPUSD,h4,close,27</stp>
        <tr r="O29" s="1"/>
      </tp>
      <tp>
        <v>1.2843800000000001</v>
        <stp/>
        <stp>21422436</stp>
        <stp>@bh,GBPUSD,h4,close,26</stp>
        <tr r="O28" s="1"/>
      </tp>
      <tp>
        <v>1.28179</v>
        <stp/>
        <stp>21422436</stp>
        <stp>@bh,GBPUSD,h4,close,25</stp>
        <tr r="O27" s="1"/>
      </tp>
      <tp>
        <v>1.2851699999999999</v>
        <stp/>
        <stp>21422436</stp>
        <stp>@bh,GBPUSD,h4,close,24</stp>
        <tr r="O26" s="1"/>
      </tp>
      <tp>
        <v>0.67442999999999997</v>
        <stp/>
        <stp>21422436</stp>
        <stp>@bh,AUDUSD,h1,close,24</stp>
        <tr r="C26" s="3"/>
      </tp>
      <tp>
        <v>0.67403000000000002</v>
        <stp/>
        <stp>21422436</stp>
        <stp>@bh,AUDUSD,h1,close,25</stp>
        <tr r="C27" s="3"/>
      </tp>
      <tp>
        <v>0.67415999999999998</v>
        <stp/>
        <stp>21422436</stp>
        <stp>@bh,AUDUSD,h1,close,26</stp>
        <tr r="C28" s="3"/>
      </tp>
      <tp>
        <v>0.67337999999999998</v>
        <stp/>
        <stp>21422436</stp>
        <stp>@bh,AUDUSD,h1,close,27</stp>
        <tr r="C29" s="3"/>
      </tp>
      <tp>
        <v>0.67462</v>
        <stp/>
        <stp>21422436</stp>
        <stp>@bh,AUDUSD,h1,close,20</stp>
        <tr r="C22" s="3"/>
      </tp>
      <tp>
        <v>0.67379</v>
        <stp/>
        <stp>21422436</stp>
        <stp>@bh,AUDUSD,h1,close,21</stp>
        <tr r="C23" s="3"/>
      </tp>
      <tp>
        <v>0.67364000000000002</v>
        <stp/>
        <stp>21422436</stp>
        <stp>@bh,AUDUSD,h1,close,22</stp>
        <tr r="C24" s="3"/>
      </tp>
      <tp>
        <v>0.67398000000000002</v>
        <stp/>
        <stp>21422436</stp>
        <stp>@bh,AUDUSD,h1,close,23</stp>
        <tr r="C25" s="3"/>
      </tp>
      <tp>
        <v>1.2897400000000001</v>
        <stp/>
        <stp>21422436</stp>
        <stp>@bh,GBPUSD,h4,close,19</stp>
        <tr r="O21" s="1"/>
      </tp>
      <tp>
        <v>1.29209</v>
        <stp/>
        <stp>21422436</stp>
        <stp>@bh,GBPUSD,h4,close,18</stp>
        <tr r="O20" s="1"/>
      </tp>
      <tp>
        <v>1.29508</v>
        <stp/>
        <stp>21422436</stp>
        <stp>@bh,GBPUSD,h4,close,13</stp>
        <tr r="O15" s="1"/>
      </tp>
      <tp>
        <v>1.2981799999999999</v>
        <stp/>
        <stp>21422436</stp>
        <stp>@bh,GBPUSD,h4,close,12</stp>
        <tr r="O14" s="1"/>
      </tp>
      <tp>
        <v>1.2990699999999999</v>
        <stp/>
        <stp>21422436</stp>
        <stp>@bh,GBPUSD,h4,close,11</stp>
        <tr r="O13" s="1"/>
      </tp>
      <tp>
        <v>1.2985199999999999</v>
        <stp/>
        <stp>21422436</stp>
        <stp>@bh,GBPUSD,h4,close,10</stp>
        <tr r="O12" s="1"/>
      </tp>
      <tp>
        <v>1.2945</v>
        <stp/>
        <stp>21422436</stp>
        <stp>@bh,GBPUSD,h4,close,17</stp>
        <tr r="O19" s="1"/>
      </tp>
      <tp>
        <v>1.2946800000000001</v>
        <stp/>
        <stp>21422436</stp>
        <stp>@bh,GBPUSD,h4,close,16</stp>
        <tr r="O18" s="1"/>
      </tp>
      <tp>
        <v>1.2953399999999999</v>
        <stp/>
        <stp>21422436</stp>
        <stp>@bh,GBPUSD,h4,close,15</stp>
        <tr r="O17" s="1"/>
      </tp>
      <tp>
        <v>1.2971900000000001</v>
        <stp/>
        <stp>21422436</stp>
        <stp>@bh,GBPUSD,h4,close,14</stp>
        <tr r="O16" s="1"/>
      </tp>
      <tp>
        <v>1.09781</v>
        <stp/>
        <stp>21422436</stp>
        <stp>@bh,EURUSD,h4,close,24</stp>
        <tr r="H26" s="1"/>
      </tp>
      <tp>
        <v>1.0956699999999999</v>
        <stp/>
        <stp>21422436</stp>
        <stp>@bh,EURUSD,h4,close,25</stp>
        <tr r="H27" s="1"/>
      </tp>
      <tp>
        <v>1.10063</v>
        <stp/>
        <stp>21422436</stp>
        <stp>@bh,EURUSD,h4,close,26</stp>
        <tr r="H28" s="1"/>
      </tp>
      <tp>
        <v>1.10118</v>
        <stp/>
        <stp>21422436</stp>
        <stp>@bh,EURUSD,h4,close,27</stp>
        <tr r="H29" s="1"/>
      </tp>
      <tp>
        <v>1.0981000000000001</v>
        <stp/>
        <stp>21422436</stp>
        <stp>@bh,EURUSD,h4,close,20</stp>
        <tr r="H22" s="1"/>
      </tp>
      <tp>
        <v>1.09822</v>
        <stp/>
        <stp>21422436</stp>
        <stp>@bh,EURUSD,h4,close,21</stp>
        <tr r="H23" s="1"/>
      </tp>
      <tp>
        <v>1.09762</v>
        <stp/>
        <stp>21422436</stp>
        <stp>@bh,EURUSD,h4,close,22</stp>
        <tr r="H24" s="1"/>
      </tp>
      <tp>
        <v>1.0971200000000001</v>
        <stp/>
        <stp>21422436</stp>
        <stp>@bh,EURUSD,h4,close,23</stp>
        <tr r="H25" s="1"/>
      </tp>
      <tp>
        <v>0.66557999999999995</v>
        <stp/>
        <stp>21422436</stp>
        <stp>@bh,AUDUSD,h4,close,18</stp>
        <tr r="C20" s="1"/>
      </tp>
      <tp>
        <v>0.66266000000000003</v>
        <stp/>
        <stp>21422436</stp>
        <stp>@bh,AUDUSD,h4,close,19</stp>
        <tr r="C21" s="1"/>
      </tp>
      <tp>
        <v>0.66883000000000004</v>
        <stp/>
        <stp>21422436</stp>
        <stp>@bh,AUDUSD,h4,close,14</stp>
        <tr r="C16" s="1"/>
      </tp>
      <tp>
        <v>0.66871999999999998</v>
        <stp/>
        <stp>21422436</stp>
        <stp>@bh,AUDUSD,h4,close,15</stp>
        <tr r="C17" s="1"/>
      </tp>
      <tp>
        <v>0.66795000000000004</v>
        <stp/>
        <stp>21422436</stp>
        <stp>@bh,AUDUSD,h4,close,16</stp>
        <tr r="C18" s="1"/>
      </tp>
      <tp>
        <v>0.66700999999999999</v>
        <stp/>
        <stp>21422436</stp>
        <stp>@bh,AUDUSD,h4,close,17</stp>
        <tr r="C19" s="1"/>
      </tp>
      <tp>
        <v>0.67264000000000002</v>
        <stp/>
        <stp>21422436</stp>
        <stp>@bh,AUDUSD,h4,close,10</stp>
        <tr r="C12" s="1"/>
      </tp>
      <tp>
        <v>0.67320000000000002</v>
        <stp/>
        <stp>21422436</stp>
        <stp>@bh,AUDUSD,h4,close,11</stp>
        <tr r="C13" s="1"/>
      </tp>
      <tp>
        <v>0.67200000000000004</v>
        <stp/>
        <stp>21422436</stp>
        <stp>@bh,AUDUSD,h4,close,12</stp>
        <tr r="C14" s="1"/>
      </tp>
      <tp>
        <v>0.66968000000000005</v>
        <stp/>
        <stp>21422436</stp>
        <stp>@bh,AUDUSD,h4,close,13</stp>
        <tr r="C15" s="1"/>
      </tp>
      <tp>
        <v>1.30261</v>
        <stp/>
        <stp>21422436</stp>
        <stp>@bh,GBPUSD,h1,close,23</stp>
        <tr r="O25" s="3"/>
      </tp>
      <tp>
        <v>1.3025199999999999</v>
        <stp/>
        <stp>21422436</stp>
        <stp>@bh,GBPUSD,h1,close,22</stp>
        <tr r="O24" s="3"/>
      </tp>
      <tp>
        <v>1.3022100000000001</v>
        <stp/>
        <stp>21422436</stp>
        <stp>@bh,GBPUSD,h1,close,21</stp>
        <tr r="O23" s="3"/>
      </tp>
      <tp>
        <v>1.3029999999999999</v>
        <stp/>
        <stp>21422436</stp>
        <stp>@bh,GBPUSD,h1,close,20</stp>
        <tr r="O22" s="3"/>
      </tp>
      <tp>
        <v>1.3007899999999999</v>
        <stp/>
        <stp>21422436</stp>
        <stp>@bh,GBPUSD,h1,close,27</stp>
        <tr r="O29" s="3"/>
      </tp>
      <tp>
        <v>1.3027200000000001</v>
        <stp/>
        <stp>21422436</stp>
        <stp>@bh,GBPUSD,h1,close,26</stp>
        <tr r="O28" s="3"/>
      </tp>
      <tp>
        <v>1.30267</v>
        <stp/>
        <stp>21422436</stp>
        <stp>@bh,GBPUSD,h1,close,25</stp>
        <tr r="O27" s="3"/>
      </tp>
      <tp>
        <v>1.3030299999999999</v>
        <stp/>
        <stp>21422436</stp>
        <stp>@bh,GBPUSD,h1,close,24</stp>
        <tr r="O26" s="3"/>
      </tp>
      <tp>
        <v>1.113</v>
        <stp/>
        <stp>21422436</stp>
        <stp>@bh,EURUSD,h1,close,18</stp>
        <tr r="H20" s="3"/>
      </tp>
      <tp>
        <v>1.1124700000000001</v>
        <stp/>
        <stp>21422436</stp>
        <stp>@bh,EURUSD,h1,close,19</stp>
        <tr r="H21" s="3"/>
      </tp>
      <tp>
        <v>1.1127899999999999</v>
        <stp/>
        <stp>21422436</stp>
        <stp>@bh,EURUSD,h1,close,14</stp>
        <tr r="H16" s="3"/>
      </tp>
      <tp>
        <v>1.11277</v>
        <stp/>
        <stp>21422436</stp>
        <stp>@bh,EURUSD,h1,close,15</stp>
        <tr r="H17" s="3"/>
      </tp>
      <tp>
        <v>1.11286</v>
        <stp/>
        <stp>21422436</stp>
        <stp>@bh,EURUSD,h1,close,16</stp>
        <tr r="H18" s="3"/>
      </tp>
      <tp>
        <v>1.11287</v>
        <stp/>
        <stp>21422436</stp>
        <stp>@bh,EURUSD,h1,close,17</stp>
        <tr r="H19" s="3"/>
      </tp>
      <tp>
        <v>1.11192</v>
        <stp/>
        <stp>21422436</stp>
        <stp>@bh,EURUSD,h1,close,10</stp>
        <tr r="H12" s="3"/>
      </tp>
      <tp>
        <v>1.1121099999999999</v>
        <stp/>
        <stp>21422436</stp>
        <stp>@bh,EURUSD,h1,close,11</stp>
        <tr r="H13" s="3"/>
      </tp>
      <tp>
        <v>1.1121799999999999</v>
        <stp/>
        <stp>21422436</stp>
        <stp>@bh,EURUSD,h1,close,12</stp>
        <tr r="H14" s="3"/>
      </tp>
      <tp>
        <v>1.1121700000000001</v>
        <stp/>
        <stp>21422436</stp>
        <stp>@bh,EURUSD,h1,close,13</stp>
        <tr r="H15" s="3"/>
      </tp>
      <tp>
        <v>1.1111899999999999</v>
        <stp/>
        <stp>21422436</stp>
        <stp>@bh,EURUSD,h1,close,24</stp>
        <tr r="H26" s="3"/>
      </tp>
      <tp>
        <v>1.11022</v>
        <stp/>
        <stp>21422436</stp>
        <stp>@bh,EURUSD,h1,close,25</stp>
        <tr r="H27" s="3"/>
      </tp>
      <tp>
        <v>1.1098399999999999</v>
        <stp/>
        <stp>21422436</stp>
        <stp>@bh,EURUSD,h1,close,26</stp>
        <tr r="H28" s="3"/>
      </tp>
      <tp>
        <v>1.1081000000000001</v>
        <stp/>
        <stp>21422436</stp>
        <stp>@bh,EURUSD,h1,close,27</stp>
        <tr r="H29" s="3"/>
      </tp>
      <tp>
        <v>1.11208</v>
        <stp/>
        <stp>21422436</stp>
        <stp>@bh,EURUSD,h1,close,20</stp>
        <tr r="H22" s="3"/>
      </tp>
      <tp>
        <v>1.1116200000000001</v>
        <stp/>
        <stp>21422436</stp>
        <stp>@bh,EURUSD,h1,close,21</stp>
        <tr r="H23" s="3"/>
      </tp>
      <tp>
        <v>1.1114999999999999</v>
        <stp/>
        <stp>21422436</stp>
        <stp>@bh,EURUSD,h1,close,22</stp>
        <tr r="H24" s="3"/>
      </tp>
      <tp>
        <v>1.11053</v>
        <stp/>
        <stp>21422436</stp>
        <stp>@bh,EURUSD,h1,close,23</stp>
        <tr r="H25" s="3"/>
      </tp>
      <tp>
        <v>0.66237999999999997</v>
        <stp/>
        <stp>21422436</stp>
        <stp>@bh,AUDUSD,h4,close,24</stp>
        <tr r="C26" s="1"/>
      </tp>
      <tp>
        <v>0.66076000000000001</v>
        <stp/>
        <stp>21422436</stp>
        <stp>@bh,AUDUSD,h4,close,25</stp>
        <tr r="C27" s="1"/>
      </tp>
      <tp>
        <v>0.66166999999999998</v>
        <stp/>
        <stp>21422436</stp>
        <stp>@bh,AUDUSD,h4,close,26</stp>
        <tr r="C28" s="1"/>
      </tp>
      <tp>
        <v>0.66246000000000005</v>
        <stp/>
        <stp>21422436</stp>
        <stp>@bh,AUDUSD,h4,close,27</stp>
        <tr r="C29" s="1"/>
      </tp>
      <tp>
        <v>0.66322999999999999</v>
        <stp/>
        <stp>21422436</stp>
        <stp>@bh,AUDUSD,h4,close,20</stp>
        <tr r="C22" s="1"/>
      </tp>
      <tp>
        <v>0.66261999999999999</v>
        <stp/>
        <stp>21422436</stp>
        <stp>@bh,AUDUSD,h4,close,21</stp>
        <tr r="C23" s="1"/>
      </tp>
      <tp>
        <v>0.66139000000000003</v>
        <stp/>
        <stp>21422436</stp>
        <stp>@bh,AUDUSD,h4,close,22</stp>
        <tr r="C24" s="1"/>
      </tp>
      <tp>
        <v>0.66103999999999996</v>
        <stp/>
        <stp>21422436</stp>
        <stp>@bh,AUDUSD,h4,close,23</stp>
        <tr r="C25" s="1"/>
      </tp>
      <tp>
        <v>1.3032900000000001</v>
        <stp/>
        <stp>21422436</stp>
        <stp>@bh,GBPUSD,h1,close,19</stp>
        <tr r="O21" s="3"/>
      </tp>
      <tp>
        <v>1.3033699999999999</v>
        <stp/>
        <stp>21422436</stp>
        <stp>@bh,GBPUSD,h1,close,18</stp>
        <tr r="O20" s="3"/>
      </tp>
      <tp>
        <v>1.3025599999999999</v>
        <stp/>
        <stp>21422436</stp>
        <stp>@bh,GBPUSD,h1,close,13</stp>
        <tr r="O15" s="3"/>
      </tp>
      <tp>
        <v>1.3028200000000001</v>
        <stp/>
        <stp>21422436</stp>
        <stp>@bh,GBPUSD,h1,close,12</stp>
        <tr r="O14" s="3"/>
      </tp>
      <tp>
        <v>1.30271</v>
        <stp/>
        <stp>21422436</stp>
        <stp>@bh,GBPUSD,h1,close,11</stp>
        <tr r="O13" s="3"/>
      </tp>
      <tp>
        <v>1.3026599999999999</v>
        <stp/>
        <stp>21422436</stp>
        <stp>@bh,GBPUSD,h1,close,10</stp>
        <tr r="O12" s="3"/>
      </tp>
      <tp>
        <v>1.30321</v>
        <stp/>
        <stp>21422436</stp>
        <stp>@bh,GBPUSD,h1,close,17</stp>
        <tr r="O19" s="3"/>
      </tp>
      <tp>
        <v>1.3031900000000001</v>
        <stp/>
        <stp>21422436</stp>
        <stp>@bh,GBPUSD,h1,close,16</stp>
        <tr r="O18" s="3"/>
      </tp>
      <tp>
        <v>1.30338</v>
        <stp/>
        <stp>21422436</stp>
        <stp>@bh,GBPUSD,h1,close,15</stp>
        <tr r="O17" s="3"/>
      </tp>
      <tp>
        <v>1.3034600000000001</v>
        <stp/>
        <stp>21422436</stp>
        <stp>@bh,GBPUSD,h1,close,14</stp>
        <tr r="O16" s="3"/>
      </tp>
      <tp>
        <v>190.489</v>
        <stp/>
        <stp>21422436</stp>
        <stp>@bh,GBPJPY,h4,close,8</stp>
        <tr r="T10" s="1"/>
      </tp>
      <tp>
        <v>190.71100000000001</v>
        <stp/>
        <stp>21422436</stp>
        <stp>@bh,GBPJPY,h4,close,9</stp>
        <tr r="T11" s="1"/>
      </tp>
      <tp>
        <v>189.673</v>
        <stp/>
        <stp>21422436</stp>
        <stp>@bh,GBPJPY,h1,close,9</stp>
        <tr r="T11" s="3"/>
      </tp>
      <tp>
        <v>190.005</v>
        <stp/>
        <stp>21422436</stp>
        <stp>@bh,GBPJPY,h1,close,8</stp>
        <tr r="T10" s="3"/>
      </tp>
      <tp>
        <v>190.34700000000001</v>
        <stp/>
        <stp>21422436</stp>
        <stp>@bh,GBPJPY,h1,close,5</stp>
        <tr r="T7" s="3"/>
      </tp>
      <tp>
        <v>190.36</v>
        <stp/>
        <stp>21422436</stp>
        <stp>@bh,GBPJPY,h4,close,0</stp>
        <tr r="T2" s="1"/>
      </tp>
      <tp>
        <v>190.625</v>
        <stp/>
        <stp>21422436</stp>
        <stp>@bh,GBPJPY,h1,close,4</stp>
        <tr r="T6" s="3"/>
      </tp>
      <tp>
        <v>190.16499999999999</v>
        <stp/>
        <stp>21422436</stp>
        <stp>@bh,GBPJPY,h4,close,1</stp>
        <tr r="T3" s="1"/>
      </tp>
      <tp>
        <v>190.214</v>
        <stp/>
        <stp>21422436</stp>
        <stp>@bh,GBPJPY,h1,close,7</stp>
        <tr r="T9" s="3"/>
      </tp>
      <tp>
        <v>190.03100000000001</v>
        <stp/>
        <stp>21422436</stp>
        <stp>@bh,GBPJPY,h4,close,2</stp>
        <tr r="T4" s="1"/>
      </tp>
      <tp>
        <v>190.03100000000001</v>
        <stp/>
        <stp>21422436</stp>
        <stp>@bh,GBPJPY,h1,close,6</stp>
        <tr r="T8" s="3"/>
      </tp>
      <tp>
        <v>189.76</v>
        <stp/>
        <stp>21422436</stp>
        <stp>@bh,GBPJPY,h4,close,3</stp>
        <tr r="T5" s="1"/>
      </tp>
      <tp>
        <v>190.18299999999999</v>
        <stp/>
        <stp>21422436</stp>
        <stp>@bh,GBPJPY,h1,close,1</stp>
        <tr r="T3" s="3"/>
      </tp>
      <tp>
        <v>189.589</v>
        <stp/>
        <stp>21422436</stp>
        <stp>@bh,GBPJPY,h4,close,4</stp>
        <tr r="T6" s="1"/>
      </tp>
      <tp>
        <v>190.36</v>
        <stp/>
        <stp>21422436</stp>
        <stp>@bh,GBPJPY,h1,close,0</stp>
        <tr r="T2" s="3"/>
      </tp>
      <tp>
        <v>189.32900000000001</v>
        <stp/>
        <stp>21422436</stp>
        <stp>@bh,GBPJPY,h4,close,5</stp>
        <tr r="T7" s="1"/>
      </tp>
      <tp>
        <v>190.346</v>
        <stp/>
        <stp>21422436</stp>
        <stp>@bh,GBPJPY,h1,close,3</stp>
        <tr r="T5" s="3"/>
      </tp>
      <tp>
        <v>189.376</v>
        <stp/>
        <stp>21422436</stp>
        <stp>@bh,GBPJPY,h4,close,6</stp>
        <tr r="T8" s="1"/>
      </tp>
      <tp>
        <v>190.16499999999999</v>
        <stp/>
        <stp>21422436</stp>
        <stp>@bh,GBPJPY,h1,close,2</stp>
        <tr r="T4" s="3"/>
      </tp>
      <tp>
        <v>190.41499999999999</v>
        <stp/>
        <stp>21422436</stp>
        <stp>@bh,GBPJPY,h4,close,7</stp>
        <tr r="T9" s="1"/>
      </tp>
      <tp>
        <v>1.9410000000000001</v>
        <stp/>
        <stp>21422436</stp>
        <stp>@bh,GBPAUD,d1,close,8</stp>
        <tr r="P10" s="2"/>
      </tp>
      <tp>
        <v>1.9337800000000001</v>
        <stp/>
        <stp>21422436</stp>
        <stp>@bh,GBPAUD,d1,close,9</stp>
        <tr r="P11" s="2"/>
      </tp>
      <tp>
        <v>1.9369700000000001</v>
        <stp/>
        <stp>21422436</stp>
        <stp>@bh,GBPAUD,d1,close,0</stp>
        <tr r="P2" s="2"/>
      </tp>
      <tp>
        <v>1.93174</v>
        <stp/>
        <stp>21422436</stp>
        <stp>@bh,GBPAUD,d1,close,1</stp>
        <tr r="P3" s="2"/>
      </tp>
      <tp>
        <v>1.9295500000000001</v>
        <stp/>
        <stp>21422436</stp>
        <stp>@bh,GBPAUD,d1,close,2</stp>
        <tr r="P4" s="2"/>
      </tp>
      <tp>
        <v>1.9406300000000001</v>
        <stp/>
        <stp>21422436</stp>
        <stp>@bh,GBPAUD,d1,close,3</stp>
        <tr r="P5" s="2"/>
      </tp>
      <tp>
        <v>1.94432</v>
        <stp/>
        <stp>21422436</stp>
        <stp>@bh,GBPAUD,d1,close,4</stp>
        <tr r="P6" s="2"/>
      </tp>
      <tp>
        <v>1.94418</v>
        <stp/>
        <stp>21422436</stp>
        <stp>@bh,GBPAUD,d1,close,5</stp>
        <tr r="P7" s="2"/>
      </tp>
      <tp>
        <v>1.93889</v>
        <stp/>
        <stp>21422436</stp>
        <stp>@bh,GBPAUD,d1,close,6</stp>
        <tr r="P8" s="2"/>
      </tp>
      <tp>
        <v>1.93818</v>
        <stp/>
        <stp>21422436</stp>
        <stp>@bh,GBPAUD,d1,close,7</stp>
        <tr r="P9" s="2"/>
      </tp>
      <tp>
        <v>2.1209899999999999</v>
        <stp/>
        <stp>21422436</stp>
        <stp>@bh,GBPNZD,h1,close,7</stp>
        <tr r="Q9" s="3"/>
      </tp>
      <tp>
        <v>2.1198700000000001</v>
        <stp/>
        <stp>21422436</stp>
        <stp>@bh,GBPNZD,h4,close,2</stp>
        <tr r="Q4" s="1"/>
      </tp>
      <tp>
        <v>2.1198700000000001</v>
        <stp/>
        <stp>21422436</stp>
        <stp>@bh,GBPNZD,h1,close,6</stp>
        <tr r="Q8" s="3"/>
      </tp>
      <tp>
        <v>2.1205799999999999</v>
        <stp/>
        <stp>21422436</stp>
        <stp>@bh,GBPNZD,h4,close,3</stp>
        <tr r="Q5" s="1"/>
      </tp>
      <tp>
        <v>2.1217100000000002</v>
        <stp/>
        <stp>21422436</stp>
        <stp>@bh,GBPNZD,h1,close,5</stp>
        <tr r="Q7" s="3"/>
      </tp>
      <tp>
        <v>2.1241099999999999</v>
        <stp/>
        <stp>21422436</stp>
        <stp>@bh,GBPNZD,h4,close,0</stp>
        <tr r="Q2" s="1"/>
      </tp>
      <tp>
        <v>2.1230799999999999</v>
        <stp/>
        <stp>21422436</stp>
        <stp>@bh,GBPNZD,h1,close,4</stp>
        <tr r="Q6" s="3"/>
      </tp>
      <tp>
        <v>2.1225000000000001</v>
        <stp/>
        <stp>21422436</stp>
        <stp>@bh,GBPNZD,h4,close,1</stp>
        <tr r="Q3" s="1"/>
      </tp>
      <tp>
        <v>2.1221899999999998</v>
        <stp/>
        <stp>21422436</stp>
        <stp>@bh,GBPNZD,h1,close,3</stp>
        <tr r="Q5" s="3"/>
      </tp>
      <tp>
        <v>2.1194999999999999</v>
        <stp/>
        <stp>21422436</stp>
        <stp>@bh,GBPNZD,h4,close,6</stp>
        <tr r="Q8" s="1"/>
      </tp>
      <tp>
        <v>2.1225000000000001</v>
        <stp/>
        <stp>21422436</stp>
        <stp>@bh,GBPNZD,h1,close,2</stp>
        <tr r="Q4" s="3"/>
      </tp>
      <tp>
        <v>2.1200399999999999</v>
        <stp/>
        <stp>21422436</stp>
        <stp>@bh,GBPNZD,h4,close,7</stp>
        <tr r="Q9" s="1"/>
      </tp>
      <tp>
        <v>2.1230799999999999</v>
        <stp/>
        <stp>21422436</stp>
        <stp>@bh,GBPNZD,h1,close,1</stp>
        <tr r="Q3" s="3"/>
      </tp>
      <tp>
        <v>2.11497</v>
        <stp/>
        <stp>21422436</stp>
        <stp>@bh,GBPNZD,h4,close,4</stp>
        <tr r="Q6" s="1"/>
      </tp>
      <tp>
        <v>2.1241099999999999</v>
        <stp/>
        <stp>21422436</stp>
        <stp>@bh,GBPNZD,h1,close,0</stp>
        <tr r="Q2" s="3"/>
      </tp>
      <tp>
        <v>2.1178400000000002</v>
        <stp/>
        <stp>21422436</stp>
        <stp>@bh,GBPNZD,h4,close,5</stp>
        <tr r="Q7" s="1"/>
      </tp>
      <tp>
        <v>2.1186799999999999</v>
        <stp/>
        <stp>21422436</stp>
        <stp>@bh,GBPNZD,h4,close,8</stp>
        <tr r="Q10" s="1"/>
      </tp>
      <tp>
        <v>2.1212300000000002</v>
        <stp/>
        <stp>21422436</stp>
        <stp>@bh,GBPNZD,h4,close,9</stp>
        <tr r="Q11" s="1"/>
      </tp>
      <tp>
        <v>2.1189100000000001</v>
        <stp/>
        <stp>21422436</stp>
        <stp>@bh,GBPNZD,h1,close,9</stp>
        <tr r="Q11" s="3"/>
      </tp>
      <tp>
        <v>2.11896</v>
        <stp/>
        <stp>21422436</stp>
        <stp>@bh,GBPNZD,h1,close,8</stp>
        <tr r="Q10" s="3"/>
      </tp>
      <tp>
        <v>1.1094999999999999</v>
        <stp/>
        <stp>21422436</stp>
        <stp>@bh,GBPCHF,d1,close,5</stp>
        <tr r="S7" s="2"/>
      </tp>
      <tp>
        <v>1.1214599999999999</v>
        <stp/>
        <stp>21422436</stp>
        <stp>@bh,GBPCHF,d1,close,4</stp>
        <tr r="S6" s="2"/>
      </tp>
      <tp>
        <v>1.1043700000000001</v>
        <stp/>
        <stp>21422436</stp>
        <stp>@bh,GBPCHF,d1,close,7</stp>
        <tr r="S9" s="2"/>
      </tp>
      <tp>
        <v>1.11232</v>
        <stp/>
        <stp>21422436</stp>
        <stp>@bh,GBPCHF,d1,close,6</stp>
        <tr r="S8" s="2"/>
      </tp>
      <tp>
        <v>1.1131</v>
        <stp/>
        <stp>21422436</stp>
        <stp>@bh,GBPCHF,d1,close,1</stp>
        <tr r="S3" s="2"/>
      </tp>
      <tp>
        <v>1.75143</v>
        <stp/>
        <stp>21422436</stp>
        <stp>@bh,GBPCAD,d1,close,8</stp>
        <tr r="R10" s="2"/>
      </tp>
      <tp>
        <v>1.1149</v>
        <stp/>
        <stp>21422436</stp>
        <stp>@bh,GBPCHF,d1,close,0</stp>
        <tr r="S2" s="2"/>
      </tp>
      <tp>
        <v>1.7507699999999999</v>
        <stp/>
        <stp>21422436</stp>
        <stp>@bh,GBPCAD,d1,close,9</stp>
        <tr r="R11" s="2"/>
      </tp>
      <tp>
        <v>1.1209800000000001</v>
        <stp/>
        <stp>21422436</stp>
        <stp>@bh,GBPCHF,d1,close,3</stp>
        <tr r="S5" s="2"/>
      </tp>
      <tp>
        <v>1.1209100000000001</v>
        <stp/>
        <stp>21422436</stp>
        <stp>@bh,GBPCHF,d1,close,2</stp>
        <tr r="S4" s="2"/>
      </tp>
      <tp>
        <v>1.7644599999999999</v>
        <stp/>
        <stp>21422436</stp>
        <stp>@bh,GBPCAD,d1,close,4</stp>
        <tr r="R6" s="2"/>
      </tp>
      <tp>
        <v>1.7587999999999999</v>
        <stp/>
        <stp>21422436</stp>
        <stp>@bh,GBPCAD,d1,close,5</stp>
        <tr r="R7" s="2"/>
      </tp>
      <tp>
        <v>1.76295</v>
        <stp/>
        <stp>21422436</stp>
        <stp>@bh,GBPCAD,d1,close,6</stp>
        <tr r="R8" s="2"/>
      </tp>
      <tp>
        <v>1.7541500000000001</v>
        <stp/>
        <stp>21422436</stp>
        <stp>@bh,GBPCAD,d1,close,7</stp>
        <tr r="R9" s="2"/>
      </tp>
      <tp>
        <v>1.1048500000000001</v>
        <stp/>
        <stp>21422436</stp>
        <stp>@bh,GBPCHF,d1,close,9</stp>
        <tr r="S11" s="2"/>
      </tp>
      <tp>
        <v>1.77498</v>
        <stp/>
        <stp>21422436</stp>
        <stp>@bh,GBPCAD,d1,close,0</stp>
        <tr r="R2" s="2"/>
      </tp>
      <tp>
        <v>1.10371</v>
        <stp/>
        <stp>21422436</stp>
        <stp>@bh,GBPCHF,d1,close,8</stp>
        <tr r="S10" s="2"/>
      </tp>
      <tp>
        <v>1.7751699999999999</v>
        <stp/>
        <stp>21422436</stp>
        <stp>@bh,GBPCAD,d1,close,1</stp>
        <tr r="R3" s="2"/>
      </tp>
      <tp>
        <v>1.77101</v>
        <stp/>
        <stp>21422436</stp>
        <stp>@bh,GBPCAD,d1,close,2</stp>
        <tr r="R4" s="2"/>
      </tp>
      <tp>
        <v>1.7706500000000001</v>
        <stp/>
        <stp>21422436</stp>
        <stp>@bh,GBPCAD,d1,close,3</stp>
        <tr r="R5" s="2"/>
      </tp>
      <tp>
        <v>1.93079</v>
        <stp/>
        <stp>21422436</stp>
        <stp>@bh,GBPAUD,h1,close,8</stp>
        <tr r="P10" s="3"/>
      </tp>
      <tp>
        <v>1.9313400000000001</v>
        <stp/>
        <stp>21422436</stp>
        <stp>@bh,GBPAUD,h1,close,9</stp>
        <tr r="P11" s="3"/>
      </tp>
      <tp>
        <v>1.9320299999999999</v>
        <stp/>
        <stp>21422436</stp>
        <stp>@bh,GBPAUD,h4,close,9</stp>
        <tr r="P11" s="1"/>
      </tp>
      <tp>
        <v>1.93225</v>
        <stp/>
        <stp>21422436</stp>
        <stp>@bh,GBPAUD,h4,close,8</stp>
        <tr r="P10" s="1"/>
      </tp>
      <tp>
        <v>1.9369700000000001</v>
        <stp/>
        <stp>21422436</stp>
        <stp>@bh,GBPAUD,h1,close,0</stp>
        <tr r="P2" s="3"/>
      </tp>
      <tp>
        <v>1.93174</v>
        <stp/>
        <stp>21422436</stp>
        <stp>@bh,GBPAUD,h4,close,5</stp>
        <tr r="P7" s="1"/>
      </tp>
      <tp>
        <v>1.9356199999999999</v>
        <stp/>
        <stp>21422436</stp>
        <stp>@bh,GBPAUD,h1,close,1</stp>
        <tr r="P3" s="3"/>
      </tp>
      <tp>
        <v>1.9309799999999999</v>
        <stp/>
        <stp>21422436</stp>
        <stp>@bh,GBPAUD,h4,close,4</stp>
        <tr r="P6" s="1"/>
      </tp>
      <tp>
        <v>1.9345699999999999</v>
        <stp/>
        <stp>21422436</stp>
        <stp>@bh,GBPAUD,h1,close,2</stp>
        <tr r="P4" s="3"/>
      </tp>
      <tp>
        <v>1.93232</v>
        <stp/>
        <stp>21422436</stp>
        <stp>@bh,GBPAUD,h4,close,7</stp>
        <tr r="P9" s="1"/>
      </tp>
      <tp>
        <v>1.9338900000000001</v>
        <stp/>
        <stp>21422436</stp>
        <stp>@bh,GBPAUD,h1,close,3</stp>
        <tr r="P5" s="3"/>
      </tp>
      <tp>
        <v>1.9334800000000001</v>
        <stp/>
        <stp>21422436</stp>
        <stp>@bh,GBPAUD,h4,close,6</stp>
        <tr r="P8" s="1"/>
      </tp>
      <tp>
        <v>1.93418</v>
        <stp/>
        <stp>21422436</stp>
        <stp>@bh,GBPAUD,h1,close,4</stp>
        <tr r="P6" s="3"/>
      </tp>
      <tp>
        <v>1.9345699999999999</v>
        <stp/>
        <stp>21422436</stp>
        <stp>@bh,GBPAUD,h4,close,1</stp>
        <tr r="P3" s="1"/>
      </tp>
      <tp>
        <v>1.9334100000000001</v>
        <stp/>
        <stp>21422436</stp>
        <stp>@bh,GBPAUD,h1,close,5</stp>
        <tr r="P7" s="3"/>
      </tp>
      <tp>
        <v>1.9369700000000001</v>
        <stp/>
        <stp>21422436</stp>
        <stp>@bh,GBPAUD,h4,close,0</stp>
        <tr r="P2" s="1"/>
      </tp>
      <tp>
        <v>1.93188</v>
        <stp/>
        <stp>21422436</stp>
        <stp>@bh,GBPAUD,h1,close,6</stp>
        <tr r="P8" s="3"/>
      </tp>
      <tp>
        <v>1.9314</v>
        <stp/>
        <stp>21422436</stp>
        <stp>@bh,GBPAUD,h4,close,3</stp>
        <tr r="P5" s="1"/>
      </tp>
      <tp>
        <v>1.9325600000000001</v>
        <stp/>
        <stp>21422436</stp>
        <stp>@bh,GBPAUD,h1,close,7</stp>
        <tr r="P9" s="3"/>
      </tp>
      <tp>
        <v>1.93188</v>
        <stp/>
        <stp>21422436</stp>
        <stp>@bh,GBPAUD,h4,close,2</stp>
        <tr r="P4" s="1"/>
      </tp>
      <tp>
        <v>2.1209899999999999</v>
        <stp/>
        <stp>21422436</stp>
        <stp>@bh,GBPNZD,d1,close,7</stp>
        <tr r="Q9" s="2"/>
      </tp>
      <tp>
        <v>2.1164700000000001</v>
        <stp/>
        <stp>21422436</stp>
        <stp>@bh,GBPNZD,d1,close,6</stp>
        <tr r="Q8" s="2"/>
      </tp>
      <tp>
        <v>2.13856</v>
        <stp/>
        <stp>21422436</stp>
        <stp>@bh,GBPNZD,d1,close,5</stp>
        <tr r="Q7" s="2"/>
      </tp>
      <tp>
        <v>2.1476899999999999</v>
        <stp/>
        <stp>21422436</stp>
        <stp>@bh,GBPNZD,d1,close,4</stp>
        <tr r="Q6" s="2"/>
      </tp>
      <tp>
        <v>2.1378300000000001</v>
        <stp/>
        <stp>21422436</stp>
        <stp>@bh,GBPNZD,d1,close,3</stp>
        <tr r="Q5" s="2"/>
      </tp>
      <tp>
        <v>2.1243799999999999</v>
        <stp/>
        <stp>21422436</stp>
        <stp>@bh,GBPNZD,d1,close,2</stp>
        <tr r="Q4" s="2"/>
      </tp>
      <tp>
        <v>2.1178400000000002</v>
        <stp/>
        <stp>21422436</stp>
        <stp>@bh,GBPNZD,d1,close,1</stp>
        <tr r="Q3" s="2"/>
      </tp>
      <tp>
        <v>2.1241099999999999</v>
        <stp/>
        <stp>21422436</stp>
        <stp>@bh,GBPNZD,d1,close,0</stp>
        <tr r="Q2" s="2"/>
      </tp>
      <tp>
        <v>2.1198299999999999</v>
        <stp/>
        <stp>21422436</stp>
        <stp>@bh,GBPNZD,d1,close,9</stp>
        <tr r="Q11" s="2"/>
      </tp>
      <tp>
        <v>2.12608</v>
        <stp/>
        <stp>21422436</stp>
        <stp>@bh,GBPNZD,d1,close,8</stp>
        <tr r="Q10" s="2"/>
      </tp>
      <tp>
        <v>1.1140000000000001</v>
        <stp/>
        <stp>21422436</stp>
        <stp>@bh,GBPCHF,h1,close,5</stp>
        <tr r="S7" s="3"/>
      </tp>
      <tp>
        <v>1.1149</v>
        <stp/>
        <stp>21422436</stp>
        <stp>@bh,GBPCHF,h4,close,0</stp>
        <tr r="S2" s="1"/>
      </tp>
      <tp>
        <v>1.76997</v>
        <stp/>
        <stp>21422436</stp>
        <stp>@bh,GBPCAD,h4,close,9</stp>
        <tr r="R11" s="1"/>
      </tp>
      <tp>
        <v>1.1156200000000001</v>
        <stp/>
        <stp>21422436</stp>
        <stp>@bh,GBPCHF,h1,close,4</stp>
        <tr r="S6" s="3"/>
      </tp>
      <tp>
        <v>1.1140300000000001</v>
        <stp/>
        <stp>21422436</stp>
        <stp>@bh,GBPCHF,h4,close,1</stp>
        <tr r="S3" s="1"/>
      </tp>
      <tp>
        <v>1.7702199999999999</v>
        <stp/>
        <stp>21422436</stp>
        <stp>@bh,GBPCAD,h4,close,8</stp>
        <tr r="R10" s="1"/>
      </tp>
      <tp>
        <v>1.11385</v>
        <stp/>
        <stp>21422436</stp>
        <stp>@bh,GBPCHF,h1,close,7</stp>
        <tr r="S9" s="3"/>
      </tp>
      <tp>
        <v>1.1128899999999999</v>
        <stp/>
        <stp>21422436</stp>
        <stp>@bh,GBPCHF,h4,close,2</stp>
        <tr r="S4" s="1"/>
      </tp>
      <tp>
        <v>1.1128899999999999</v>
        <stp/>
        <stp>21422436</stp>
        <stp>@bh,GBPCHF,h1,close,6</stp>
        <tr r="S8" s="3"/>
      </tp>
      <tp>
        <v>1.1127</v>
        <stp/>
        <stp>21422436</stp>
        <stp>@bh,GBPCHF,h4,close,3</stp>
        <tr r="S5" s="1"/>
      </tp>
      <tp>
        <v>1.1139399999999999</v>
        <stp/>
        <stp>21422436</stp>
        <stp>@bh,GBPCHF,h1,close,1</stp>
        <tr r="S3" s="3"/>
      </tp>
      <tp>
        <v>1.1125400000000001</v>
        <stp/>
        <stp>21422436</stp>
        <stp>@bh,GBPCHF,h4,close,4</stp>
        <tr r="S6" s="1"/>
      </tp>
      <tp>
        <v>1.7730300000000001</v>
        <stp/>
        <stp>21422436</stp>
        <stp>@bh,GBPCAD,h1,close,8</stp>
        <tr r="R10" s="3"/>
      </tp>
      <tp>
        <v>1.1149</v>
        <stp/>
        <stp>21422436</stp>
        <stp>@bh,GBPCHF,h1,close,0</stp>
        <tr r="S2" s="3"/>
      </tp>
      <tp>
        <v>1.1131</v>
        <stp/>
        <stp>21422436</stp>
        <stp>@bh,GBPCHF,h4,close,5</stp>
        <tr r="S7" s="1"/>
      </tp>
      <tp>
        <v>1.7728200000000001</v>
        <stp/>
        <stp>21422436</stp>
        <stp>@bh,GBPCAD,h1,close,9</stp>
        <tr r="R11" s="3"/>
      </tp>
      <tp>
        <v>1.11436</v>
        <stp/>
        <stp>21422436</stp>
        <stp>@bh,GBPCHF,h1,close,3</stp>
        <tr r="S5" s="3"/>
      </tp>
      <tp>
        <v>1.1151500000000001</v>
        <stp/>
        <stp>21422436</stp>
        <stp>@bh,GBPCHF,h4,close,6</stp>
        <tr r="S8" s="1"/>
      </tp>
      <tp>
        <v>1.1140300000000001</v>
        <stp/>
        <stp>21422436</stp>
        <stp>@bh,GBPCHF,h1,close,2</stp>
        <tr r="S4" s="3"/>
      </tp>
      <tp>
        <v>1.1191599999999999</v>
        <stp/>
        <stp>21422436</stp>
        <stp>@bh,GBPCHF,h4,close,7</stp>
        <tr r="S9" s="1"/>
      </tp>
      <tp>
        <v>1.1181700000000001</v>
        <stp/>
        <stp>21422436</stp>
        <stp>@bh,GBPCHF,h4,close,8</stp>
        <tr r="S10" s="1"/>
      </tp>
      <tp>
        <v>1.77352</v>
        <stp/>
        <stp>21422436</stp>
        <stp>@bh,GBPCAD,h1,close,4</stp>
        <tr r="R6" s="3"/>
      </tp>
      <tp>
        <v>1.77386</v>
        <stp/>
        <stp>21422436</stp>
        <stp>@bh,GBPCAD,h4,close,1</stp>
        <tr r="R3" s="1"/>
      </tp>
      <tp>
        <v>1.1189100000000001</v>
        <stp/>
        <stp>21422436</stp>
        <stp>@bh,GBPCHF,h4,close,9</stp>
        <tr r="S11" s="1"/>
      </tp>
      <tp>
        <v>1.77277</v>
        <stp/>
        <stp>21422436</stp>
        <stp>@bh,GBPCAD,h1,close,5</stp>
        <tr r="R7" s="3"/>
      </tp>
      <tp>
        <v>1.77498</v>
        <stp/>
        <stp>21422436</stp>
        <stp>@bh,GBPCAD,h4,close,0</stp>
        <tr r="R2" s="1"/>
      </tp>
      <tp>
        <v>1.77121</v>
        <stp/>
        <stp>21422436</stp>
        <stp>@bh,GBPCAD,h1,close,6</stp>
        <tr r="R8" s="3"/>
      </tp>
      <tp>
        <v>1.77346</v>
        <stp/>
        <stp>21422436</stp>
        <stp>@bh,GBPCAD,h4,close,3</stp>
        <tr r="R5" s="1"/>
      </tp>
      <tp>
        <v>1.7723599999999999</v>
        <stp/>
        <stp>21422436</stp>
        <stp>@bh,GBPCAD,h1,close,7</stp>
        <tr r="R9" s="3"/>
      </tp>
      <tp>
        <v>1.77121</v>
        <stp/>
        <stp>21422436</stp>
        <stp>@bh,GBPCAD,h4,close,2</stp>
        <tr r="R4" s="1"/>
      </tp>
      <tp>
        <v>1.11253</v>
        <stp/>
        <stp>21422436</stp>
        <stp>@bh,GBPCHF,h1,close,9</stp>
        <tr r="S11" s="3"/>
      </tp>
      <tp>
        <v>1.77498</v>
        <stp/>
        <stp>21422436</stp>
        <stp>@bh,GBPCAD,h1,close,0</stp>
        <tr r="R2" s="3"/>
      </tp>
      <tp>
        <v>1.7751699999999999</v>
        <stp/>
        <stp>21422436</stp>
        <stp>@bh,GBPCAD,h4,close,5</stp>
        <tr r="R7" s="1"/>
      </tp>
      <tp>
        <v>1.1123099999999999</v>
        <stp/>
        <stp>21422436</stp>
        <stp>@bh,GBPCHF,h1,close,8</stp>
        <tr r="S10" s="3"/>
      </tp>
      <tp>
        <v>1.77434</v>
        <stp/>
        <stp>21422436</stp>
        <stp>@bh,GBPCAD,h1,close,1</stp>
        <tr r="R3" s="3"/>
      </tp>
      <tp>
        <v>1.77485</v>
        <stp/>
        <stp>21422436</stp>
        <stp>@bh,GBPCAD,h4,close,4</stp>
        <tr r="R6" s="1"/>
      </tp>
      <tp>
        <v>1.77386</v>
        <stp/>
        <stp>21422436</stp>
        <stp>@bh,GBPCAD,h1,close,2</stp>
        <tr r="R4" s="3"/>
      </tp>
      <tp>
        <v>1.7743</v>
        <stp/>
        <stp>21422436</stp>
        <stp>@bh,GBPCAD,h4,close,7</stp>
        <tr r="R9" s="1"/>
      </tp>
      <tp>
        <v>1.77227</v>
        <stp/>
        <stp>21422436</stp>
        <stp>@bh,GBPCAD,h1,close,3</stp>
        <tr r="R5" s="3"/>
      </tp>
      <tp>
        <v>1.7753699999999999</v>
        <stp/>
        <stp>21422436</stp>
        <stp>@bh,GBPCAD,h4,close,6</stp>
        <tr r="R8" s="1"/>
      </tp>
      <tp>
        <v>187.75700000000001</v>
        <stp/>
        <stp>21422436</stp>
        <stp>@bh,GBPJPY,d1,close,9</stp>
        <tr r="T11" s="2"/>
      </tp>
      <tp>
        <v>187.02099999999999</v>
        <stp/>
        <stp>21422436</stp>
        <stp>@bh,GBPJPY,d1,close,8</stp>
        <tr r="T10" s="2"/>
      </tp>
      <tp>
        <v>188.929</v>
        <stp/>
        <stp>21422436</stp>
        <stp>@bh,GBPJPY,d1,close,5</stp>
        <tr r="T7" s="2"/>
      </tp>
      <tp>
        <v>191.874</v>
        <stp/>
        <stp>21422436</stp>
        <stp>@bh,GBPJPY,d1,close,4</stp>
        <tr r="T6" s="2"/>
      </tp>
      <tp>
        <v>187.887</v>
        <stp/>
        <stp>21422436</stp>
        <stp>@bh,GBPJPY,d1,close,7</stp>
        <tr r="T9" s="2"/>
      </tp>
      <tp>
        <v>188.88200000000001</v>
        <stp/>
        <stp>21422436</stp>
        <stp>@bh,GBPJPY,d1,close,6</stp>
        <tr r="T8" s="2"/>
      </tp>
      <tp>
        <v>189.32900000000001</v>
        <stp/>
        <stp>21422436</stp>
        <stp>@bh,GBPJPY,d1,close,1</stp>
        <tr r="T3" s="2"/>
      </tp>
      <tp>
        <v>190.36</v>
        <stp/>
        <stp>21422436</stp>
        <stp>@bh,GBPJPY,d1,close,0</stp>
        <tr r="T2" s="2"/>
      </tp>
      <tp>
        <v>191.05199999999999</v>
        <stp/>
        <stp>21422436</stp>
        <stp>@bh,GBPJPY,d1,close,3</stp>
        <tr r="T5" s="2"/>
      </tp>
      <tp>
        <v>190.44499999999999</v>
        <stp/>
        <stp>21422436</stp>
        <stp>@bh,GBPJPY,d1,close,2</stp>
        <tr r="T4" s="2"/>
      </tp>
      <tp>
        <v>1.27579</v>
        <stp/>
        <stp>21422436</stp>
        <stp>@bh,GBPUSD,d1,close,8</stp>
        <tr r="O10" s="2"/>
      </tp>
      <tp>
        <v>1.27484</v>
        <stp/>
        <stp>21422436</stp>
        <stp>@bh,GBPUSD,d1,close,9</stp>
        <tr r="O11" s="2"/>
      </tp>
      <tp>
        <v>1.2862899999999999</v>
        <stp/>
        <stp>21422436</stp>
        <stp>@bh,GBPUSD,d1,close,6</stp>
        <tr r="O8" s="2"/>
      </tp>
      <tp>
        <v>1.2765200000000001</v>
        <stp/>
        <stp>21422436</stp>
        <stp>@bh,GBPUSD,d1,close,7</stp>
        <tr r="O9" s="2"/>
      </tp>
      <tp>
        <v>1.2853300000000001</v>
        <stp/>
        <stp>21422436</stp>
        <stp>@bh,GBPUSD,d1,close,4</stp>
        <tr r="O6" s="2"/>
      </tp>
      <tp>
        <v>1.2825500000000001</v>
        <stp/>
        <stp>21422436</stp>
        <stp>@bh,GBPUSD,d1,close,5</stp>
        <tr r="O7" s="2"/>
      </tp>
      <tp>
        <v>1.2990699999999999</v>
        <stp/>
        <stp>21422436</stp>
        <stp>@bh,GBPUSD,d1,close,2</stp>
        <tr r="O4" s="2"/>
      </tp>
      <tp>
        <v>1.2945</v>
        <stp/>
        <stp>21422436</stp>
        <stp>@bh,GBPUSD,d1,close,3</stp>
        <tr r="O5" s="2"/>
      </tp>
      <tp>
        <v>1.3048999999999999</v>
        <stp/>
        <stp>21422436</stp>
        <stp>@bh,GBPUSD,d1,close,0</stp>
        <tr r="O2" s="2"/>
      </tp>
      <tp>
        <v>1.3033699999999999</v>
        <stp/>
        <stp>21422436</stp>
        <stp>@bh,GBPUSD,d1,close,1</stp>
        <tr r="O3" s="2"/>
      </tp>
      <tp>
        <v>1.2979799999999999</v>
        <stp/>
        <stp>21422436</stp>
        <stp>@bh,GBPUSD,h4,close,9</stp>
        <tr r="O11" s="1"/>
      </tp>
      <tp>
        <v>1.30009</v>
        <stp/>
        <stp>21422436</stp>
        <stp>@bh,GBPUSD,h4,close,8</stp>
        <tr r="O10" s="1"/>
      </tp>
      <tp>
        <v>1.30183</v>
        <stp/>
        <stp>21422436</stp>
        <stp>@bh,GBPUSD,h1,close,8</stp>
        <tr r="O10" s="3"/>
      </tp>
      <tp>
        <v>1.3020799999999999</v>
        <stp/>
        <stp>21422436</stp>
        <stp>@bh,GBPUSD,h1,close,9</stp>
        <tr r="O11" s="3"/>
      </tp>
      <tp>
        <v>1.30132</v>
        <stp/>
        <stp>21422436</stp>
        <stp>@bh,GBPUSD,h1,close,6</stp>
        <tr r="O8" s="3"/>
      </tp>
      <tp>
        <v>1.3026599999999999</v>
        <stp/>
        <stp>21422436</stp>
        <stp>@bh,GBPUSD,h4,close,3</stp>
        <tr r="O5" s="1"/>
      </tp>
      <tp>
        <v>1.3015600000000001</v>
        <stp/>
        <stp>21422436</stp>
        <stp>@bh,GBPUSD,h1,close,7</stp>
        <tr r="O9" s="3"/>
      </tp>
      <tp>
        <v>1.30132</v>
        <stp/>
        <stp>21422436</stp>
        <stp>@bh,GBPUSD,h4,close,2</stp>
        <tr r="O4" s="1"/>
      </tp>
      <tp>
        <v>1.3041</v>
        <stp/>
        <stp>21422436</stp>
        <stp>@bh,GBPUSD,h1,close,4</stp>
        <tr r="O6" s="3"/>
      </tp>
      <tp>
        <v>1.3045100000000001</v>
        <stp/>
        <stp>21422436</stp>
        <stp>@bh,GBPUSD,h4,close,1</stp>
        <tr r="O3" s="1"/>
      </tp>
      <tp>
        <v>1.3027200000000001</v>
        <stp/>
        <stp>21422436</stp>
        <stp>@bh,GBPUSD,h1,close,5</stp>
        <tr r="O7" s="3"/>
      </tp>
      <tp>
        <v>1.3048999999999999</v>
        <stp/>
        <stp>21422436</stp>
        <stp>@bh,GBPUSD,h4,close,0</stp>
        <tr r="O2" s="1"/>
      </tp>
      <tp>
        <v>1.3045100000000001</v>
        <stp/>
        <stp>21422436</stp>
        <stp>@bh,GBPUSD,h1,close,2</stp>
        <tr r="O4" s="3"/>
      </tp>
      <tp>
        <v>1.3027200000000001</v>
        <stp/>
        <stp>21422436</stp>
        <stp>@bh,GBPUSD,h4,close,7</stp>
        <tr r="O9" s="1"/>
      </tp>
      <tp>
        <v>1.30318</v>
        <stp/>
        <stp>21422436</stp>
        <stp>@bh,GBPUSD,h1,close,3</stp>
        <tr r="O5" s="3"/>
      </tp>
      <tp>
        <v>1.3025199999999999</v>
        <stp/>
        <stp>21422436</stp>
        <stp>@bh,GBPUSD,h4,close,6</stp>
        <tr r="O8" s="1"/>
      </tp>
      <tp>
        <v>1.3048999999999999</v>
        <stp/>
        <stp>21422436</stp>
        <stp>@bh,GBPUSD,h1,close,0</stp>
        <tr r="O2" s="3"/>
      </tp>
      <tp>
        <v>1.3033699999999999</v>
        <stp/>
        <stp>21422436</stp>
        <stp>@bh,GBPUSD,h4,close,5</stp>
        <tr r="O7" s="1"/>
      </tp>
      <tp>
        <v>1.3049200000000001</v>
        <stp/>
        <stp>21422436</stp>
        <stp>@bh,GBPUSD,h1,close,1</stp>
        <tr r="O3" s="3"/>
      </tp>
      <tp>
        <v>1.3034600000000001</v>
        <stp/>
        <stp>21422436</stp>
        <stp>@bh,GBPUSD,h4,close,4</stp>
        <tr r="O6" s="1"/>
      </tp>
      <tp>
        <v>162.33500000000001</v>
        <stp/>
        <stp>21422436</stp>
        <stp>@bh,EURJPY,h4,close,8</stp>
        <tr r="L10" s="1"/>
      </tp>
      <tp>
        <v>162.75399999999999</v>
        <stp/>
        <stp>21422436</stp>
        <stp>@bh,EURJPY,h4,close,9</stp>
        <tr r="L11" s="1"/>
      </tp>
      <tp>
        <v>161.94800000000001</v>
        <stp/>
        <stp>21422436</stp>
        <stp>@bh,EURJPY,h1,close,9</stp>
        <tr r="L11" s="3"/>
      </tp>
      <tp>
        <v>162.267</v>
        <stp/>
        <stp>21422436</stp>
        <stp>@bh,EURJPY,h1,close,8</stp>
        <tr r="L10" s="3"/>
      </tp>
      <tp>
        <v>162.428</v>
        <stp/>
        <stp>21422436</stp>
        <stp>@bh,EURJPY,h1,close,7</stp>
        <tr r="L9" s="3"/>
      </tp>
      <tp>
        <v>162.36500000000001</v>
        <stp/>
        <stp>21422436</stp>
        <stp>@bh,EURJPY,h4,close,2</stp>
        <tr r="L4" s="1"/>
      </tp>
      <tp>
        <v>162.36500000000001</v>
        <stp/>
        <stp>21422436</stp>
        <stp>@bh,EURJPY,h1,close,6</stp>
        <tr r="L8" s="3"/>
      </tp>
      <tp>
        <v>161.97499999999999</v>
        <stp/>
        <stp>21422436</stp>
        <stp>@bh,EURJPY,h4,close,3</stp>
        <tr r="L5" s="1"/>
      </tp>
      <tp>
        <v>162.43899999999999</v>
        <stp/>
        <stp>21422436</stp>
        <stp>@bh,EURJPY,h1,close,5</stp>
        <tr r="L7" s="3"/>
      </tp>
      <tp>
        <v>162.12200000000001</v>
        <stp/>
        <stp>21422436</stp>
        <stp>@bh,EURJPY,h4,close,0</stp>
        <tr r="L2" s="1"/>
      </tp>
      <tp>
        <v>162.61699999999999</v>
        <stp/>
        <stp>21422436</stp>
        <stp>@bh,EURJPY,h1,close,4</stp>
        <tr r="L6" s="3"/>
      </tp>
      <tp>
        <v>162.17400000000001</v>
        <stp/>
        <stp>21422436</stp>
        <stp>@bh,EURJPY,h4,close,1</stp>
        <tr r="L3" s="1"/>
      </tp>
      <tp>
        <v>162.34299999999999</v>
        <stp/>
        <stp>21422436</stp>
        <stp>@bh,EURJPY,h1,close,3</stp>
        <tr r="L5" s="3"/>
      </tp>
      <tp>
        <v>161.602</v>
        <stp/>
        <stp>21422436</stp>
        <stp>@bh,EURJPY,h4,close,6</stp>
        <tr r="L8" s="1"/>
      </tp>
      <tp>
        <v>162.17400000000001</v>
        <stp/>
        <stp>21422436</stp>
        <stp>@bh,EURJPY,h1,close,2</stp>
        <tr r="L4" s="3"/>
      </tp>
      <tp>
        <v>162.221</v>
        <stp/>
        <stp>21422436</stp>
        <stp>@bh,EURJPY,h4,close,7</stp>
        <tr r="L9" s="1"/>
      </tp>
      <tp>
        <v>161.98099999999999</v>
        <stp/>
        <stp>21422436</stp>
        <stp>@bh,EURJPY,h1,close,1</stp>
        <tr r="L3" s="3"/>
      </tp>
      <tp>
        <v>161.85400000000001</v>
        <stp/>
        <stp>21422436</stp>
        <stp>@bh,EURJPY,h4,close,4</stp>
        <tr r="L6" s="1"/>
      </tp>
      <tp>
        <v>162.12200000000001</v>
        <stp/>
        <stp>21422436</stp>
        <stp>@bh,EURJPY,h1,close,0</stp>
        <tr r="L2" s="3"/>
      </tp>
      <tp>
        <v>161.67699999999999</v>
        <stp/>
        <stp>21422436</stp>
        <stp>@bh,EURJPY,h4,close,5</stp>
        <tr r="L7" s="1"/>
      </tp>
      <tp>
        <v>0.85638999999999998</v>
        <stp/>
        <stp>21422436</stp>
        <stp>@bh,EURGBP,d1,close,9</stp>
        <tr r="J11" s="2"/>
      </tp>
      <tp>
        <v>0.85557000000000005</v>
        <stp/>
        <stp>21422436</stp>
        <stp>@bh,EURGBP,d1,close,8</stp>
        <tr r="J10" s="2"/>
      </tp>
      <tp>
        <v>0.85846</v>
        <stp/>
        <stp>21422436</stp>
        <stp>@bh,EURGBP,d1,close,5</stp>
        <tr r="J7" s="2"/>
      </tp>
      <tp>
        <v>0.85350999999999999</v>
        <stp/>
        <stp>21422436</stp>
        <stp>@bh,EURGBP,d1,close,4</stp>
        <tr r="J6" s="2"/>
      </tp>
      <tp>
        <v>0.85633000000000004</v>
        <stp/>
        <stp>21422436</stp>
        <stp>@bh,EURGBP,d1,close,7</stp>
        <tr r="J9" s="2"/>
      </tp>
      <tp>
        <v>0.85462000000000005</v>
        <stp/>
        <stp>21422436</stp>
        <stp>@bh,EURGBP,d1,close,6</stp>
        <tr r="J8" s="2"/>
      </tp>
      <tp>
        <v>0.85397000000000001</v>
        <stp/>
        <stp>21422436</stp>
        <stp>@bh,EURGBP,d1,close,1</stp>
        <tr r="J3" s="2"/>
      </tp>
      <tp>
        <v>0.85167000000000004</v>
        <stp/>
        <stp>21422436</stp>
        <stp>@bh,EURGBP,d1,close,0</stp>
        <tr r="J2" s="2"/>
      </tp>
      <tp>
        <v>0.85172999999999999</v>
        <stp/>
        <stp>21422436</stp>
        <stp>@bh,EURGBP,d1,close,3</stp>
        <tr r="J5" s="2"/>
      </tp>
      <tp>
        <v>0.85323000000000004</v>
        <stp/>
        <stp>21422436</stp>
        <stp>@bh,EURGBP,d1,close,2</stp>
        <tr r="J4" s="2"/>
      </tp>
      <tp>
        <v>1.6607400000000001</v>
        <stp/>
        <stp>21422436</stp>
        <stp>@bh,EURAUD,d1,close,8</stp>
        <tr r="M10" s="2"/>
      </tp>
      <tp>
        <v>1.65625</v>
        <stp/>
        <stp>21422436</stp>
        <stp>@bh,EURAUD,d1,close,9</stp>
        <tr r="M11" s="2"/>
      </tp>
      <tp>
        <v>1.6465099999999999</v>
        <stp/>
        <stp>21422436</stp>
        <stp>@bh,EURAUD,d1,close,2</stp>
        <tr r="M4" s="2"/>
      </tp>
      <tp>
        <v>1.65337</v>
        <stp/>
        <stp>21422436</stp>
        <stp>@bh,EURAUD,d1,close,3</stp>
        <tr r="M5" s="2"/>
      </tp>
      <tp>
        <v>1.6496900000000001</v>
        <stp/>
        <stp>21422436</stp>
        <stp>@bh,EURAUD,d1,close,0</stp>
        <tr r="M2" s="2"/>
      </tp>
      <tp>
        <v>1.6495899999999999</v>
        <stp/>
        <stp>21422436</stp>
        <stp>@bh,EURAUD,d1,close,1</stp>
        <tr r="M3" s="2"/>
      </tp>
      <tp>
        <v>1.6570199999999999</v>
        <stp/>
        <stp>21422436</stp>
        <stp>@bh,EURAUD,d1,close,6</stp>
        <tr r="M8" s="2"/>
      </tp>
      <tp>
        <v>1.65987</v>
        <stp/>
        <stp>21422436</stp>
        <stp>@bh,EURAUD,d1,close,7</stp>
        <tr r="M9" s="2"/>
      </tp>
      <tp>
        <v>1.6596299999999999</v>
        <stp/>
        <stp>21422436</stp>
        <stp>@bh,EURAUD,d1,close,4</stp>
        <tr r="M6" s="2"/>
      </tp>
      <tp>
        <v>1.66934</v>
        <stp/>
        <stp>21422436</stp>
        <stp>@bh,EURAUD,d1,close,5</stp>
        <tr r="M7" s="2"/>
      </tp>
      <tp>
        <v>1.81063</v>
        <stp/>
        <stp>21422436</stp>
        <stp>@bh,EURNZD,h1,close,5</stp>
        <tr r="N7" s="3"/>
      </tp>
      <tp>
        <v>1.80907</v>
        <stp/>
        <stp>21422436</stp>
        <stp>@bh,EURNZD,h4,close,0</stp>
        <tr r="N2" s="1"/>
      </tp>
      <tp>
        <v>1.81115</v>
        <stp/>
        <stp>21422436</stp>
        <stp>@bh,EURNZD,h1,close,4</stp>
        <tr r="N6" s="3"/>
      </tp>
      <tp>
        <v>1.8101100000000001</v>
        <stp/>
        <stp>21422436</stp>
        <stp>@bh,EURNZD,h4,close,1</stp>
        <tr r="N3" s="1"/>
      </tp>
      <tp>
        <v>1.8111900000000001</v>
        <stp/>
        <stp>21422436</stp>
        <stp>@bh,EURNZD,h1,close,7</stp>
        <tr r="N9" s="3"/>
      </tp>
      <tp>
        <v>1.81128</v>
        <stp/>
        <stp>21422436</stp>
        <stp>@bh,EURNZD,h4,close,2</stp>
        <tr r="N4" s="1"/>
      </tp>
      <tp>
        <v>1.81128</v>
        <stp/>
        <stp>21422436</stp>
        <stp>@bh,EURNZD,h1,close,6</stp>
        <tr r="N8" s="3"/>
      </tp>
      <tp>
        <v>1.81013</v>
        <stp/>
        <stp>21422436</stp>
        <stp>@bh,EURNZD,h4,close,3</stp>
        <tr r="N5" s="1"/>
      </tp>
      <tp>
        <v>1.8083199999999999</v>
        <stp/>
        <stp>21422436</stp>
        <stp>@bh,EURNZD,h1,close,1</stp>
        <tr r="N3" s="3"/>
      </tp>
      <tp>
        <v>1.80559</v>
        <stp/>
        <stp>21422436</stp>
        <stp>@bh,EURNZD,h4,close,4</stp>
        <tr r="N6" s="1"/>
      </tp>
      <tp>
        <v>1.80907</v>
        <stp/>
        <stp>21422436</stp>
        <stp>@bh,EURNZD,h1,close,0</stp>
        <tr r="N2" s="3"/>
      </tp>
      <tp>
        <v>1.8085800000000001</v>
        <stp/>
        <stp>21422436</stp>
        <stp>@bh,EURNZD,h4,close,5</stp>
        <tr r="N7" s="1"/>
      </tp>
      <tp>
        <v>1.81002</v>
        <stp/>
        <stp>21422436</stp>
        <stp>@bh,EURNZD,h1,close,3</stp>
        <tr r="N5" s="3"/>
      </tp>
      <tp>
        <v>1.8086800000000001</v>
        <stp/>
        <stp>21422436</stp>
        <stp>@bh,EURNZD,h4,close,6</stp>
        <tr r="N8" s="1"/>
      </tp>
      <tp>
        <v>1.8101100000000001</v>
        <stp/>
        <stp>21422436</stp>
        <stp>@bh,EURNZD,h1,close,2</stp>
        <tr r="N4" s="3"/>
      </tp>
      <tp>
        <v>1.80616</v>
        <stp/>
        <stp>21422436</stp>
        <stp>@bh,EURNZD,h4,close,7</stp>
        <tr r="N9" s="1"/>
      </tp>
      <tp>
        <v>1.80562</v>
        <stp/>
        <stp>21422436</stp>
        <stp>@bh,EURNZD,h4,close,8</stp>
        <tr r="N10" s="1"/>
      </tp>
      <tp>
        <v>1.81029</v>
        <stp/>
        <stp>21422436</stp>
        <stp>@bh,EURNZD,h4,close,9</stp>
        <tr r="N11" s="1"/>
      </tp>
      <tp>
        <v>1.80924</v>
        <stp/>
        <stp>21422436</stp>
        <stp>@bh,EURNZD,h1,close,9</stp>
        <tr r="N11" s="3"/>
      </tp>
      <tp>
        <v>1.80965</v>
        <stp/>
        <stp>21422436</stp>
        <stp>@bh,EURNZD,h1,close,8</stp>
        <tr r="N10" s="3"/>
      </tp>
      <tp>
        <v>0.94581000000000004</v>
        <stp/>
        <stp>21422436</stp>
        <stp>@bh,EURCHF,d1,close,7</stp>
        <tr r="K9" s="2"/>
      </tp>
      <tp>
        <v>0.95062999999999998</v>
        <stp/>
        <stp>21422436</stp>
        <stp>@bh,EURCHF,d1,close,6</stp>
        <tr r="K8" s="2"/>
      </tp>
      <tp>
        <v>0.95267999999999997</v>
        <stp/>
        <stp>21422436</stp>
        <stp>@bh,EURCHF,d1,close,5</stp>
        <tr r="K7" s="2"/>
      </tp>
      <tp>
        <v>0.95728000000000002</v>
        <stp/>
        <stp>21422436</stp>
        <stp>@bh,EURCHF,d1,close,4</stp>
        <tr r="K6" s="2"/>
      </tp>
      <tp>
        <v>0.95503000000000005</v>
        <stp/>
        <stp>21422436</stp>
        <stp>@bh,EURCHF,d1,close,3</stp>
        <tr r="K5" s="2"/>
      </tp>
      <tp>
        <v>0.95650000000000002</v>
        <stp/>
        <stp>21422436</stp>
        <stp>@bh,EURCHF,d1,close,2</stp>
        <tr r="K4" s="2"/>
      </tp>
      <tp>
        <v>1.49854</v>
        <stp/>
        <stp>21422436</stp>
        <stp>@bh,EURCAD,d1,close,8</stp>
        <tr r="I10" s="2"/>
      </tp>
      <tp>
        <v>0.95052000000000003</v>
        <stp/>
        <stp>21422436</stp>
        <stp>@bh,EURCHF,d1,close,1</stp>
        <tr r="K3" s="2"/>
      </tp>
      <tp>
        <v>1.4995099999999999</v>
        <stp/>
        <stp>21422436</stp>
        <stp>@bh,EURCAD,d1,close,9</stp>
        <tr r="I11" s="2"/>
      </tp>
      <tp>
        <v>0.94925999999999999</v>
        <stp/>
        <stp>21422436</stp>
        <stp>@bh,EURCHF,d1,close,0</stp>
        <tr r="K2" s="2"/>
      </tp>
      <tp>
        <v>1.50665</v>
        <stp/>
        <stp>21422436</stp>
        <stp>@bh,EURCAD,d1,close,6</stp>
        <tr r="I8" s="2"/>
      </tp>
      <tp>
        <v>1.5022599999999999</v>
        <stp/>
        <stp>21422436</stp>
        <stp>@bh,EURCAD,d1,close,7</stp>
        <tr r="I9" s="2"/>
      </tp>
      <tp>
        <v>1.5061</v>
        <stp/>
        <stp>21422436</stp>
        <stp>@bh,EURCAD,d1,close,4</stp>
        <tr r="I6" s="2"/>
      </tp>
      <tp>
        <v>1.5101599999999999</v>
        <stp/>
        <stp>21422436</stp>
        <stp>@bh,EURCAD,d1,close,5</stp>
        <tr r="I7" s="2"/>
      </tp>
      <tp>
        <v>1.51122</v>
        <stp/>
        <stp>21422436</stp>
        <stp>@bh,EURCAD,d1,close,2</stp>
        <tr r="I4" s="2"/>
      </tp>
      <tp>
        <v>1.5085500000000001</v>
        <stp/>
        <stp>21422436</stp>
        <stp>@bh,EURCAD,d1,close,3</stp>
        <tr r="I5" s="2"/>
      </tp>
      <tp>
        <v>1.5118</v>
        <stp/>
        <stp>21422436</stp>
        <stp>@bh,EURCAD,d1,close,0</stp>
        <tr r="I2" s="2"/>
      </tp>
      <tp>
        <v>0.94628999999999996</v>
        <stp/>
        <stp>21422436</stp>
        <stp>@bh,EURCHF,d1,close,9</stp>
        <tr r="K11" s="2"/>
      </tp>
      <tp>
        <v>1.51589</v>
        <stp/>
        <stp>21422436</stp>
        <stp>@bh,EURCAD,d1,close,1</stp>
        <tr r="I3" s="2"/>
      </tp>
      <tp>
        <v>0.94435000000000002</v>
        <stp/>
        <stp>21422436</stp>
        <stp>@bh,EURCHF,d1,close,8</stp>
        <tr r="K10" s="2"/>
      </tp>
      <tp>
        <v>1.6489400000000001</v>
        <stp/>
        <stp>21422436</stp>
        <stp>@bh,EURAUD,h1,close,8</stp>
        <tr r="M10" s="3"/>
      </tp>
      <tp>
        <v>1.6490800000000001</v>
        <stp/>
        <stp>21422436</stp>
        <stp>@bh,EURAUD,h1,close,9</stp>
        <tr r="M11" s="3"/>
      </tp>
      <tp>
        <v>1.64882</v>
        <stp/>
        <stp>21422436</stp>
        <stp>@bh,EURAUD,h4,close,9</stp>
        <tr r="M11" s="1"/>
      </tp>
      <tp>
        <v>1.64673</v>
        <stp/>
        <stp>21422436</stp>
        <stp>@bh,EURAUD,h4,close,8</stp>
        <tr r="M10" s="1"/>
      </tp>
      <tp>
        <v>1.64984</v>
        <stp/>
        <stp>21422436</stp>
        <stp>@bh,EURAUD,h1,close,2</stp>
        <tr r="M4" s="3"/>
      </tp>
      <tp>
        <v>1.6462300000000001</v>
        <stp/>
        <stp>21422436</stp>
        <stp>@bh,EURAUD,h4,close,7</stp>
        <tr r="M9" s="1"/>
      </tp>
      <tp>
        <v>1.64941</v>
        <stp/>
        <stp>21422436</stp>
        <stp>@bh,EURAUD,h1,close,3</stp>
        <tr r="M5" s="3"/>
      </tp>
      <tp>
        <v>1.6499299999999999</v>
        <stp/>
        <stp>21422436</stp>
        <stp>@bh,EURAUD,h4,close,6</stp>
        <tr r="M8" s="1"/>
      </tp>
      <tp>
        <v>1.6496900000000001</v>
        <stp/>
        <stp>21422436</stp>
        <stp>@bh,EURAUD,h1,close,0</stp>
        <tr r="M2" s="3"/>
      </tp>
      <tp>
        <v>1.6495899999999999</v>
        <stp/>
        <stp>21422436</stp>
        <stp>@bh,EURAUD,h4,close,5</stp>
        <tr r="M7" s="1"/>
      </tp>
      <tp>
        <v>1.6486400000000001</v>
        <stp/>
        <stp>21422436</stp>
        <stp>@bh,EURAUD,h1,close,1</stp>
        <tr r="M3" s="3"/>
      </tp>
      <tp>
        <v>1.6485099999999999</v>
        <stp/>
        <stp>21422436</stp>
        <stp>@bh,EURAUD,h4,close,4</stp>
        <tr r="M6" s="1"/>
      </tp>
      <tp>
        <v>1.65065</v>
        <stp/>
        <stp>21422436</stp>
        <stp>@bh,EURAUD,h1,close,6</stp>
        <tr r="M8" s="3"/>
      </tp>
      <tp>
        <v>1.6486400000000001</v>
        <stp/>
        <stp>21422436</stp>
        <stp>@bh,EURAUD,h4,close,3</stp>
        <tr r="M5" s="1"/>
      </tp>
      <tp>
        <v>1.65029</v>
        <stp/>
        <stp>21422436</stp>
        <stp>@bh,EURAUD,h1,close,7</stp>
        <tr r="M9" s="3"/>
      </tp>
      <tp>
        <v>1.65065</v>
        <stp/>
        <stp>21422436</stp>
        <stp>@bh,EURAUD,h4,close,2</stp>
        <tr r="M4" s="1"/>
      </tp>
      <tp>
        <v>1.65</v>
        <stp/>
        <stp>21422436</stp>
        <stp>@bh,EURAUD,h1,close,4</stp>
        <tr r="M6" s="3"/>
      </tp>
      <tp>
        <v>1.64984</v>
        <stp/>
        <stp>21422436</stp>
        <stp>@bh,EURAUD,h4,close,1</stp>
        <tr r="M3" s="1"/>
      </tp>
      <tp>
        <v>1.6499299999999999</v>
        <stp/>
        <stp>21422436</stp>
        <stp>@bh,EURAUD,h1,close,5</stp>
        <tr r="M7" s="3"/>
      </tp>
      <tp>
        <v>1.6496900000000001</v>
        <stp/>
        <stp>21422436</stp>
        <stp>@bh,EURAUD,h4,close,0</stp>
        <tr r="M2" s="1"/>
      </tp>
      <tp>
        <v>1.8364100000000001</v>
        <stp/>
        <stp>21422436</stp>
        <stp>@bh,EURNZD,d1,close,5</stp>
        <tr r="N7" s="2"/>
      </tp>
      <tp>
        <v>1.83327</v>
        <stp/>
        <stp>21422436</stp>
        <stp>@bh,EURNZD,d1,close,4</stp>
        <tr r="N6" s="2"/>
      </tp>
      <tp>
        <v>1.8164800000000001</v>
        <stp/>
        <stp>21422436</stp>
        <stp>@bh,EURNZD,d1,close,7</stp>
        <tr r="N9" s="2"/>
      </tp>
      <tp>
        <v>1.8088299999999999</v>
        <stp/>
        <stp>21422436</stp>
        <stp>@bh,EURNZD,d1,close,6</stp>
        <tr r="N8" s="2"/>
      </tp>
      <tp>
        <v>1.8085800000000001</v>
        <stp/>
        <stp>21422436</stp>
        <stp>@bh,EURNZD,d1,close,1</stp>
        <tr r="N3" s="2"/>
      </tp>
      <tp>
        <v>1.80907</v>
        <stp/>
        <stp>21422436</stp>
        <stp>@bh,EURNZD,d1,close,0</stp>
        <tr r="N2" s="2"/>
      </tp>
      <tp>
        <v>1.8213600000000001</v>
        <stp/>
        <stp>21422436</stp>
        <stp>@bh,EURNZD,d1,close,3</stp>
        <tr r="N5" s="2"/>
      </tp>
      <tp>
        <v>1.8128200000000001</v>
        <stp/>
        <stp>21422436</stp>
        <stp>@bh,EURNZD,d1,close,2</stp>
        <tr r="N4" s="2"/>
      </tp>
      <tp>
        <v>1.81568</v>
        <stp/>
        <stp>21422436</stp>
        <stp>@bh,EURNZD,d1,close,9</stp>
        <tr r="N11" s="2"/>
      </tp>
      <tp>
        <v>1.8190999999999999</v>
        <stp/>
        <stp>21422436</stp>
        <stp>@bh,EURNZD,d1,close,8</stp>
        <tr r="N10" s="2"/>
      </tp>
      <tp>
        <v>0.95113000000000003</v>
        <stp/>
        <stp>21422436</stp>
        <stp>@bh,EURCHF,h1,close,7</stp>
        <tr r="K9" s="3"/>
      </tp>
      <tp>
        <v>0.95087999999999995</v>
        <stp/>
        <stp>21422436</stp>
        <stp>@bh,EURCHF,h4,close,2</stp>
        <tr r="K4" s="1"/>
      </tp>
      <tp>
        <v>0.95087999999999995</v>
        <stp/>
        <stp>21422436</stp>
        <stp>@bh,EURCHF,h1,close,6</stp>
        <tr r="K8" s="3"/>
      </tp>
      <tp>
        <v>0.94974999999999998</v>
        <stp/>
        <stp>21422436</stp>
        <stp>@bh,EURCHF,h4,close,3</stp>
        <tr r="K5" s="1"/>
      </tp>
      <tp>
        <v>1.51051</v>
        <stp/>
        <stp>21422436</stp>
        <stp>@bh,EURCAD,h4,close,9</stp>
        <tr r="I11" s="1"/>
      </tp>
      <tp>
        <v>0.95065999999999995</v>
        <stp/>
        <stp>21422436</stp>
        <stp>@bh,EURCHF,h1,close,5</stp>
        <tr r="K7" s="3"/>
      </tp>
      <tp>
        <v>0.94925999999999999</v>
        <stp/>
        <stp>21422436</stp>
        <stp>@bh,EURCHF,h4,close,0</stp>
        <tr r="K2" s="1"/>
      </tp>
      <tp>
        <v>1.50864</v>
        <stp/>
        <stp>21422436</stp>
        <stp>@bh,EURCAD,h4,close,8</stp>
        <tr r="I10" s="1"/>
      </tp>
      <tp>
        <v>0.95169000000000004</v>
        <stp/>
        <stp>21422436</stp>
        <stp>@bh,EURCHF,h1,close,4</stp>
        <tr r="K6" s="3"/>
      </tp>
      <tp>
        <v>0.95006999999999997</v>
        <stp/>
        <stp>21422436</stp>
        <stp>@bh,EURCHF,h4,close,1</stp>
        <tr r="K3" s="1"/>
      </tp>
      <tp>
        <v>0.95042000000000004</v>
        <stp/>
        <stp>21422436</stp>
        <stp>@bh,EURCHF,h1,close,3</stp>
        <tr r="K5" s="3"/>
      </tp>
      <tp>
        <v>0.95162000000000002</v>
        <stp/>
        <stp>21422436</stp>
        <stp>@bh,EURCHF,h4,close,6</stp>
        <tr r="K8" s="1"/>
      </tp>
      <tp>
        <v>0.95006999999999997</v>
        <stp/>
        <stp>21422436</stp>
        <stp>@bh,EURCHF,h1,close,2</stp>
        <tr r="K4" s="3"/>
      </tp>
      <tp>
        <v>0.95345999999999997</v>
        <stp/>
        <stp>21422436</stp>
        <stp>@bh,EURCHF,h4,close,7</stp>
        <tr r="K9" s="1"/>
      </tp>
      <tp>
        <v>1.5142</v>
        <stp/>
        <stp>21422436</stp>
        <stp>@bh,EURCAD,h1,close,8</stp>
        <tr r="I10" s="3"/>
      </tp>
      <tp>
        <v>0.94879000000000002</v>
        <stp/>
        <stp>21422436</stp>
        <stp>@bh,EURCHF,h1,close,1</stp>
        <tr r="K3" s="3"/>
      </tp>
      <tp>
        <v>0.94977999999999996</v>
        <stp/>
        <stp>21422436</stp>
        <stp>@bh,EURCHF,h4,close,4</stp>
        <tr r="K6" s="1"/>
      </tp>
      <tp>
        <v>1.51373</v>
        <stp/>
        <stp>21422436</stp>
        <stp>@bh,EURCAD,h1,close,9</stp>
        <tr r="I11" s="3"/>
      </tp>
      <tp>
        <v>0.94925999999999999</v>
        <stp/>
        <stp>21422436</stp>
        <stp>@bh,EURCHF,h1,close,0</stp>
        <tr r="K2" s="3"/>
      </tp>
      <tp>
        <v>0.95052000000000003</v>
        <stp/>
        <stp>21422436</stp>
        <stp>@bh,EURCHF,h4,close,5</stp>
        <tr r="K7" s="1"/>
      </tp>
      <tp>
        <v>1.5133799999999999</v>
        <stp/>
        <stp>21422436</stp>
        <stp>@bh,EURCAD,h1,close,6</stp>
        <tr r="I8" s="3"/>
      </tp>
      <tp>
        <v>1.5138199999999999</v>
        <stp/>
        <stp>21422436</stp>
        <stp>@bh,EURCAD,h4,close,3</stp>
        <tr r="I5" s="1"/>
      </tp>
      <tp>
        <v>1.5134700000000001</v>
        <stp/>
        <stp>21422436</stp>
        <stp>@bh,EURCAD,h1,close,7</stp>
        <tr r="I9" s="3"/>
      </tp>
      <tp>
        <v>1.5133799999999999</v>
        <stp/>
        <stp>21422436</stp>
        <stp>@bh,EURCAD,h4,close,2</stp>
        <tr r="I4" s="1"/>
      </tp>
      <tp>
        <v>1.51295</v>
        <stp/>
        <stp>21422436</stp>
        <stp>@bh,EURCAD,h1,close,4</stp>
        <tr r="I6" s="3"/>
      </tp>
      <tp>
        <v>1.51278</v>
        <stp/>
        <stp>21422436</stp>
        <stp>@bh,EURCAD,h4,close,1</stp>
        <tr r="I3" s="1"/>
      </tp>
      <tp>
        <v>0.95289999999999997</v>
        <stp/>
        <stp>21422436</stp>
        <stp>@bh,EURCHF,h4,close,8</stp>
        <tr r="K10" s="1"/>
      </tp>
      <tp>
        <v>1.51284</v>
        <stp/>
        <stp>21422436</stp>
        <stp>@bh,EURCAD,h1,close,5</stp>
        <tr r="I7" s="3"/>
      </tp>
      <tp>
        <v>1.5118</v>
        <stp/>
        <stp>21422436</stp>
        <stp>@bh,EURCAD,h4,close,0</stp>
        <tr r="I2" s="1"/>
      </tp>
      <tp>
        <v>0.95484000000000002</v>
        <stp/>
        <stp>21422436</stp>
        <stp>@bh,EURCHF,h4,close,9</stp>
        <tr r="K11" s="1"/>
      </tp>
      <tp>
        <v>1.51278</v>
        <stp/>
        <stp>21422436</stp>
        <stp>@bh,EURCAD,h1,close,2</stp>
        <tr r="I4" s="3"/>
      </tp>
      <tp>
        <v>1.5116099999999999</v>
        <stp/>
        <stp>21422436</stp>
        <stp>@bh,EURCAD,h4,close,7</stp>
        <tr r="I9" s="1"/>
      </tp>
      <tp>
        <v>1.51156</v>
        <stp/>
        <stp>21422436</stp>
        <stp>@bh,EURCAD,h1,close,3</stp>
        <tr r="I5" s="3"/>
      </tp>
      <tp>
        <v>1.5149999999999999</v>
        <stp/>
        <stp>21422436</stp>
        <stp>@bh,EURCAD,h4,close,6</stp>
        <tr r="I8" s="1"/>
      </tp>
      <tp>
        <v>1.5118</v>
        <stp/>
        <stp>21422436</stp>
        <stp>@bh,EURCAD,h1,close,0</stp>
        <tr r="I2" s="3"/>
      </tp>
      <tp>
        <v>1.51589</v>
        <stp/>
        <stp>21422436</stp>
        <stp>@bh,EURCAD,h4,close,5</stp>
        <tr r="I7" s="1"/>
      </tp>
      <tp>
        <v>0.94991000000000003</v>
        <stp/>
        <stp>21422436</stp>
        <stp>@bh,EURCHF,h1,close,9</stp>
        <tr r="K11" s="3"/>
      </tp>
      <tp>
        <v>1.51128</v>
        <stp/>
        <stp>21422436</stp>
        <stp>@bh,EURCAD,h1,close,1</stp>
        <tr r="I3" s="3"/>
      </tp>
      <tp>
        <v>1.5152099999999999</v>
        <stp/>
        <stp>21422436</stp>
        <stp>@bh,EURCAD,h4,close,4</stp>
        <tr r="I6" s="1"/>
      </tp>
      <tp>
        <v>0.94996000000000003</v>
        <stp/>
        <stp>21422436</stp>
        <stp>@bh,EURCHF,h1,close,8</stp>
        <tr r="K10" s="3"/>
      </tp>
      <tp>
        <v>160.81299999999999</v>
        <stp/>
        <stp>21422436</stp>
        <stp>@bh,EURJPY,d1,close,9</stp>
        <tr r="L11" s="2"/>
      </tp>
      <tp>
        <v>160.01</v>
        <stp/>
        <stp>21422436</stp>
        <stp>@bh,EURJPY,d1,close,8</stp>
        <tr r="L10" s="2"/>
      </tp>
      <tp>
        <v>160.91300000000001</v>
        <stp/>
        <stp>21422436</stp>
        <stp>@bh,EURJPY,d1,close,7</stp>
        <tr r="L9" s="2"/>
      </tp>
      <tp>
        <v>161.42599999999999</v>
        <stp/>
        <stp>21422436</stp>
        <stp>@bh,EURJPY,d1,close,6</stp>
        <tr r="L8" s="2"/>
      </tp>
      <tp>
        <v>162.22399999999999</v>
        <stp/>
        <stp>21422436</stp>
        <stp>@bh,EURJPY,d1,close,5</stp>
        <tr r="L7" s="2"/>
      </tp>
      <tp>
        <v>163.78200000000001</v>
        <stp/>
        <stp>21422436</stp>
        <stp>@bh,EURJPY,d1,close,4</stp>
        <tr r="L6" s="2"/>
      </tp>
      <tp>
        <v>162.77500000000001</v>
        <stp/>
        <stp>21422436</stp>
        <stp>@bh,EURJPY,d1,close,3</stp>
        <tr r="L5" s="2"/>
      </tp>
      <tp>
        <v>162.50800000000001</v>
        <stp/>
        <stp>21422436</stp>
        <stp>@bh,EURJPY,d1,close,2</stp>
        <tr r="L4" s="2"/>
      </tp>
      <tp>
        <v>161.67699999999999</v>
        <stp/>
        <stp>21422436</stp>
        <stp>@bh,EURJPY,d1,close,1</stp>
        <tr r="L3" s="2"/>
      </tp>
      <tp>
        <v>162.12200000000001</v>
        <stp/>
        <stp>21422436</stp>
        <stp>@bh,EURJPY,d1,close,0</stp>
        <tr r="L2" s="2"/>
      </tp>
      <tp>
        <v>0.85221999999999998</v>
        <stp/>
        <stp>21422436</stp>
        <stp>@bh,EURGBP,h4,close,8</stp>
        <tr r="J10" s="1"/>
      </tp>
      <tp>
        <v>0.85338999999999998</v>
        <stp/>
        <stp>21422436</stp>
        <stp>@bh,EURGBP,h4,close,9</stp>
        <tr r="J11" s="1"/>
      </tp>
      <tp>
        <v>0.85382000000000002</v>
        <stp/>
        <stp>21422436</stp>
        <stp>@bh,EURGBP,h1,close,9</stp>
        <tr r="J11" s="3"/>
      </tp>
      <tp>
        <v>0.85399999999999998</v>
        <stp/>
        <stp>21422436</stp>
        <stp>@bh,EURGBP,h1,close,8</stp>
        <tr r="J10" s="3"/>
      </tp>
      <tp>
        <v>0.85338000000000003</v>
        <stp/>
        <stp>21422436</stp>
        <stp>@bh,EURGBP,h1,close,5</stp>
        <tr r="J7" s="3"/>
      </tp>
      <tp>
        <v>0.85167000000000004</v>
        <stp/>
        <stp>21422436</stp>
        <stp>@bh,EURGBP,h4,close,0</stp>
        <tr r="J2" s="1"/>
      </tp>
      <tp>
        <v>0.85306000000000004</v>
        <stp/>
        <stp>21422436</stp>
        <stp>@bh,EURGBP,h1,close,4</stp>
        <tr r="J6" s="3"/>
      </tp>
      <tp>
        <v>0.85279000000000005</v>
        <stp/>
        <stp>21422436</stp>
        <stp>@bh,EURGBP,h4,close,1</stp>
        <tr r="J3" s="1"/>
      </tp>
      <tp>
        <v>0.85392000000000001</v>
        <stp/>
        <stp>21422436</stp>
        <stp>@bh,EURGBP,h1,close,7</stp>
        <tr r="J9" s="3"/>
      </tp>
      <tp>
        <v>0.85440000000000005</v>
        <stp/>
        <stp>21422436</stp>
        <stp>@bh,EURGBP,h4,close,2</stp>
        <tr r="J4" s="1"/>
      </tp>
      <tp>
        <v>0.85440000000000005</v>
        <stp/>
        <stp>21422436</stp>
        <stp>@bh,EURGBP,h1,close,6</stp>
        <tr r="J8" s="3"/>
      </tp>
      <tp>
        <v>0.85355999999999999</v>
        <stp/>
        <stp>21422436</stp>
        <stp>@bh,EURGBP,h4,close,3</stp>
        <tr r="J5" s="1"/>
      </tp>
      <tp>
        <v>0.85172999999999999</v>
        <stp/>
        <stp>21422436</stp>
        <stp>@bh,EURGBP,h1,close,1</stp>
        <tr r="J3" s="3"/>
      </tp>
      <tp>
        <v>0.85368999999999995</v>
        <stp/>
        <stp>21422436</stp>
        <stp>@bh,EURGBP,h4,close,4</stp>
        <tr r="J6" s="1"/>
      </tp>
      <tp>
        <v>0.85167000000000004</v>
        <stp/>
        <stp>21422436</stp>
        <stp>@bh,EURGBP,h1,close,0</stp>
        <tr r="J2" s="3"/>
      </tp>
      <tp>
        <v>0.85397000000000001</v>
        <stp/>
        <stp>21422436</stp>
        <stp>@bh,EURGBP,h4,close,5</stp>
        <tr r="J7" s="1"/>
      </tp>
      <tp>
        <v>0.85289000000000004</v>
        <stp/>
        <stp>21422436</stp>
        <stp>@bh,EURGBP,h1,close,3</stp>
        <tr r="J5" s="3"/>
      </tp>
      <tp>
        <v>0.85335000000000005</v>
        <stp/>
        <stp>21422436</stp>
        <stp>@bh,EURGBP,h4,close,6</stp>
        <tr r="J8" s="1"/>
      </tp>
      <tp>
        <v>0.85279000000000005</v>
        <stp/>
        <stp>21422436</stp>
        <stp>@bh,EURGBP,h1,close,2</stp>
        <tr r="J4" s="3"/>
      </tp>
      <tp>
        <v>0.85192000000000001</v>
        <stp/>
        <stp>21422436</stp>
        <stp>@bh,EURGBP,h4,close,7</stp>
        <tr r="J9" s="1"/>
      </tp>
      <tp>
        <v>1.0915600000000001</v>
        <stp/>
        <stp>21422436</stp>
        <stp>@bh,EURUSD,d1,close,8</stp>
        <tr r="H10" s="2"/>
      </tp>
      <tp>
        <v>1.09188</v>
        <stp/>
        <stp>21422436</stp>
        <stp>@bh,EURUSD,d1,close,9</stp>
        <tr r="H11" s="2"/>
      </tp>
      <tp>
        <v>1.0971200000000001</v>
        <stp/>
        <stp>21422436</stp>
        <stp>@bh,EURUSD,d1,close,4</stp>
        <tr r="H6" s="2"/>
      </tp>
      <tp>
        <v>1.1012299999999999</v>
        <stp/>
        <stp>21422436</stp>
        <stp>@bh,EURUSD,d1,close,5</stp>
        <tr r="H7" s="2"/>
      </tp>
      <tp>
        <v>1.09928</v>
        <stp/>
        <stp>21422436</stp>
        <stp>@bh,EURUSD,d1,close,6</stp>
        <tr r="H8" s="2"/>
      </tp>
      <tp>
        <v>1.09321</v>
        <stp/>
        <stp>21422436</stp>
        <stp>@bh,EURUSD,d1,close,7</stp>
        <tr r="H9" s="2"/>
      </tp>
      <tp>
        <v>1.11154</v>
        <stp/>
        <stp>21422436</stp>
        <stp>@bh,EURUSD,d1,close,0</stp>
        <tr r="H2" s="2"/>
      </tp>
      <tp>
        <v>1.113</v>
        <stp/>
        <stp>21422436</stp>
        <stp>@bh,EURUSD,d1,close,1</stp>
        <tr r="H3" s="2"/>
      </tp>
      <tp>
        <v>1.1085100000000001</v>
        <stp/>
        <stp>21422436</stp>
        <stp>@bh,EURUSD,d1,close,2</stp>
        <tr r="H4" s="2"/>
      </tp>
      <tp>
        <v>1.10286</v>
        <stp/>
        <stp>21422436</stp>
        <stp>@bh,EURUSD,d1,close,3</stp>
        <tr r="H5" s="2"/>
      </tp>
      <tp>
        <v>1.10772</v>
        <stp/>
        <stp>21422436</stp>
        <stp>@bh,EURUSD,h4,close,9</stp>
        <tr r="H11" s="1"/>
      </tp>
      <tp>
        <v>1.10798</v>
        <stp/>
        <stp>21422436</stp>
        <stp>@bh,EURUSD,h4,close,8</stp>
        <tr r="H10" s="1"/>
      </tp>
      <tp>
        <v>1.1117999999999999</v>
        <stp/>
        <stp>21422436</stp>
        <stp>@bh,EURUSD,h1,close,8</stp>
        <tr r="H10" s="3"/>
      </tp>
      <tp>
        <v>1.1117900000000001</v>
        <stp/>
        <stp>21422436</stp>
        <stp>@bh,EURUSD,h1,close,9</stp>
        <tr r="H11" s="3"/>
      </tp>
      <tp>
        <v>1.11249</v>
        <stp/>
        <stp>21422436</stp>
        <stp>@bh,EURUSD,h1,close,4</stp>
        <tr r="H6" s="3"/>
      </tp>
      <tp>
        <v>1.1125</v>
        <stp/>
        <stp>21422436</stp>
        <stp>@bh,EURUSD,h4,close,1</stp>
        <tr r="H3" s="1"/>
      </tp>
      <tp>
        <v>1.11171</v>
        <stp/>
        <stp>21422436</stp>
        <stp>@bh,EURUSD,h1,close,5</stp>
        <tr r="H7" s="3"/>
      </tp>
      <tp>
        <v>1.11154</v>
        <stp/>
        <stp>21422436</stp>
        <stp>@bh,EURUSD,h4,close,0</stp>
        <tr r="H2" s="1"/>
      </tp>
      <tp>
        <v>1.1118600000000001</v>
        <stp/>
        <stp>21422436</stp>
        <stp>@bh,EURUSD,h1,close,6</stp>
        <tr r="H8" s="3"/>
      </tp>
      <tp>
        <v>1.11192</v>
        <stp/>
        <stp>21422436</stp>
        <stp>@bh,EURUSD,h4,close,3</stp>
        <tr r="H5" s="1"/>
      </tp>
      <tp>
        <v>1.11144</v>
        <stp/>
        <stp>21422436</stp>
        <stp>@bh,EURUSD,h1,close,7</stp>
        <tr r="H9" s="3"/>
      </tp>
      <tp>
        <v>1.1118600000000001</v>
        <stp/>
        <stp>21422436</stp>
        <stp>@bh,EURUSD,h4,close,2</stp>
        <tr r="H4" s="1"/>
      </tp>
      <tp>
        <v>1.11154</v>
        <stp/>
        <stp>21422436</stp>
        <stp>@bh,EURUSD,h1,close,0</stp>
        <tr r="H2" s="3"/>
      </tp>
      <tp>
        <v>1.113</v>
        <stp/>
        <stp>21422436</stp>
        <stp>@bh,EURUSD,h4,close,5</stp>
        <tr r="H7" s="1"/>
      </tp>
      <tp>
        <v>1.1114599999999999</v>
        <stp/>
        <stp>21422436</stp>
        <stp>@bh,EURUSD,h1,close,1</stp>
        <tr r="H3" s="3"/>
      </tp>
      <tp>
        <v>1.1127899999999999</v>
        <stp/>
        <stp>21422436</stp>
        <stp>@bh,EURUSD,h4,close,4</stp>
        <tr r="H6" s="1"/>
      </tp>
      <tp>
        <v>1.1125</v>
        <stp/>
        <stp>21422436</stp>
        <stp>@bh,EURUSD,h1,close,2</stp>
        <tr r="H4" s="3"/>
      </tp>
      <tp>
        <v>1.1098399999999999</v>
        <stp/>
        <stp>21422436</stp>
        <stp>@bh,EURUSD,h4,close,7</stp>
        <tr r="H9" s="1"/>
      </tp>
      <tp>
        <v>1.11148</v>
        <stp/>
        <stp>21422436</stp>
        <stp>@bh,EURUSD,h1,close,3</stp>
        <tr r="H5" s="3"/>
      </tp>
      <tp>
        <v>1.1114999999999999</v>
        <stp/>
        <stp>21422436</stp>
        <stp>@bh,EURUSD,h4,close,6</stp>
        <tr r="H8" s="1"/>
      </tp>
      <tp>
        <v>146.52199999999999</v>
        <stp/>
        <stp>21422436</stp>
        <stp>@bh,USDJPY,h4,close,8</stp>
        <tr r="AD10" s="1"/>
      </tp>
      <tp>
        <v>146.93</v>
        <stp/>
        <stp>21422436</stp>
        <stp>@bh,USDJPY,h4,close,9</stp>
        <tr r="AD11" s="1"/>
      </tp>
      <tp>
        <v>145.66900000000001</v>
        <stp/>
        <stp>21422436</stp>
        <stp>@bh,USDJPY,h1,close,9</stp>
        <tr r="AD11" s="3"/>
      </tp>
      <tp>
        <v>145.952</v>
        <stp/>
        <stp>21422436</stp>
        <stp>@bh,USDJPY,h1,close,8</stp>
        <tr r="AD10" s="3"/>
      </tp>
      <tp>
        <v>146.14500000000001</v>
        <stp/>
        <stp>21422436</stp>
        <stp>@bh,USDJPY,h1,close,7</stp>
        <tr r="AD9" s="3"/>
      </tp>
      <tp>
        <v>146.03399999999999</v>
        <stp/>
        <stp>21422436</stp>
        <stp>@bh,USDJPY,h4,close,2</stp>
        <tr r="AD4" s="1"/>
      </tp>
      <tp>
        <v>146.03399999999999</v>
        <stp/>
        <stp>21422436</stp>
        <stp>@bh,USDJPY,h1,close,6</stp>
        <tr r="AD8" s="3"/>
      </tp>
      <tp>
        <v>145.67500000000001</v>
        <stp/>
        <stp>21422436</stp>
        <stp>@bh,USDJPY,h4,close,3</stp>
        <tr r="AD5" s="1"/>
      </tp>
      <tp>
        <v>146.11799999999999</v>
        <stp/>
        <stp>21422436</stp>
        <stp>@bh,USDJPY,h1,close,5</stp>
        <tr r="AD7" s="3"/>
      </tp>
      <tp>
        <v>145.86600000000001</v>
        <stp/>
        <stp>21422436</stp>
        <stp>@bh,USDJPY,h4,close,0</stp>
        <tr r="AD2" s="1"/>
      </tp>
      <tp>
        <v>146.17500000000001</v>
        <stp/>
        <stp>21422436</stp>
        <stp>@bh,USDJPY,h1,close,4</stp>
        <tr r="AD6" s="3"/>
      </tp>
      <tp>
        <v>145.77799999999999</v>
        <stp/>
        <stp>21422436</stp>
        <stp>@bh,USDJPY,h4,close,1</stp>
        <tr r="AD3" s="1"/>
      </tp>
      <tp>
        <v>146.06299999999999</v>
        <stp/>
        <stp>21422436</stp>
        <stp>@bh,USDJPY,h1,close,3</stp>
        <tr r="AD5" s="3"/>
      </tp>
      <tp>
        <v>145.39699999999999</v>
        <stp/>
        <stp>21422436</stp>
        <stp>@bh,USDJPY,h4,close,6</stp>
        <tr r="AD8" s="1"/>
      </tp>
      <tp>
        <v>145.77799999999999</v>
        <stp/>
        <stp>21422436</stp>
        <stp>@bh,USDJPY,h1,close,2</stp>
        <tr r="AD4" s="3"/>
      </tp>
      <tp>
        <v>146.17099999999999</v>
        <stp/>
        <stp>21422436</stp>
        <stp>@bh,USDJPY,h4,close,7</stp>
        <tr r="AD9" s="1"/>
      </tp>
      <tp>
        <v>145.745</v>
        <stp/>
        <stp>21422436</stp>
        <stp>@bh,USDJPY,h1,close,1</stp>
        <tr r="AD3" s="3"/>
      </tp>
      <tp>
        <v>145.45099999999999</v>
        <stp/>
        <stp>21422436</stp>
        <stp>@bh,USDJPY,h4,close,4</stp>
        <tr r="AD6" s="1"/>
      </tp>
      <tp>
        <v>145.86600000000001</v>
        <stp/>
        <stp>21422436</stp>
        <stp>@bh,USDJPY,h1,close,0</stp>
        <tr r="AD2" s="3"/>
      </tp>
      <tp>
        <v>145.262</v>
        <stp/>
        <stp>21422436</stp>
        <stp>@bh,USDJPY,h4,close,5</stp>
        <tr r="AD7" s="1"/>
      </tp>
      <tp>
        <v>89.784999999999997</v>
        <stp/>
        <stp>21422436</stp>
        <stp>@bh,NZDJPY,h1,close,4</stp>
        <tr r="U6" s="3"/>
      </tp>
      <tp>
        <v>89.591999999999999</v>
        <stp/>
        <stp>21422436</stp>
        <stp>@bh,NZDJPY,h4,close,1</stp>
        <tr r="U3" s="1"/>
      </tp>
      <tp>
        <v>106.98699999999999</v>
        <stp/>
        <stp>21422436</stp>
        <stp>@bh,CADJPY,h1,close,9</stp>
        <tr r="Y11" s="3"/>
      </tp>
      <tp>
        <v>89.706000000000003</v>
        <stp/>
        <stp>21422436</stp>
        <stp>@bh,NZDJPY,h1,close,5</stp>
        <tr r="U7" s="3"/>
      </tp>
      <tp>
        <v>89.61</v>
        <stp/>
        <stp>21422436</stp>
        <stp>@bh,NZDJPY,h4,close,0</stp>
        <tr r="U2" s="1"/>
      </tp>
      <tp>
        <v>107.164</v>
        <stp/>
        <stp>21422436</stp>
        <stp>@bh,CADJPY,h1,close,8</stp>
        <tr r="Y10" s="3"/>
      </tp>
      <tp>
        <v>98.206999999999994</v>
        <stp/>
        <stp>21422436</stp>
        <stp>@bh,AUDJPY,h1,close,9</stp>
        <tr r="E11" s="3"/>
      </tp>
      <tp>
        <v>89.64</v>
        <stp/>
        <stp>21422436</stp>
        <stp>@bh,NZDJPY,h1,close,6</stp>
        <tr r="U8" s="3"/>
      </tp>
      <tp>
        <v>89.48</v>
        <stp/>
        <stp>21422436</stp>
        <stp>@bh,NZDJPY,h4,close,3</stp>
        <tr r="U5" s="1"/>
      </tp>
      <tp>
        <v>98.406000000000006</v>
        <stp/>
        <stp>21422436</stp>
        <stp>@bh,AUDJPY,h1,close,8</stp>
        <tr r="E10" s="3"/>
      </tp>
      <tp>
        <v>89.68</v>
        <stp/>
        <stp>21422436</stp>
        <stp>@bh,NZDJPY,h1,close,7</stp>
        <tr r="U9" s="3"/>
      </tp>
      <tp>
        <v>89.64</v>
        <stp/>
        <stp>21422436</stp>
        <stp>@bh,NZDJPY,h4,close,2</stp>
        <tr r="U4" s="1"/>
      </tp>
      <tp>
        <v>89.61</v>
        <stp/>
        <stp>21422436</stp>
        <stp>@bh,NZDJPY,h1,close,0</stp>
        <tr r="U2" s="3"/>
      </tp>
      <tp>
        <v>89.375</v>
        <stp/>
        <stp>21422436</stp>
        <stp>@bh,NZDJPY,h4,close,5</stp>
        <tr r="U7" s="1"/>
      </tp>
      <tp>
        <v>107.605</v>
        <stp/>
        <stp>21422436</stp>
        <stp>@bh,CADJPY,h4,close,8</stp>
        <tr r="Y10" s="1"/>
      </tp>
      <tp>
        <v>89.572999999999993</v>
        <stp/>
        <stp>21422436</stp>
        <stp>@bh,NZDJPY,h1,close,1</stp>
        <tr r="U3" s="3"/>
      </tp>
      <tp>
        <v>89.638999999999996</v>
        <stp/>
        <stp>21422436</stp>
        <stp>@bh,NZDJPY,h4,close,4</stp>
        <tr r="U6" s="1"/>
      </tp>
      <tp>
        <v>107.748</v>
        <stp/>
        <stp>21422436</stp>
        <stp>@bh,CADJPY,h4,close,9</stp>
        <tr r="Y11" s="1"/>
      </tp>
      <tp>
        <v>98.581999999999994</v>
        <stp/>
        <stp>21422436</stp>
        <stp>@bh,AUDJPY,h4,close,8</stp>
        <tr r="E10" s="1"/>
      </tp>
      <tp>
        <v>89.591999999999999</v>
        <stp/>
        <stp>21422436</stp>
        <stp>@bh,NZDJPY,h1,close,2</stp>
        <tr r="U4" s="3"/>
      </tp>
      <tp>
        <v>89.811999999999998</v>
        <stp/>
        <stp>21422436</stp>
        <stp>@bh,NZDJPY,h4,close,7</stp>
        <tr r="U9" s="1"/>
      </tp>
      <tp>
        <v>98.71</v>
        <stp/>
        <stp>21422436</stp>
        <stp>@bh,AUDJPY,h4,close,9</stp>
        <tr r="E11" s="1"/>
      </tp>
      <tp>
        <v>89.691000000000003</v>
        <stp/>
        <stp>21422436</stp>
        <stp>@bh,NZDJPY,h1,close,3</stp>
        <tr r="U5" s="3"/>
      </tp>
      <tp>
        <v>89.34</v>
        <stp/>
        <stp>21422436</stp>
        <stp>@bh,NZDJPY,h4,close,6</stp>
        <tr r="U8" s="1"/>
      </tp>
      <tp>
        <v>98.426000000000002</v>
        <stp/>
        <stp>21422436</stp>
        <stp>@bh,AUDJPY,h1,close,3</stp>
        <tr r="E5" s="3"/>
      </tp>
      <tp>
        <v>97.944000000000003</v>
        <stp/>
        <stp>21422436</stp>
        <stp>@bh,AUDJPY,h4,close,6</stp>
        <tr r="E8" s="1"/>
      </tp>
      <tp>
        <v>89.899000000000001</v>
        <stp/>
        <stp>21422436</stp>
        <stp>@bh,NZDJPY,h4,close,9</stp>
        <tr r="U11" s="1"/>
      </tp>
      <tp>
        <v>107.18300000000001</v>
        <stp/>
        <stp>21422436</stp>
        <stp>@bh,CADJPY,h1,close,1</stp>
        <tr r="Y3" s="3"/>
      </tp>
      <tp>
        <v>106.819</v>
        <stp/>
        <stp>21422436</stp>
        <stp>@bh,CADJPY,h4,close,4</stp>
        <tr r="Y6" s="1"/>
      </tp>
      <tp>
        <v>98.298000000000002</v>
        <stp/>
        <stp>21422436</stp>
        <stp>@bh,AUDJPY,h1,close,2</stp>
        <tr r="E4" s="3"/>
      </tp>
      <tp>
        <v>98.542000000000002</v>
        <stp/>
        <stp>21422436</stp>
        <stp>@bh,AUDJPY,h4,close,7</stp>
        <tr r="E9" s="1"/>
      </tp>
      <tp>
        <v>89.906000000000006</v>
        <stp/>
        <stp>21422436</stp>
        <stp>@bh,NZDJPY,h4,close,8</stp>
        <tr r="U10" s="1"/>
      </tp>
      <tp>
        <v>107.236</v>
        <stp/>
        <stp>21422436</stp>
        <stp>@bh,CADJPY,h1,close,0</stp>
        <tr r="Y2" s="3"/>
      </tp>
      <tp>
        <v>106.64700000000001</v>
        <stp/>
        <stp>21422436</stp>
        <stp>@bh,CADJPY,h4,close,5</stp>
        <tr r="Y7" s="1"/>
      </tp>
      <tp>
        <v>98.251999999999995</v>
        <stp/>
        <stp>21422436</stp>
        <stp>@bh,AUDJPY,h1,close,1</stp>
        <tr r="E3" s="3"/>
      </tp>
      <tp>
        <v>98.182000000000002</v>
        <stp/>
        <stp>21422436</stp>
        <stp>@bh,AUDJPY,h4,close,4</stp>
        <tr r="E6" s="1"/>
      </tp>
      <tp>
        <v>107.402</v>
        <stp/>
        <stp>21422436</stp>
        <stp>@bh,CADJPY,h1,close,3</stp>
        <tr r="Y5" s="3"/>
      </tp>
      <tp>
        <v>106.66800000000001</v>
        <stp/>
        <stp>21422436</stp>
        <stp>@bh,CADJPY,h4,close,6</stp>
        <tr r="Y8" s="1"/>
      </tp>
      <tp>
        <v>98.275000000000006</v>
        <stp/>
        <stp>21422436</stp>
        <stp>@bh,AUDJPY,h1,close,0</stp>
        <tr r="E2" s="3"/>
      </tp>
      <tp>
        <v>98.001999999999995</v>
        <stp/>
        <stp>21422436</stp>
        <stp>@bh,AUDJPY,h4,close,5</stp>
        <tr r="E7" s="1"/>
      </tp>
      <tp>
        <v>107.203</v>
        <stp/>
        <stp>21422436</stp>
        <stp>@bh,CADJPY,h1,close,2</stp>
        <tr r="Y4" s="3"/>
      </tp>
      <tp>
        <v>107.31699999999999</v>
        <stp/>
        <stp>21422436</stp>
        <stp>@bh,CADJPY,h4,close,7</stp>
        <tr r="Y9" s="1"/>
      </tp>
      <tp>
        <v>98.423000000000002</v>
        <stp/>
        <stp>21422436</stp>
        <stp>@bh,AUDJPY,h1,close,7</stp>
        <tr r="E9" s="3"/>
      </tp>
      <tp>
        <v>98.364999999999995</v>
        <stp/>
        <stp>21422436</stp>
        <stp>@bh,AUDJPY,h4,close,2</stp>
        <tr r="E4" s="1"/>
      </tp>
      <tp>
        <v>89.66</v>
        <stp/>
        <stp>21422436</stp>
        <stp>@bh,NZDJPY,h1,close,8</stp>
        <tr r="U10" s="3"/>
      </tp>
      <tp>
        <v>107.373</v>
        <stp/>
        <stp>21422436</stp>
        <stp>@bh,CADJPY,h1,close,5</stp>
        <tr r="Y7" s="3"/>
      </tp>
      <tp>
        <v>107.236</v>
        <stp/>
        <stp>21422436</stp>
        <stp>@bh,CADJPY,h4,close,0</stp>
        <tr r="Y2" s="1"/>
      </tp>
      <tp>
        <v>98.364999999999995</v>
        <stp/>
        <stp>21422436</stp>
        <stp>@bh,AUDJPY,h1,close,6</stp>
        <tr r="E8" s="3"/>
      </tp>
      <tp>
        <v>98.25</v>
        <stp/>
        <stp>21422436</stp>
        <stp>@bh,AUDJPY,h4,close,3</stp>
        <tr r="E5" s="1"/>
      </tp>
      <tp>
        <v>89.51</v>
        <stp/>
        <stp>21422436</stp>
        <stp>@bh,NZDJPY,h1,close,9</stp>
        <tr r="U11" s="3"/>
      </tp>
      <tp>
        <v>107.483</v>
        <stp/>
        <stp>21422436</stp>
        <stp>@bh,CADJPY,h1,close,4</stp>
        <tr r="Y6" s="3"/>
      </tp>
      <tp>
        <v>107.203</v>
        <stp/>
        <stp>21422436</stp>
        <stp>@bh,CADJPY,h4,close,1</stp>
        <tr r="Y3" s="1"/>
      </tp>
      <tp>
        <v>98.450999999999993</v>
        <stp/>
        <stp>21422436</stp>
        <stp>@bh,AUDJPY,h1,close,5</stp>
        <tr r="E7" s="3"/>
      </tp>
      <tp>
        <v>98.275000000000006</v>
        <stp/>
        <stp>21422436</stp>
        <stp>@bh,AUDJPY,h4,close,0</stp>
        <tr r="E2" s="1"/>
      </tp>
      <tp>
        <v>107.322</v>
        <stp/>
        <stp>21422436</stp>
        <stp>@bh,CADJPY,h1,close,7</stp>
        <tr r="Y9" s="3"/>
      </tp>
      <tp>
        <v>107.285</v>
        <stp/>
        <stp>21422436</stp>
        <stp>@bh,CADJPY,h4,close,2</stp>
        <tr r="Y4" s="1"/>
      </tp>
      <tp>
        <v>98.552999999999997</v>
        <stp/>
        <stp>21422436</stp>
        <stp>@bh,AUDJPY,h1,close,4</stp>
        <tr r="E6" s="3"/>
      </tp>
      <tp>
        <v>98.298000000000002</v>
        <stp/>
        <stp>21422436</stp>
        <stp>@bh,AUDJPY,h4,close,1</stp>
        <tr r="E3" s="1"/>
      </tp>
      <tp>
        <v>107.285</v>
        <stp/>
        <stp>21422436</stp>
        <stp>@bh,CADJPY,h1,close,6</stp>
        <tr r="Y8" s="3"/>
      </tp>
      <tp>
        <v>107</v>
        <stp/>
        <stp>21422436</stp>
        <stp>@bh,CADJPY,h4,close,3</stp>
        <tr r="Y5" s="1"/>
      </tp>
      <tp>
        <v>1.09683</v>
        <stp/>
        <stp>21422436</stp>
        <stp>@bh,AUDNZD,h1,close,1</stp>
        <tr r="D3" s="3"/>
      </tp>
      <tp>
        <v>1.09528</v>
        <stp/>
        <stp>21422436</stp>
        <stp>@bh,AUDNZD,h4,close,4</stp>
        <tr r="D6" s="1"/>
      </tp>
      <tp>
        <v>1.09659</v>
        <stp/>
        <stp>21422436</stp>
        <stp>@bh,AUDNZD,h1,close,0</stp>
        <tr r="D2" s="3"/>
      </tp>
      <tp>
        <v>1.0962700000000001</v>
        <stp/>
        <stp>21422436</stp>
        <stp>@bh,AUDNZD,h4,close,5</stp>
        <tr r="D7" s="1"/>
      </tp>
      <tp>
        <v>1.09737</v>
        <stp/>
        <stp>21422436</stp>
        <stp>@bh,AUDNZD,h1,close,3</stp>
        <tr r="D5" s="3"/>
      </tp>
      <tp>
        <v>1.09619</v>
        <stp/>
        <stp>21422436</stp>
        <stp>@bh,AUDNZD,h4,close,6</stp>
        <tr r="D8" s="1"/>
      </tp>
      <tp>
        <v>1.09714</v>
        <stp/>
        <stp>21422436</stp>
        <stp>@bh,AUDNZD,h1,close,2</stp>
        <tr r="D4" s="3"/>
      </tp>
      <tp>
        <v>1.09714</v>
        <stp/>
        <stp>21422436</stp>
        <stp>@bh,AUDNZD,h4,close,7</stp>
        <tr r="D9" s="1"/>
      </tp>
      <tp>
        <v>1.0973900000000001</v>
        <stp/>
        <stp>21422436</stp>
        <stp>@bh,AUDNZD,h1,close,5</stp>
        <tr r="D7" s="3"/>
      </tp>
      <tp>
        <v>1.09659</v>
        <stp/>
        <stp>21422436</stp>
        <stp>@bh,AUDNZD,h4,close,0</stp>
        <tr r="D2" s="1"/>
      </tp>
      <tp>
        <v>1.0976399999999999</v>
        <stp/>
        <stp>21422436</stp>
        <stp>@bh,AUDNZD,h1,close,4</stp>
        <tr r="D6" s="3"/>
      </tp>
      <tp>
        <v>1.09714</v>
        <stp/>
        <stp>21422436</stp>
        <stp>@bh,AUDNZD,h4,close,1</stp>
        <tr r="D3" s="1"/>
      </tp>
      <tp>
        <v>1.09748</v>
        <stp/>
        <stp>21422436</stp>
        <stp>@bh,AUDNZD,h1,close,7</stp>
        <tr r="D9" s="3"/>
      </tp>
      <tp>
        <v>1.0973200000000001</v>
        <stp/>
        <stp>21422436</stp>
        <stp>@bh,AUDNZD,h4,close,2</stp>
        <tr r="D4" s="1"/>
      </tp>
      <tp>
        <v>1.0973200000000001</v>
        <stp/>
        <stp>21422436</stp>
        <stp>@bh,AUDNZD,h1,close,6</stp>
        <tr r="D8" s="3"/>
      </tp>
      <tp>
        <v>1.09795</v>
        <stp/>
        <stp>21422436</stp>
        <stp>@bh,AUDNZD,h4,close,3</stp>
        <tr r="D5" s="1"/>
      </tp>
      <tp>
        <v>1.09711</v>
        <stp/>
        <stp>21422436</stp>
        <stp>@bh,AUDNZD,h1,close,9</stp>
        <tr r="D11" s="3"/>
      </tp>
      <tp>
        <v>1.09744</v>
        <stp/>
        <stp>21422436</stp>
        <stp>@bh,AUDNZD,h1,close,8</stp>
        <tr r="D10" s="3"/>
      </tp>
      <tp>
        <v>1.09646</v>
        <stp/>
        <stp>21422436</stp>
        <stp>@bh,AUDNZD,h4,close,8</stp>
        <tr r="D10" s="1"/>
      </tp>
      <tp>
        <v>1.0979300000000001</v>
        <stp/>
        <stp>21422436</stp>
        <stp>@bh,AUDNZD,h4,close,9</stp>
        <tr r="D11" s="1"/>
      </tp>
      <tp>
        <v>0.62699000000000005</v>
        <stp/>
        <stp>21422436</stp>
        <stp>@bh,CADCHF,d1,close,1</stp>
        <tr r="Z3" s="2"/>
      </tp>
      <tp>
        <v>0.82230000000000003</v>
        <stp/>
        <stp>21422436</stp>
        <stp>@bh,NZDCAD,d1,close,5</stp>
        <tr r="X7" s="2"/>
      </tp>
      <tp>
        <v>0.57755999999999996</v>
        <stp/>
        <stp>21422436</stp>
        <stp>@bh,AUDCHF,d1,close,3</stp>
        <tr r="F5" s="2"/>
      </tp>
      <tp>
        <v>0.62802999999999998</v>
        <stp/>
        <stp>21422436</stp>
        <stp>@bh,CADCHF,d1,close,0</stp>
        <tr r="Z2" s="2"/>
      </tp>
      <tp>
        <v>0.82145000000000001</v>
        <stp/>
        <stp>21422436</stp>
        <stp>@bh,NZDCAD,d1,close,4</stp>
        <tr r="X6" s="2"/>
      </tp>
      <tp>
        <v>0.58087</v>
        <stp/>
        <stp>21422436</stp>
        <stp>@bh,AUDCHF,d1,close,2</stp>
        <tr r="F4" s="2"/>
      </tp>
      <tp>
        <v>0.63305</v>
        <stp/>
        <stp>21422436</stp>
        <stp>@bh,CADCHF,d1,close,3</stp>
        <tr r="Z5" s="2"/>
      </tp>
      <tp>
        <v>0.82691999999999999</v>
        <stp/>
        <stp>21422436</stp>
        <stp>@bh,NZDCAD,d1,close,7</stp>
        <tr r="X9" s="2"/>
      </tp>
      <tp>
        <v>0.90224000000000004</v>
        <stp/>
        <stp>21422436</stp>
        <stp>@bh,AUDCAD,d1,close,8</stp>
        <tr r="G10" s="2"/>
      </tp>
      <tp>
        <v>0.57616999999999996</v>
        <stp/>
        <stp>21422436</stp>
        <stp>@bh,AUDCHF,d1,close,1</stp>
        <tr r="F3" s="2"/>
      </tp>
      <tp>
        <v>0.63285999999999998</v>
        <stp/>
        <stp>21422436</stp>
        <stp>@bh,CADCHF,d1,close,2</stp>
        <tr r="Z4" s="2"/>
      </tp>
      <tp>
        <v>0.83287</v>
        <stp/>
        <stp>21422436</stp>
        <stp>@bh,NZDCAD,d1,close,6</stp>
        <tr r="X8" s="2"/>
      </tp>
      <tp>
        <v>0.90532999999999997</v>
        <stp/>
        <stp>21422436</stp>
        <stp>@bh,AUDCAD,d1,close,9</stp>
        <tr r="G11" s="2"/>
      </tp>
      <tp>
        <v>0.57557000000000003</v>
        <stp/>
        <stp>21422436</stp>
        <stp>@bh,AUDCHF,d1,close,0</stp>
        <tr r="F2" s="2"/>
      </tp>
      <tp>
        <v>0.63080000000000003</v>
        <stp/>
        <stp>21422436</stp>
        <stp>@bh,CADCHF,d1,close,5</stp>
        <tr r="Z7" s="2"/>
      </tp>
      <tp>
        <v>0.51902000000000004</v>
        <stp/>
        <stp>21422436</stp>
        <stp>@bh,NZDCHF,d1,close,8</stp>
        <tr r="V10" s="2"/>
      </tp>
      <tp>
        <v>0.83808000000000005</v>
        <stp/>
        <stp>21422436</stp>
        <stp>@bh,NZDCAD,d1,close,1</stp>
        <tr r="X3" s="2"/>
      </tp>
      <tp>
        <v>0.56977</v>
        <stp/>
        <stp>21422436</stp>
        <stp>@bh,AUDCHF,d1,close,7</stp>
        <tr r="F9" s="2"/>
      </tp>
      <tp>
        <v>0.63554999999999995</v>
        <stp/>
        <stp>21422436</stp>
        <stp>@bh,CADCHF,d1,close,4</stp>
        <tr r="Z6" s="2"/>
      </tp>
      <tp>
        <v>0.52107000000000003</v>
        <stp/>
        <stp>21422436</stp>
        <stp>@bh,NZDCHF,d1,close,9</stp>
        <tr r="V11" s="2"/>
      </tp>
      <tp>
        <v>0.83562999999999998</v>
        <stp/>
        <stp>21422436</stp>
        <stp>@bh,NZDCAD,d1,close,0</stp>
        <tr r="X2" s="2"/>
      </tp>
      <tp>
        <v>0.57362999999999997</v>
        <stp/>
        <stp>21422436</stp>
        <stp>@bh,AUDCHF,d1,close,6</stp>
        <tr r="F8" s="2"/>
      </tp>
      <tp>
        <v>0.62953000000000003</v>
        <stp/>
        <stp>21422436</stp>
        <stp>@bh,CADCHF,d1,close,7</stp>
        <tr r="Z9" s="2"/>
      </tp>
      <tp>
        <v>0.82811000000000001</v>
        <stp/>
        <stp>21422436</stp>
        <stp>@bh,NZDCAD,d1,close,3</stp>
        <tr r="X5" s="2"/>
      </tp>
      <tp>
        <v>0.57062999999999997</v>
        <stp/>
        <stp>21422436</stp>
        <stp>@bh,AUDCHF,d1,close,5</stp>
        <tr r="F7" s="2"/>
      </tp>
      <tp>
        <v>0.63090000000000002</v>
        <stp/>
        <stp>21422436</stp>
        <stp>@bh,CADCHF,d1,close,6</stp>
        <tr r="Z8" s="2"/>
      </tp>
      <tp>
        <v>0.83350999999999997</v>
        <stp/>
        <stp>21422436</stp>
        <stp>@bh,NZDCAD,d1,close,2</stp>
        <tr r="X4" s="2"/>
      </tp>
      <tp>
        <v>0.57676000000000005</v>
        <stp/>
        <stp>21422436</stp>
        <stp>@bh,AUDCHF,d1,close,4</stp>
        <tr r="F6" s="2"/>
      </tp>
      <tp>
        <v>0.63104000000000005</v>
        <stp/>
        <stp>21422436</stp>
        <stp>@bh,CADCHF,d1,close,9</stp>
        <tr r="Z11" s="2"/>
      </tp>
      <tp>
        <v>0.52205999999999997</v>
        <stp/>
        <stp>21422436</stp>
        <stp>@bh,NZDCHF,d1,close,4</stp>
        <tr r="V6" s="2"/>
      </tp>
      <tp>
        <v>0.91774999999999995</v>
        <stp/>
        <stp>21422436</stp>
        <stp>@bh,AUDCAD,d1,close,2</stp>
        <tr r="G4" s="2"/>
      </tp>
      <tp>
        <v>0.63012000000000001</v>
        <stp/>
        <stp>21422436</stp>
        <stp>@bh,CADCHF,d1,close,8</stp>
        <tr r="Z10" s="2"/>
      </tp>
      <tp>
        <v>0.51859</v>
        <stp/>
        <stp>21422436</stp>
        <stp>@bh,NZDCHF,d1,close,5</stp>
        <tr r="V7" s="2"/>
      </tp>
      <tp>
        <v>0.91229000000000005</v>
        <stp/>
        <stp>21422436</stp>
        <stp>@bh,AUDCAD,d1,close,3</stp>
        <tr r="G5" s="2"/>
      </tp>
      <tp>
        <v>0.52544999999999997</v>
        <stp/>
        <stp>21422436</stp>
        <stp>@bh,NZDCHF,d1,close,6</stp>
        <tr r="V8" s="2"/>
      </tp>
      <tp>
        <v>0.91644000000000003</v>
        <stp/>
        <stp>21422436</stp>
        <stp>@bh,AUDCAD,d1,close,0</stp>
        <tr r="G2" s="2"/>
      </tp>
      <tp>
        <v>0.57133</v>
        <stp/>
        <stp>21422436</stp>
        <stp>@bh,AUDCHF,d1,close,9</stp>
        <tr r="F11" s="2"/>
      </tp>
      <tp>
        <v>0.52056999999999998</v>
        <stp/>
        <stp>21422436</stp>
        <stp>@bh,NZDCHF,d1,close,7</stp>
        <tr r="V9" s="2"/>
      </tp>
      <tp>
        <v>0.91886999999999996</v>
        <stp/>
        <stp>21422436</stp>
        <stp>@bh,AUDCAD,d1,close,1</stp>
        <tr r="G3" s="2"/>
      </tp>
      <tp>
        <v>0.56857000000000002</v>
        <stp/>
        <stp>21422436</stp>
        <stp>@bh,AUDCHF,d1,close,8</stp>
        <tr r="F10" s="2"/>
      </tp>
      <tp>
        <v>0.52483000000000002</v>
        <stp/>
        <stp>21422436</stp>
        <stp>@bh,NZDCHF,d1,close,0</stp>
        <tr r="V2" s="2"/>
      </tp>
      <tp>
        <v>0.82577</v>
        <stp/>
        <stp>21422436</stp>
        <stp>@bh,NZDCAD,d1,close,9</stp>
        <tr r="X11" s="2"/>
      </tp>
      <tp>
        <v>0.90917000000000003</v>
        <stp/>
        <stp>21422436</stp>
        <stp>@bh,AUDCAD,d1,close,6</stp>
        <tr r="G8" s="2"/>
      </tp>
      <tp>
        <v>0.52546000000000004</v>
        <stp/>
        <stp>21422436</stp>
        <stp>@bh,NZDCHF,d1,close,1</stp>
        <tr r="V3" s="2"/>
      </tp>
      <tp>
        <v>0.8236</v>
        <stp/>
        <stp>21422436</stp>
        <stp>@bh,NZDCAD,d1,close,8</stp>
        <tr r="X10" s="2"/>
      </tp>
      <tp>
        <v>0.90500000000000003</v>
        <stp/>
        <stp>21422436</stp>
        <stp>@bh,AUDCAD,d1,close,7</stp>
        <tr r="G9" s="2"/>
      </tp>
      <tp>
        <v>0.52749999999999997</v>
        <stp/>
        <stp>21422436</stp>
        <stp>@bh,NZDCHF,d1,close,2</stp>
        <tr r="V4" s="2"/>
      </tp>
      <tp>
        <v>0.90742999999999996</v>
        <stp/>
        <stp>21422436</stp>
        <stp>@bh,AUDCAD,d1,close,4</stp>
        <tr r="G6" s="2"/>
      </tp>
      <tp>
        <v>0.52427000000000001</v>
        <stp/>
        <stp>21422436</stp>
        <stp>@bh,NZDCHF,d1,close,3</stp>
        <tr r="V5" s="2"/>
      </tp>
      <tp>
        <v>0.90458000000000005</v>
        <stp/>
        <stp>21422436</stp>
        <stp>@bh,AUDCAD,d1,close,5</stp>
        <tr r="G7" s="2"/>
      </tp>
      <tp>
        <v>0.86516999999999999</v>
        <stp/>
        <stp>21422436</stp>
        <stp>@bh,USDCHF,d1,close,7</stp>
        <tr r="AC9" s="2"/>
      </tp>
      <tp>
        <v>0.86477000000000004</v>
        <stp/>
        <stp>21422436</stp>
        <stp>@bh,USDCHF,d1,close,6</stp>
        <tr r="AC8" s="2"/>
      </tp>
      <tp>
        <v>0.86509000000000003</v>
        <stp/>
        <stp>21422436</stp>
        <stp>@bh,USDCHF,d1,close,5</stp>
        <tr r="AC7" s="2"/>
      </tp>
      <tp>
        <v>0.87253999999999998</v>
        <stp/>
        <stp>21422436</stp>
        <stp>@bh,USDCHF,d1,close,4</stp>
        <tr r="AC6" s="2"/>
      </tp>
      <tp>
        <v>0.86599000000000004</v>
        <stp/>
        <stp>21422436</stp>
        <stp>@bh,USDCHF,d1,close,3</stp>
        <tr r="AC5" s="2"/>
      </tp>
      <tp>
        <v>0.86287999999999998</v>
        <stp/>
        <stp>21422436</stp>
        <stp>@bh,USDCHF,d1,close,2</stp>
        <tr r="AC4" s="2"/>
      </tp>
      <tp>
        <v>0.85402999999999996</v>
        <stp/>
        <stp>21422436</stp>
        <stp>@bh,USDCHF,d1,close,1</stp>
        <tr r="AC3" s="2"/>
      </tp>
      <tp>
        <v>1.37293</v>
        <stp/>
        <stp>21422436</stp>
        <stp>@bh,USDCAD,d1,close,8</stp>
        <tr r="AB10" s="2"/>
      </tp>
      <tp>
        <v>0.85428999999999999</v>
        <stp/>
        <stp>21422436</stp>
        <stp>@bh,USDCHF,d1,close,0</stp>
        <tr r="AC2" s="2"/>
      </tp>
      <tp>
        <v>1.3734599999999999</v>
        <stp/>
        <stp>21422436</stp>
        <stp>@bh,USDCAD,d1,close,9</stp>
        <tr r="AB11" s="2"/>
      </tp>
      <tp>
        <v>1.37063</v>
        <stp/>
        <stp>21422436</stp>
        <stp>@bh,USDCAD,d1,close,6</stp>
        <tr r="AB8" s="2"/>
      </tp>
      <tp>
        <v>1.3742300000000001</v>
        <stp/>
        <stp>21422436</stp>
        <stp>@bh,USDCAD,d1,close,7</stp>
        <tr r="AB9" s="2"/>
      </tp>
      <tp>
        <v>1.3729</v>
        <stp/>
        <stp>21422436</stp>
        <stp>@bh,USDCAD,d1,close,4</stp>
        <tr r="AB6" s="2"/>
      </tp>
      <tp>
        <v>1.3713900000000001</v>
        <stp/>
        <stp>21422436</stp>
        <stp>@bh,USDCAD,d1,close,5</stp>
        <tr r="AB7" s="2"/>
      </tp>
      <tp>
        <v>1.36334</v>
        <stp/>
        <stp>21422436</stp>
        <stp>@bh,USDCAD,d1,close,2</stp>
        <tr r="AB4" s="2"/>
      </tp>
      <tp>
        <v>1.3678999999999999</v>
        <stp/>
        <stp>21422436</stp>
        <stp>@bh,USDCAD,d1,close,3</stp>
        <tr r="AB5" s="2"/>
      </tp>
      <tp>
        <v>0.86668000000000001</v>
        <stp/>
        <stp>21422436</stp>
        <stp>@bh,USDCHF,d1,close,9</stp>
        <tr r="AC11" s="2"/>
      </tp>
      <tp>
        <v>1.3602700000000001</v>
        <stp/>
        <stp>21422436</stp>
        <stp>@bh,USDCAD,d1,close,0</stp>
        <tr r="AB2" s="2"/>
      </tp>
      <tp>
        <v>0.86516000000000004</v>
        <stp/>
        <stp>21422436</stp>
        <stp>@bh,USDCHF,d1,close,8</stp>
        <tr r="AC10" s="2"/>
      </tp>
      <tp>
        <v>1.3620300000000001</v>
        <stp/>
        <stp>21422436</stp>
        <stp>@bh,USDCAD,d1,close,1</stp>
        <tr r="AB3" s="2"/>
      </tp>
      <tp>
        <v>1.0962700000000001</v>
        <stp/>
        <stp>21422436</stp>
        <stp>@bh,AUDNZD,d1,close,1</stp>
        <tr r="D3" s="2"/>
      </tp>
      <tp>
        <v>1.09659</v>
        <stp/>
        <stp>21422436</stp>
        <stp>@bh,AUDNZD,d1,close,0</stp>
        <tr r="D2" s="2"/>
      </tp>
      <tp>
        <v>1.1014600000000001</v>
        <stp/>
        <stp>21422436</stp>
        <stp>@bh,AUDNZD,d1,close,3</stp>
        <tr r="D5" s="2"/>
      </tp>
      <tp>
        <v>1.1009</v>
        <stp/>
        <stp>21422436</stp>
        <stp>@bh,AUDNZD,d1,close,2</stp>
        <tr r="D4" s="2"/>
      </tp>
      <tp>
        <v>1.0999399999999999</v>
        <stp/>
        <stp>21422436</stp>
        <stp>@bh,AUDNZD,d1,close,5</stp>
        <tr r="D7" s="2"/>
      </tp>
      <tp>
        <v>1.10453</v>
        <stp/>
        <stp>21422436</stp>
        <stp>@bh,AUDNZD,d1,close,4</stp>
        <tr r="D6" s="2"/>
      </tp>
      <tp>
        <v>1.09426</v>
        <stp/>
        <stp>21422436</stp>
        <stp>@bh,AUDNZD,d1,close,7</stp>
        <tr r="D9" s="2"/>
      </tp>
      <tp>
        <v>1.0914900000000001</v>
        <stp/>
        <stp>21422436</stp>
        <stp>@bh,AUDNZD,d1,close,6</stp>
        <tr r="D8" s="2"/>
      </tp>
      <tp>
        <v>1.0961799999999999</v>
        <stp/>
        <stp>21422436</stp>
        <stp>@bh,AUDNZD,d1,close,9</stp>
        <tr r="D11" s="2"/>
      </tp>
      <tp>
        <v>1.09524</v>
        <stp/>
        <stp>21422436</stp>
        <stp>@bh,AUDNZD,d1,close,8</stp>
        <tr r="D10" s="2"/>
      </tp>
      <tp>
        <v>0.62778999999999996</v>
        <stp/>
        <stp>21422436</stp>
        <stp>@bh,CADCHF,h1,close,1</stp>
        <tr r="Z3" s="3"/>
      </tp>
      <tp>
        <v>0.62683</v>
        <stp/>
        <stp>21422436</stp>
        <stp>@bh,CADCHF,h4,close,4</stp>
        <tr r="Z6" s="1"/>
      </tp>
      <tp>
        <v>0.52744000000000002</v>
        <stp/>
        <stp>21422436</stp>
        <stp>@bh,NZDCHF,h4,close,9</stp>
        <tr r="V11" s="1"/>
      </tp>
      <tp>
        <v>0.83545000000000003</v>
        <stp/>
        <stp>21422436</stp>
        <stp>@bh,NZDCAD,h1,close,5</stp>
        <tr r="X7" s="3"/>
      </tp>
      <tp>
        <v>0.83562999999999998</v>
        <stp/>
        <stp>21422436</stp>
        <stp>@bh,NZDCAD,h4,close,0</stp>
        <tr r="X2" s="1"/>
      </tp>
      <tp>
        <v>0.57621999999999995</v>
        <stp/>
        <stp>21422436</stp>
        <stp>@bh,AUDCHF,h1,close,3</stp>
        <tr r="F5" s="3"/>
      </tp>
      <tp>
        <v>0.57674000000000003</v>
        <stp/>
        <stp>21422436</stp>
        <stp>@bh,AUDCHF,h4,close,6</stp>
        <tr r="F8" s="1"/>
      </tp>
      <tp>
        <v>0.62802999999999998</v>
        <stp/>
        <stp>21422436</stp>
        <stp>@bh,CADCHF,h1,close,0</stp>
        <tr r="Z2" s="3"/>
      </tp>
      <tp>
        <v>0.62699000000000005</v>
        <stp/>
        <stp>21422436</stp>
        <stp>@bh,CADCHF,h4,close,5</stp>
        <tr r="Z7" s="1"/>
      </tp>
      <tp>
        <v>0.52775000000000005</v>
        <stp/>
        <stp>21422436</stp>
        <stp>@bh,NZDCHF,h4,close,8</stp>
        <tr r="V10" s="1"/>
      </tp>
      <tp>
        <v>0.83531999999999995</v>
        <stp/>
        <stp>21422436</stp>
        <stp>@bh,NZDCAD,h1,close,4</stp>
        <tr r="X6" s="3"/>
      </tp>
      <tp>
        <v>0.83570999999999995</v>
        <stp/>
        <stp>21422436</stp>
        <stp>@bh,NZDCAD,h4,close,1</stp>
        <tr r="X3" s="1"/>
      </tp>
      <tp>
        <v>0.57584999999999997</v>
        <stp/>
        <stp>21422436</stp>
        <stp>@bh,AUDCHF,h1,close,2</stp>
        <tr r="F4" s="3"/>
      </tp>
      <tp>
        <v>0.57916999999999996</v>
        <stp/>
        <stp>21422436</stp>
        <stp>@bh,AUDCHF,h4,close,7</stp>
        <tr r="F9" s="1"/>
      </tp>
      <tp>
        <v>0.62877000000000005</v>
        <stp/>
        <stp>21422436</stp>
        <stp>@bh,CADCHF,h1,close,3</stp>
        <tr r="Z5" s="3"/>
      </tp>
      <tp>
        <v>0.62812000000000001</v>
        <stp/>
        <stp>21422436</stp>
        <stp>@bh,CADCHF,h4,close,6</stp>
        <tr r="Z8" s="1"/>
      </tp>
      <tp>
        <v>0.83559000000000005</v>
        <stp/>
        <stp>21422436</stp>
        <stp>@bh,NZDCAD,h1,close,7</stp>
        <tr r="X9" s="3"/>
      </tp>
      <tp>
        <v>0.83548999999999995</v>
        <stp/>
        <stp>21422436</stp>
        <stp>@bh,NZDCAD,h4,close,2</stp>
        <tr r="X4" s="1"/>
      </tp>
      <tp>
        <v>0.91827999999999999</v>
        <stp/>
        <stp>21422436</stp>
        <stp>@bh,AUDCAD,h1,close,8</stp>
        <tr r="G10" s="3"/>
      </tp>
      <tp>
        <v>0.57547999999999999</v>
        <stp/>
        <stp>21422436</stp>
        <stp>@bh,AUDCHF,h1,close,1</stp>
        <tr r="F3" s="3"/>
      </tp>
      <tp>
        <v>0.57613999999999999</v>
        <stp/>
        <stp>21422436</stp>
        <stp>@bh,AUDCHF,h4,close,4</stp>
        <tr r="F6" s="1"/>
      </tp>
      <tp>
        <v>0.62802000000000002</v>
        <stp/>
        <stp>21422436</stp>
        <stp>@bh,CADCHF,h1,close,2</stp>
        <tr r="Z4" s="3"/>
      </tp>
      <tp>
        <v>0.63073999999999997</v>
        <stp/>
        <stp>21422436</stp>
        <stp>@bh,CADCHF,h4,close,7</stp>
        <tr r="Z9" s="1"/>
      </tp>
      <tp>
        <v>0.83548999999999995</v>
        <stp/>
        <stp>21422436</stp>
        <stp>@bh,NZDCAD,h1,close,6</stp>
        <tr r="X8" s="3"/>
      </tp>
      <tp>
        <v>0.83625000000000005</v>
        <stp/>
        <stp>21422436</stp>
        <stp>@bh,NZDCAD,h4,close,3</stp>
        <tr r="X5" s="1"/>
      </tp>
      <tp>
        <v>0.91791999999999996</v>
        <stp/>
        <stp>21422436</stp>
        <stp>@bh,AUDCAD,h1,close,9</stp>
        <tr r="G11" s="3"/>
      </tp>
      <tp>
        <v>0.57557000000000003</v>
        <stp/>
        <stp>21422436</stp>
        <stp>@bh,AUDCHF,h1,close,0</stp>
        <tr r="F2" s="3"/>
      </tp>
      <tp>
        <v>0.57616999999999996</v>
        <stp/>
        <stp>21422436</stp>
        <stp>@bh,AUDCHF,h4,close,5</stp>
        <tr r="F7" s="1"/>
      </tp>
      <tp>
        <v>0.62839</v>
        <stp/>
        <stp>21422436</stp>
        <stp>@bh,CADCHF,h1,close,5</stp>
        <tr r="Z7" s="3"/>
      </tp>
      <tp>
        <v>0.62802999999999998</v>
        <stp/>
        <stp>21422436</stp>
        <stp>@bh,CADCHF,h4,close,0</stp>
        <tr r="Z2" s="1"/>
      </tp>
      <tp>
        <v>0.52488000000000001</v>
        <stp/>
        <stp>21422436</stp>
        <stp>@bh,NZDCHF,h1,close,8</stp>
        <tr r="V10" s="3"/>
      </tp>
      <tp>
        <v>0.83567999999999998</v>
        <stp/>
        <stp>21422436</stp>
        <stp>@bh,NZDCAD,h1,close,1</stp>
        <tr r="X3" s="3"/>
      </tp>
      <tp>
        <v>0.83914999999999995</v>
        <stp/>
        <stp>21422436</stp>
        <stp>@bh,NZDCAD,h4,close,4</stp>
        <tr r="X6" s="1"/>
      </tp>
      <tp>
        <v>0.57633999999999996</v>
        <stp/>
        <stp>21422436</stp>
        <stp>@bh,AUDCHF,h1,close,7</stp>
        <tr r="F9" s="3"/>
      </tp>
      <tp>
        <v>0.57606000000000002</v>
        <stp/>
        <stp>21422436</stp>
        <stp>@bh,AUDCHF,h4,close,2</stp>
        <tr r="F4" s="1"/>
      </tp>
      <tp>
        <v>0.62904000000000004</v>
        <stp/>
        <stp>21422436</stp>
        <stp>@bh,CADCHF,h1,close,4</stp>
        <tr r="Z6" s="3"/>
      </tp>
      <tp>
        <v>0.62802000000000002</v>
        <stp/>
        <stp>21422436</stp>
        <stp>@bh,CADCHF,h4,close,1</stp>
        <tr r="Z3" s="1"/>
      </tp>
      <tp>
        <v>0.52503</v>
        <stp/>
        <stp>21422436</stp>
        <stp>@bh,NZDCHF,h1,close,9</stp>
        <tr r="V11" s="3"/>
      </tp>
      <tp>
        <v>0.83562999999999998</v>
        <stp/>
        <stp>21422436</stp>
        <stp>@bh,NZDCAD,h1,close,0</stp>
        <tr r="X2" s="3"/>
      </tp>
      <tp>
        <v>0.83808000000000005</v>
        <stp/>
        <stp>21422436</stp>
        <stp>@bh,NZDCAD,h4,close,5</stp>
        <tr r="X7" s="1"/>
      </tp>
      <tp>
        <v>0.57606000000000002</v>
        <stp/>
        <stp>21422436</stp>
        <stp>@bh,AUDCHF,h1,close,6</stp>
        <tr r="F8" s="3"/>
      </tp>
      <tp>
        <v>0.57611000000000001</v>
        <stp/>
        <stp>21422436</stp>
        <stp>@bh,AUDCHF,h4,close,3</stp>
        <tr r="F5" s="1"/>
      </tp>
      <tp>
        <v>0.62844999999999995</v>
        <stp/>
        <stp>21422436</stp>
        <stp>@bh,CADCHF,h1,close,7</stp>
        <tr r="Z9" s="3"/>
      </tp>
      <tp>
        <v>0.62829999999999997</v>
        <stp/>
        <stp>21422436</stp>
        <stp>@bh,CADCHF,h4,close,2</stp>
        <tr r="Z4" s="1"/>
      </tp>
      <tp>
        <v>0.83508000000000004</v>
        <stp/>
        <stp>21422436</stp>
        <stp>@bh,NZDCAD,h1,close,3</stp>
        <tr r="X5" s="3"/>
      </tp>
      <tp>
        <v>0.83753</v>
        <stp/>
        <stp>21422436</stp>
        <stp>@bh,NZDCAD,h4,close,6</stp>
        <tr r="X8" s="1"/>
      </tp>
      <tp>
        <v>0.91612000000000005</v>
        <stp/>
        <stp>21422436</stp>
        <stp>@bh,AUDCAD,h4,close,9</stp>
        <tr r="G11" s="1"/>
      </tp>
      <tp>
        <v>0.57618000000000003</v>
        <stp/>
        <stp>21422436</stp>
        <stp>@bh,AUDCHF,h1,close,5</stp>
        <tr r="F7" s="3"/>
      </tp>
      <tp>
        <v>0.57557000000000003</v>
        <stp/>
        <stp>21422436</stp>
        <stp>@bh,AUDCHF,h4,close,0</stp>
        <tr r="F2" s="1"/>
      </tp>
      <tp>
        <v>0.62829999999999997</v>
        <stp/>
        <stp>21422436</stp>
        <stp>@bh,CADCHF,h1,close,6</stp>
        <tr r="Z8" s="3"/>
      </tp>
      <tp>
        <v>0.62741000000000002</v>
        <stp/>
        <stp>21422436</stp>
        <stp>@bh,CADCHF,h4,close,3</stp>
        <tr r="Z5" s="1"/>
      </tp>
      <tp>
        <v>0.83570999999999995</v>
        <stp/>
        <stp>21422436</stp>
        <stp>@bh,NZDCAD,h1,close,2</stp>
        <tr r="X4" s="3"/>
      </tp>
      <tp>
        <v>0.83686000000000005</v>
        <stp/>
        <stp>21422436</stp>
        <stp>@bh,NZDCAD,h4,close,7</stp>
        <tr r="X9" s="1"/>
      </tp>
      <tp>
        <v>0.91612000000000005</v>
        <stp/>
        <stp>21422436</stp>
        <stp>@bh,AUDCAD,h4,close,8</stp>
        <tr r="G10" s="1"/>
      </tp>
      <tp>
        <v>0.57677999999999996</v>
        <stp/>
        <stp>21422436</stp>
        <stp>@bh,AUDCHF,h1,close,4</stp>
        <tr r="F6" s="3"/>
      </tp>
      <tp>
        <v>0.57584999999999997</v>
        <stp/>
        <stp>21422436</stp>
        <stp>@bh,AUDCHF,h4,close,1</stp>
        <tr r="F3" s="1"/>
      </tp>
      <tp>
        <v>0.62753000000000003</v>
        <stp/>
        <stp>21422436</stp>
        <stp>@bh,CADCHF,h1,close,9</stp>
        <tr r="Z11" s="3"/>
      </tp>
      <tp>
        <v>0.52546000000000004</v>
        <stp/>
        <stp>21422436</stp>
        <stp>@bh,NZDCHF,h1,close,4</stp>
        <tr r="V6" s="3"/>
      </tp>
      <tp>
        <v>0.52485000000000004</v>
        <stp/>
        <stp>21422436</stp>
        <stp>@bh,NZDCHF,h4,close,1</stp>
        <tr r="V3" s="1"/>
      </tp>
      <tp>
        <v>0.83550000000000002</v>
        <stp/>
        <stp>21422436</stp>
        <stp>@bh,NZDCAD,h4,close,8</stp>
        <tr r="X10" s="1"/>
      </tp>
      <tp>
        <v>0.91691999999999996</v>
        <stp/>
        <stp>21422436</stp>
        <stp>@bh,AUDCAD,h1,close,2</stp>
        <tr r="G4" s="3"/>
      </tp>
      <tp>
        <v>0.91822999999999999</v>
        <stp/>
        <stp>21422436</stp>
        <stp>@bh,AUDCAD,h4,close,7</stp>
        <tr r="G9" s="1"/>
      </tp>
      <tp>
        <v>0.62734999999999996</v>
        <stp/>
        <stp>21422436</stp>
        <stp>@bh,CADCHF,h1,close,8</stp>
        <tr r="Z10" s="3"/>
      </tp>
      <tp>
        <v>0.52500000000000002</v>
        <stp/>
        <stp>21422436</stp>
        <stp>@bh,NZDCHF,h1,close,5</stp>
        <tr r="V7" s="3"/>
      </tp>
      <tp>
        <v>0.52483000000000002</v>
        <stp/>
        <stp>21422436</stp>
        <stp>@bh,NZDCHF,h4,close,0</stp>
        <tr r="V2" s="1"/>
      </tp>
      <tp>
        <v>0.83433000000000002</v>
        <stp/>
        <stp>21422436</stp>
        <stp>@bh,NZDCAD,h4,close,9</stp>
        <tr r="X11" s="1"/>
      </tp>
      <tp>
        <v>0.91642000000000001</v>
        <stp/>
        <stp>21422436</stp>
        <stp>@bh,AUDCAD,h1,close,3</stp>
        <tr r="G5" s="3"/>
      </tp>
      <tp>
        <v>0.91820999999999997</v>
        <stp/>
        <stp>21422436</stp>
        <stp>@bh,AUDCAD,h4,close,6</stp>
        <tr r="G8" s="1"/>
      </tp>
      <tp>
        <v>0.52495999999999998</v>
        <stp/>
        <stp>21422436</stp>
        <stp>@bh,NZDCHF,h1,close,6</stp>
        <tr r="V8" s="3"/>
      </tp>
      <tp>
        <v>0.52468000000000004</v>
        <stp/>
        <stp>21422436</stp>
        <stp>@bh,NZDCHF,h4,close,3</stp>
        <tr r="V5" s="1"/>
      </tp>
      <tp>
        <v>0.91644000000000003</v>
        <stp/>
        <stp>21422436</stp>
        <stp>@bh,AUDCAD,h1,close,0</stp>
        <tr r="G2" s="3"/>
      </tp>
      <tp>
        <v>0.91886999999999996</v>
        <stp/>
        <stp>21422436</stp>
        <stp>@bh,AUDCAD,h4,close,5</stp>
        <tr r="G7" s="1"/>
      </tp>
      <tp>
        <v>0.57603000000000004</v>
        <stp/>
        <stp>21422436</stp>
        <stp>@bh,AUDCHF,h1,close,9</stp>
        <tr r="F11" s="3"/>
      </tp>
      <tp>
        <v>0.52514000000000005</v>
        <stp/>
        <stp>21422436</stp>
        <stp>@bh,NZDCHF,h1,close,7</stp>
        <tr r="V9" s="3"/>
      </tp>
      <tp>
        <v>0.52495999999999998</v>
        <stp/>
        <stp>21422436</stp>
        <stp>@bh,NZDCHF,h4,close,2</stp>
        <tr r="V4" s="1"/>
      </tp>
      <tp>
        <v>0.91666999999999998</v>
        <stp/>
        <stp>21422436</stp>
        <stp>@bh,AUDCAD,h1,close,1</stp>
        <tr r="G3" s="3"/>
      </tp>
      <tp>
        <v>0.91913999999999996</v>
        <stp/>
        <stp>21422436</stp>
        <stp>@bh,AUDCAD,h4,close,4</stp>
        <tr r="G6" s="1"/>
      </tp>
      <tp>
        <v>0.57608000000000004</v>
        <stp/>
        <stp>21422436</stp>
        <stp>@bh,AUDCHF,h1,close,8</stp>
        <tr r="F10" s="3"/>
      </tp>
      <tp>
        <v>0.63163999999999998</v>
        <stp/>
        <stp>21422436</stp>
        <stp>@bh,CADCHF,h4,close,8</stp>
        <tr r="Z10" s="1"/>
      </tp>
      <tp>
        <v>0.52483000000000002</v>
        <stp/>
        <stp>21422436</stp>
        <stp>@bh,NZDCHF,h1,close,0</stp>
        <tr r="V2" s="3"/>
      </tp>
      <tp>
        <v>0.52546000000000004</v>
        <stp/>
        <stp>21422436</stp>
        <stp>@bh,NZDCHF,h4,close,5</stp>
        <tr r="V7" s="1"/>
      </tp>
      <tp>
        <v>0.83662000000000003</v>
        <stp/>
        <stp>21422436</stp>
        <stp>@bh,NZDCAD,h1,close,9</stp>
        <tr r="X11" s="3"/>
      </tp>
      <tp>
        <v>0.91683999999999999</v>
        <stp/>
        <stp>21422436</stp>
        <stp>@bh,AUDCAD,h1,close,6</stp>
        <tr r="G8" s="3"/>
      </tp>
      <tp>
        <v>0.91822000000000004</v>
        <stp/>
        <stp>21422436</stp>
        <stp>@bh,AUDCAD,h4,close,3</stp>
        <tr r="G5" s="1"/>
      </tp>
      <tp>
        <v>0.63216000000000006</v>
        <stp/>
        <stp>21422436</stp>
        <stp>@bh,CADCHF,h4,close,9</stp>
        <tr r="Z11" s="1"/>
      </tp>
      <tp>
        <v>0.52464999999999995</v>
        <stp/>
        <stp>21422436</stp>
        <stp>@bh,NZDCHF,h1,close,1</stp>
        <tr r="V3" s="3"/>
      </tp>
      <tp>
        <v>0.52600999999999998</v>
        <stp/>
        <stp>21422436</stp>
        <stp>@bh,NZDCHF,h4,close,4</stp>
        <tr r="V6" s="1"/>
      </tp>
      <tp>
        <v>0.83665</v>
        <stp/>
        <stp>21422436</stp>
        <stp>@bh,NZDCAD,h1,close,8</stp>
        <tr r="X10" s="3"/>
      </tp>
      <tp>
        <v>0.91708000000000001</v>
        <stp/>
        <stp>21422436</stp>
        <stp>@bh,AUDCAD,h1,close,7</stp>
        <tr r="G9" s="3"/>
      </tp>
      <tp>
        <v>0.91683999999999999</v>
        <stp/>
        <stp>21422436</stp>
        <stp>@bh,AUDCAD,h4,close,2</stp>
        <tr r="G4" s="1"/>
      </tp>
      <tp>
        <v>0.52485000000000004</v>
        <stp/>
        <stp>21422436</stp>
        <stp>@bh,NZDCHF,h1,close,2</stp>
        <tr r="V4" s="3"/>
      </tp>
      <tp>
        <v>0.52786</v>
        <stp/>
        <stp>21422436</stp>
        <stp>@bh,NZDCHF,h4,close,7</stp>
        <tr r="V9" s="1"/>
      </tp>
      <tp>
        <v>0.91693000000000002</v>
        <stp/>
        <stp>21422436</stp>
        <stp>@bh,AUDCAD,h1,close,4</stp>
        <tr r="G6" s="3"/>
      </tp>
      <tp>
        <v>0.91691999999999996</v>
        <stp/>
        <stp>21422436</stp>
        <stp>@bh,AUDCAD,h4,close,1</stp>
        <tr r="G3" s="1"/>
      </tp>
      <tp>
        <v>0.57867999999999997</v>
        <stp/>
        <stp>21422436</stp>
        <stp>@bh,AUDCHF,h4,close,8</stp>
        <tr r="F10" s="1"/>
      </tp>
      <tp>
        <v>0.52507999999999999</v>
        <stp/>
        <stp>21422436</stp>
        <stp>@bh,NZDCHF,h1,close,3</stp>
        <tr r="V5" s="3"/>
      </tp>
      <tp>
        <v>0.52607999999999999</v>
        <stp/>
        <stp>21422436</stp>
        <stp>@bh,NZDCHF,h4,close,6</stp>
        <tr r="V8" s="1"/>
      </tp>
      <tp>
        <v>0.91691</v>
        <stp/>
        <stp>21422436</stp>
        <stp>@bh,AUDCAD,h1,close,5</stp>
        <tr r="G7" s="3"/>
      </tp>
      <tp>
        <v>0.91644000000000003</v>
        <stp/>
        <stp>21422436</stp>
        <stp>@bh,AUDCAD,h4,close,0</stp>
        <tr r="G2" s="1"/>
      </tp>
      <tp>
        <v>0.57913000000000003</v>
        <stp/>
        <stp>21422436</stp>
        <stp>@bh,AUDCHF,h4,close,9</stp>
        <tr r="F11" s="1"/>
      </tp>
      <tp>
        <v>0.85579000000000005</v>
        <stp/>
        <stp>21422436</stp>
        <stp>@bh,USDCHF,h1,close,7</stp>
        <tr r="AC9" s="3"/>
      </tp>
      <tp>
        <v>0.85523000000000005</v>
        <stp/>
        <stp>21422436</stp>
        <stp>@bh,USDCHF,h4,close,2</stp>
        <tr r="AC4" s="1"/>
      </tp>
      <tp>
        <v>0.85523000000000005</v>
        <stp/>
        <stp>21422436</stp>
        <stp>@bh,USDCHF,h1,close,6</stp>
        <tr r="AC8" s="3"/>
      </tp>
      <tp>
        <v>0.85419999999999996</v>
        <stp/>
        <stp>21422436</stp>
        <stp>@bh,USDCHF,h4,close,3</stp>
        <tr r="AC5" s="1"/>
      </tp>
      <tp>
        <v>0.85514000000000001</v>
        <stp/>
        <stp>21422436</stp>
        <stp>@bh,USDCHF,h1,close,5</stp>
        <tr r="AC7" s="3"/>
      </tp>
      <tp>
        <v>0.85428999999999999</v>
        <stp/>
        <stp>21422436</stp>
        <stp>@bh,USDCHF,h4,close,0</stp>
        <tr r="AC2" s="1"/>
      </tp>
      <tp>
        <v>1.36368</v>
        <stp/>
        <stp>21422436</stp>
        <stp>@bh,USDCAD,h4,close,9</stp>
        <tr r="AB11" s="1"/>
      </tp>
      <tp>
        <v>0.85548000000000002</v>
        <stp/>
        <stp>21422436</stp>
        <stp>@bh,USDCHF,h1,close,4</stp>
        <tr r="AC6" s="3"/>
      </tp>
      <tp>
        <v>0.85401000000000005</v>
        <stp/>
        <stp>21422436</stp>
        <stp>@bh,USDCHF,h4,close,1</stp>
        <tr r="AC3" s="1"/>
      </tp>
      <tp>
        <v>1.3616900000000001</v>
        <stp/>
        <stp>21422436</stp>
        <stp>@bh,USDCAD,h4,close,8</stp>
        <tr r="AB10" s="1"/>
      </tp>
      <tp>
        <v>0.85511000000000004</v>
        <stp/>
        <stp>21422436</stp>
        <stp>@bh,USDCHF,h1,close,3</stp>
        <tr r="AC5" s="3"/>
      </tp>
      <tp>
        <v>0.85618000000000005</v>
        <stp/>
        <stp>21422436</stp>
        <stp>@bh,USDCHF,h4,close,6</stp>
        <tr r="AC8" s="1"/>
      </tp>
      <tp>
        <v>0.85401000000000005</v>
        <stp/>
        <stp>21422436</stp>
        <stp>@bh,USDCHF,h1,close,2</stp>
        <tr r="AC4" s="3"/>
      </tp>
      <tp>
        <v>0.85912999999999995</v>
        <stp/>
        <stp>21422436</stp>
        <stp>@bh,USDCHF,h4,close,7</stp>
        <tr r="AC9" s="1"/>
      </tp>
      <tp>
        <v>0.85367000000000004</v>
        <stp/>
        <stp>21422436</stp>
        <stp>@bh,USDCHF,h1,close,1</stp>
        <tr r="AC3" s="3"/>
      </tp>
      <tp>
        <v>0.85353000000000001</v>
        <stp/>
        <stp>21422436</stp>
        <stp>@bh,USDCHF,h4,close,4</stp>
        <tr r="AC6" s="1"/>
      </tp>
      <tp>
        <v>1.36199</v>
        <stp/>
        <stp>21422436</stp>
        <stp>@bh,USDCAD,h1,close,8</stp>
        <tr r="AB10" s="3"/>
      </tp>
      <tp>
        <v>0.85428999999999999</v>
        <stp/>
        <stp>21422436</stp>
        <stp>@bh,USDCHF,h1,close,0</stp>
        <tr r="AC2" s="3"/>
      </tp>
      <tp>
        <v>0.85402999999999996</v>
        <stp/>
        <stp>21422436</stp>
        <stp>@bh,USDCHF,h4,close,5</stp>
        <tr r="AC7" s="1"/>
      </tp>
      <tp>
        <v>1.36158</v>
        <stp/>
        <stp>21422436</stp>
        <stp>@bh,USDCAD,h1,close,9</stp>
        <tr r="AB11" s="3"/>
      </tp>
      <tp>
        <v>1.3611899999999999</v>
        <stp/>
        <stp>21422436</stp>
        <stp>@bh,USDCAD,h1,close,6</stp>
        <tr r="AB8" s="3"/>
      </tp>
      <tp>
        <v>1.3614900000000001</v>
        <stp/>
        <stp>21422436</stp>
        <stp>@bh,USDCAD,h4,close,3</stp>
        <tr r="AB5" s="1"/>
      </tp>
      <tp>
        <v>1.3617600000000001</v>
        <stp/>
        <stp>21422436</stp>
        <stp>@bh,USDCAD,h1,close,7</stp>
        <tr r="AB9" s="3"/>
      </tp>
      <tp>
        <v>1.3611899999999999</v>
        <stp/>
        <stp>21422436</stp>
        <stp>@bh,USDCAD,h4,close,2</stp>
        <tr r="AB4" s="1"/>
      </tp>
      <tp>
        <v>0.86009999999999998</v>
        <stp/>
        <stp>21422436</stp>
        <stp>@bh,USDCHF,h4,close,8</stp>
        <tr r="AC10" s="1"/>
      </tp>
      <tp>
        <v>1.3600099999999999</v>
        <stp/>
        <stp>21422436</stp>
        <stp>@bh,USDCAD,h1,close,4</stp>
        <tr r="AB6" s="3"/>
      </tp>
      <tp>
        <v>1.3598600000000001</v>
        <stp/>
        <stp>21422436</stp>
        <stp>@bh,USDCAD,h4,close,1</stp>
        <tr r="AB3" s="1"/>
      </tp>
      <tp>
        <v>0.86204000000000003</v>
        <stp/>
        <stp>21422436</stp>
        <stp>@bh,USDCHF,h4,close,9</stp>
        <tr r="AC11" s="1"/>
      </tp>
      <tp>
        <v>1.36087</v>
        <stp/>
        <stp>21422436</stp>
        <stp>@bh,USDCAD,h1,close,5</stp>
        <tr r="AB7" s="3"/>
      </tp>
      <tp>
        <v>1.3602700000000001</v>
        <stp/>
        <stp>21422436</stp>
        <stp>@bh,USDCAD,h4,close,0</stp>
        <tr r="AB2" s="1"/>
      </tp>
      <tp>
        <v>1.3598600000000001</v>
        <stp/>
        <stp>21422436</stp>
        <stp>@bh,USDCAD,h1,close,2</stp>
        <tr r="AB4" s="3"/>
      </tp>
      <tp>
        <v>1.3620699999999999</v>
        <stp/>
        <stp>21422436</stp>
        <stp>@bh,USDCAD,h4,close,7</stp>
        <tr r="AB9" s="1"/>
      </tp>
      <tp>
        <v>1.3600099999999999</v>
        <stp/>
        <stp>21422436</stp>
        <stp>@bh,USDCAD,h1,close,3</stp>
        <tr r="AB5" s="3"/>
      </tp>
      <tp>
        <v>1.3630899999999999</v>
        <stp/>
        <stp>21422436</stp>
        <stp>@bh,USDCAD,h4,close,6</stp>
        <tr r="AB8" s="1"/>
      </tp>
      <tp>
        <v>0.85443000000000002</v>
        <stp/>
        <stp>21422436</stp>
        <stp>@bh,USDCHF,h1,close,9</stp>
        <tr r="AC11" s="3"/>
      </tp>
      <tp>
        <v>1.3602700000000001</v>
        <stp/>
        <stp>21422436</stp>
        <stp>@bh,USDCAD,h1,close,0</stp>
        <tr r="AB2" s="3"/>
      </tp>
      <tp>
        <v>1.3620300000000001</v>
        <stp/>
        <stp>21422436</stp>
        <stp>@bh,USDCAD,h4,close,5</stp>
        <tr r="AB7" s="1"/>
      </tp>
      <tp>
        <v>0.85443000000000002</v>
        <stp/>
        <stp>21422436</stp>
        <stp>@bh,USDCHF,h1,close,8</stp>
        <tr r="AC10" s="3"/>
      </tp>
      <tp>
        <v>1.3597900000000001</v>
        <stp/>
        <stp>21422436</stp>
        <stp>@bh,USDCAD,h1,close,1</stp>
        <tr r="AB3" s="3"/>
      </tp>
      <tp>
        <v>1.3616900000000001</v>
        <stp/>
        <stp>21422436</stp>
        <stp>@bh,USDCAD,h4,close,4</stp>
        <tr r="AB6" s="1"/>
      </tp>
      <tp>
        <v>147.279</v>
        <stp/>
        <stp>21422436</stp>
        <stp>@bh,USDJPY,d1,close,9</stp>
        <tr r="AD11" s="2"/>
      </tp>
      <tp>
        <v>146.62200000000001</v>
        <stp/>
        <stp>21422436</stp>
        <stp>@bh,USDJPY,d1,close,8</stp>
        <tr r="AD10" s="2"/>
      </tp>
      <tp>
        <v>147.19</v>
        <stp/>
        <stp>21422436</stp>
        <stp>@bh,USDJPY,d1,close,7</stp>
        <tr r="AD9" s="2"/>
      </tp>
      <tp>
        <v>146.846</v>
        <stp/>
        <stp>21422436</stp>
        <stp>@bh,USDJPY,d1,close,6</stp>
        <tr r="AD8" s="2"/>
      </tp>
      <tp>
        <v>147.31399999999999</v>
        <stp/>
        <stp>21422436</stp>
        <stp>@bh,USDJPY,d1,close,5</stp>
        <tr r="AD7" s="2"/>
      </tp>
      <tp>
        <v>149.28299999999999</v>
        <stp/>
        <stp>21422436</stp>
        <stp>@bh,USDJPY,d1,close,4</stp>
        <tr r="AD6" s="2"/>
      </tp>
      <tp>
        <v>147.59800000000001</v>
        <stp/>
        <stp>21422436</stp>
        <stp>@bh,USDJPY,d1,close,3</stp>
        <tr r="AD5" s="2"/>
      </tp>
      <tp>
        <v>146.602</v>
        <stp/>
        <stp>21422436</stp>
        <stp>@bh,USDJPY,d1,close,2</stp>
        <tr r="AD4" s="2"/>
      </tp>
      <tp>
        <v>145.262</v>
        <stp/>
        <stp>21422436</stp>
        <stp>@bh,USDJPY,d1,close,1</stp>
        <tr r="AD3" s="2"/>
      </tp>
      <tp>
        <v>145.86600000000001</v>
        <stp/>
        <stp>21422436</stp>
        <stp>@bh,USDJPY,d1,close,0</stp>
        <tr r="AD2" s="2"/>
      </tp>
      <tp>
        <v>89.317999999999998</v>
        <stp/>
        <stp>21422436</stp>
        <stp>@bh,NZDJPY,d1,close,4</stp>
        <tr r="U6" s="2"/>
      </tp>
      <tp>
        <v>107.24</v>
        <stp/>
        <stp>21422436</stp>
        <stp>@bh,CADJPY,d1,close,9</stp>
        <tr r="Y11" s="2"/>
      </tp>
      <tp>
        <v>88.301000000000002</v>
        <stp/>
        <stp>21422436</stp>
        <stp>@bh,NZDJPY,d1,close,5</stp>
        <tr r="U7" s="2"/>
      </tp>
      <tp>
        <v>106.773</v>
        <stp/>
        <stp>21422436</stp>
        <stp>@bh,CADJPY,d1,close,8</stp>
        <tr r="Y10" s="2"/>
      </tp>
      <tp>
        <v>97.091999999999999</v>
        <stp/>
        <stp>21422436</stp>
        <stp>@bh,AUDJPY,d1,close,9</stp>
        <tr r="E11" s="2"/>
      </tp>
      <tp>
        <v>89.222999999999999</v>
        <stp/>
        <stp>21422436</stp>
        <stp>@bh,NZDJPY,d1,close,6</stp>
        <tr r="U8" s="2"/>
      </tp>
      <tp>
        <v>96.343999999999994</v>
        <stp/>
        <stp>21422436</stp>
        <stp>@bh,AUDJPY,d1,close,8</stp>
        <tr r="E10" s="2"/>
      </tp>
      <tp>
        <v>88.561000000000007</v>
        <stp/>
        <stp>21422436</stp>
        <stp>@bh,NZDJPY,d1,close,7</stp>
        <tr r="U9" s="2"/>
      </tp>
      <tp>
        <v>89.61</v>
        <stp/>
        <stp>21422436</stp>
        <stp>@bh,NZDJPY,d1,close,0</stp>
        <tr r="U2" s="2"/>
      </tp>
      <tp>
        <v>89.375</v>
        <stp/>
        <stp>21422436</stp>
        <stp>@bh,NZDJPY,d1,close,1</stp>
        <tr r="U3" s="2"/>
      </tp>
      <tp>
        <v>89.62</v>
        <stp/>
        <stp>21422436</stp>
        <stp>@bh,NZDJPY,d1,close,2</stp>
        <tr r="U4" s="2"/>
      </tp>
      <tp>
        <v>89.352999999999994</v>
        <stp/>
        <stp>21422436</stp>
        <stp>@bh,NZDJPY,d1,close,3</stp>
        <tr r="U5" s="2"/>
      </tp>
      <tp>
        <v>98.436000000000007</v>
        <stp/>
        <stp>21422436</stp>
        <stp>@bh,AUDJPY,d1,close,3</stp>
        <tr r="E5" s="2"/>
      </tp>
      <tp>
        <v>106.64700000000001</v>
        <stp/>
        <stp>21422436</stp>
        <stp>@bh,CADJPY,d1,close,1</stp>
        <tr r="Y3" s="2"/>
      </tp>
      <tp>
        <v>98.691000000000003</v>
        <stp/>
        <stp>21422436</stp>
        <stp>@bh,AUDJPY,d1,close,2</stp>
        <tr r="E4" s="2"/>
      </tp>
      <tp>
        <v>107.236</v>
        <stp/>
        <stp>21422436</stp>
        <stp>@bh,CADJPY,d1,close,0</stp>
        <tr r="Y2" s="2"/>
      </tp>
      <tp>
        <v>98.001999999999995</v>
        <stp/>
        <stp>21422436</stp>
        <stp>@bh,AUDJPY,d1,close,1</stp>
        <tr r="E3" s="2"/>
      </tp>
      <tp>
        <v>107.89400000000001</v>
        <stp/>
        <stp>21422436</stp>
        <stp>@bh,CADJPY,d1,close,3</stp>
        <tr r="Y5" s="2"/>
      </tp>
      <tp>
        <v>98.275000000000006</v>
        <stp/>
        <stp>21422436</stp>
        <stp>@bh,AUDJPY,d1,close,0</stp>
        <tr r="E2" s="2"/>
      </tp>
      <tp>
        <v>107.524</v>
        <stp/>
        <stp>21422436</stp>
        <stp>@bh,CADJPY,d1,close,2</stp>
        <tr r="Y4" s="2"/>
      </tp>
      <tp>
        <v>96.935000000000002</v>
        <stp/>
        <stp>21422436</stp>
        <stp>@bh,AUDJPY,d1,close,7</stp>
        <tr r="E9" s="2"/>
      </tp>
      <tp>
        <v>87.944000000000003</v>
        <stp/>
        <stp>21422436</stp>
        <stp>@bh,NZDJPY,d1,close,8</stp>
        <tr r="U10" s="2"/>
      </tp>
      <tp>
        <v>107.41800000000001</v>
        <stp/>
        <stp>21422436</stp>
        <stp>@bh,CADJPY,d1,close,5</stp>
        <tr r="Y7" s="2"/>
      </tp>
      <tp>
        <v>97.409000000000006</v>
        <stp/>
        <stp>21422436</stp>
        <stp>@bh,AUDJPY,d1,close,6</stp>
        <tr r="E8" s="2"/>
      </tp>
      <tp>
        <v>88.546000000000006</v>
        <stp/>
        <stp>21422436</stp>
        <stp>@bh,NZDJPY,d1,close,9</stp>
        <tr r="U11" s="2"/>
      </tp>
      <tp>
        <v>108.73699999999999</v>
        <stp/>
        <stp>21422436</stp>
        <stp>@bh,CADJPY,d1,close,4</stp>
        <tr r="Y6" s="2"/>
      </tp>
      <tp>
        <v>97.171000000000006</v>
        <stp/>
        <stp>21422436</stp>
        <stp>@bh,AUDJPY,d1,close,5</stp>
        <tr r="E7" s="2"/>
      </tp>
      <tp>
        <v>107.102</v>
        <stp/>
        <stp>21422436</stp>
        <stp>@bh,CADJPY,d1,close,7</stp>
        <tr r="Y9" s="2"/>
      </tp>
      <tp>
        <v>98.677999999999997</v>
        <stp/>
        <stp>21422436</stp>
        <stp>@bh,AUDJPY,d1,close,4</stp>
        <tr r="E6" s="2"/>
      </tp>
      <tp>
        <v>107.133</v>
        <stp/>
        <stp>21422436</stp>
        <stp>@bh,CADJPY,d1,close,6</stp>
        <tr r="Y8" s="2"/>
      </tp>
      <tp>
        <v>0.60177999999999998</v>
        <stp/>
        <stp>21422436</stp>
        <stp>@bh,NZDUSD,d1,close,7</stp>
        <tr r="W9" s="2"/>
      </tp>
      <tp>
        <v>0.65722000000000003</v>
        <stp/>
        <stp>21422436</stp>
        <stp>@bh,AUDUSD,d1,close,8</stp>
        <tr r="C10" s="2"/>
      </tp>
      <tp>
        <v>0.60770000000000002</v>
        <stp/>
        <stp>21422436</stp>
        <stp>@bh,NZDUSD,d1,close,6</stp>
        <tr r="W8" s="2"/>
      </tp>
      <tp>
        <v>0.65922999999999998</v>
        <stp/>
        <stp>21422436</stp>
        <stp>@bh,AUDUSD,d1,close,9</stp>
        <tr r="C11" s="2"/>
      </tp>
      <tp>
        <v>0.59968999999999995</v>
        <stp/>
        <stp>21422436</stp>
        <stp>@bh,NZDUSD,d1,close,5</stp>
        <tr r="W7" s="2"/>
      </tp>
      <tp>
        <v>0.59841</v>
        <stp/>
        <stp>21422436</stp>
        <stp>@bh,NZDUSD,d1,close,4</stp>
        <tr r="W6" s="2"/>
      </tp>
      <tp>
        <v>0.60541</v>
        <stp/>
        <stp>21422436</stp>
        <stp>@bh,NZDUSD,d1,close,3</stp>
        <tr r="W5" s="2"/>
      </tp>
      <tp>
        <v>0.61141000000000001</v>
        <stp/>
        <stp>21422436</stp>
        <stp>@bh,NZDUSD,d1,close,2</stp>
        <tr r="W4" s="2"/>
      </tp>
      <tp>
        <v>0.61536000000000002</v>
        <stp/>
        <stp>21422436</stp>
        <stp>@bh,NZDUSD,d1,close,1</stp>
        <tr r="W3" s="2"/>
      </tp>
      <tp>
        <v>0.61433000000000004</v>
        <stp/>
        <stp>21422436</stp>
        <stp>@bh,NZDUSD,d1,close,0</stp>
        <tr r="W2" s="2"/>
      </tp>
      <tp>
        <v>0.67374999999999996</v>
        <stp/>
        <stp>21422436</stp>
        <stp>@bh,AUDUSD,d1,close,0</stp>
        <tr r="C2" s="2"/>
      </tp>
      <tp>
        <v>0.67466999999999999</v>
        <stp/>
        <stp>21422436</stp>
        <stp>@bh,AUDUSD,d1,close,1</stp>
        <tr r="C3" s="2"/>
      </tp>
      <tp>
        <v>0.67320000000000002</v>
        <stp/>
        <stp>21422436</stp>
        <stp>@bh,AUDUSD,d1,close,2</stp>
        <tr r="C4" s="2"/>
      </tp>
      <tp>
        <v>0.66700999999999999</v>
        <stp/>
        <stp>21422436</stp>
        <stp>@bh,AUDUSD,d1,close,3</stp>
        <tr r="C5" s="2"/>
      </tp>
      <tp>
        <v>0.66103999999999996</v>
        <stp/>
        <stp>21422436</stp>
        <stp>@bh,AUDUSD,d1,close,4</stp>
        <tr r="C6" s="2"/>
      </tp>
      <tp>
        <v>0.65964999999999996</v>
        <stp/>
        <stp>21422436</stp>
        <stp>@bh,AUDUSD,d1,close,5</stp>
        <tr r="C7" s="2"/>
      </tp>
      <tp>
        <v>0.60131000000000001</v>
        <stp/>
        <stp>21422436</stp>
        <stp>@bh,NZDUSD,d1,close,9</stp>
        <tr r="W11" s="2"/>
      </tp>
      <tp>
        <v>0.66337000000000002</v>
        <stp/>
        <stp>21422436</stp>
        <stp>@bh,AUDUSD,d1,close,6</stp>
        <tr r="C8" s="2"/>
      </tp>
      <tp>
        <v>0.59992999999999996</v>
        <stp/>
        <stp>21422436</stp>
        <stp>@bh,NZDUSD,d1,close,8</stp>
        <tr r="W10" s="2"/>
      </tp>
      <tp>
        <v>0.65859000000000001</v>
        <stp/>
        <stp>21422436</stp>
        <stp>@bh,AUDUSD,d1,close,7</stp>
        <tr r="C9" s="2"/>
      </tp>
      <tp>
        <v>0.61363999999999996</v>
        <stp/>
        <stp>21422436</stp>
        <stp>@bh,NZDUSD,h1,close,7</stp>
        <tr r="W9" s="3"/>
      </tp>
      <tp>
        <v>0.61382999999999999</v>
        <stp/>
        <stp>21422436</stp>
        <stp>@bh,NZDUSD,h4,close,2</stp>
        <tr r="W4" s="1"/>
      </tp>
      <tp>
        <v>0.67425000000000002</v>
        <stp/>
        <stp>21422436</stp>
        <stp>@bh,AUDUSD,h1,close,8</stp>
        <tr r="C10" s="3"/>
      </tp>
      <tp>
        <v>0.61382999999999999</v>
        <stp/>
        <stp>21422436</stp>
        <stp>@bh,NZDUSD,h1,close,6</stp>
        <tr r="W8" s="3"/>
      </tp>
      <tp>
        <v>0.61424000000000001</v>
        <stp/>
        <stp>21422436</stp>
        <stp>@bh,NZDUSD,h4,close,3</stp>
        <tr r="W5" s="1"/>
      </tp>
      <tp>
        <v>0.67418</v>
        <stp/>
        <stp>21422436</stp>
        <stp>@bh,AUDUSD,h1,close,9</stp>
        <tr r="C11" s="3"/>
      </tp>
      <tp>
        <v>0.61392999999999998</v>
        <stp/>
        <stp>21422436</stp>
        <stp>@bh,NZDUSD,h1,close,5</stp>
        <tr r="W7" s="3"/>
      </tp>
      <tp>
        <v>0.61433000000000004</v>
        <stp/>
        <stp>21422436</stp>
        <stp>@bh,NZDUSD,h4,close,0</stp>
        <tr r="W2" s="1"/>
      </tp>
      <tp>
        <v>0.61423000000000005</v>
        <stp/>
        <stp>21422436</stp>
        <stp>@bh,NZDUSD,h1,close,4</stp>
        <tr r="W6" s="3"/>
      </tp>
      <tp>
        <v>0.61458000000000002</v>
        <stp/>
        <stp>21422436</stp>
        <stp>@bh,NZDUSD,h4,close,1</stp>
        <tr r="W3" s="1"/>
      </tp>
      <tp>
        <v>0.61404999999999998</v>
        <stp/>
        <stp>21422436</stp>
        <stp>@bh,NZDUSD,h1,close,3</stp>
        <tr r="W5" s="3"/>
      </tp>
      <tp>
        <v>0.61446999999999996</v>
        <stp/>
        <stp>21422436</stp>
        <stp>@bh,NZDUSD,h4,close,6</stp>
        <tr r="W8" s="1"/>
      </tp>
      <tp>
        <v>0.67181999999999997</v>
        <stp/>
        <stp>21422436</stp>
        <stp>@bh,AUDUSD,h4,close,9</stp>
        <tr r="C11" s="1"/>
      </tp>
      <tp>
        <v>0.61458000000000002</v>
        <stp/>
        <stp>21422436</stp>
        <stp>@bh,NZDUSD,h1,close,2</stp>
        <tr r="W4" s="3"/>
      </tp>
      <tp>
        <v>0.61443000000000003</v>
        <stp/>
        <stp>21422436</stp>
        <stp>@bh,NZDUSD,h4,close,7</stp>
        <tr r="W9" s="1"/>
      </tp>
      <tp>
        <v>0.67281999999999997</v>
        <stp/>
        <stp>21422436</stp>
        <stp>@bh,AUDUSD,h4,close,8</stp>
        <tr r="C10" s="1"/>
      </tp>
      <tp>
        <v>0.61458999999999997</v>
        <stp/>
        <stp>21422436</stp>
        <stp>@bh,NZDUSD,h1,close,1</stp>
        <tr r="W3" s="3"/>
      </tp>
      <tp>
        <v>0.61628000000000005</v>
        <stp/>
        <stp>21422436</stp>
        <stp>@bh,NZDUSD,h4,close,4</stp>
        <tr r="W6" s="1"/>
      </tp>
      <tp>
        <v>0.61433000000000004</v>
        <stp/>
        <stp>21422436</stp>
        <stp>@bh,NZDUSD,h1,close,0</stp>
        <tr r="W2" s="3"/>
      </tp>
      <tp>
        <v>0.61536000000000002</v>
        <stp/>
        <stp>21422436</stp>
        <stp>@bh,NZDUSD,h4,close,5</stp>
        <tr r="W7" s="1"/>
      </tp>
      <tp>
        <v>0.67374999999999996</v>
        <stp/>
        <stp>21422436</stp>
        <stp>@bh,AUDUSD,h1,close,0</stp>
        <tr r="C2" s="3"/>
      </tp>
      <tp>
        <v>0.67466999999999999</v>
        <stp/>
        <stp>21422436</stp>
        <stp>@bh,AUDUSD,h4,close,5</stp>
        <tr r="C7" s="1"/>
      </tp>
      <tp>
        <v>0.67415000000000003</v>
        <stp/>
        <stp>21422436</stp>
        <stp>@bh,AUDUSD,h1,close,1</stp>
        <tr r="C3" s="3"/>
      </tp>
      <tp>
        <v>0.67501999999999995</v>
        <stp/>
        <stp>21422436</stp>
        <stp>@bh,AUDUSD,h4,close,4</stp>
        <tr r="C6" s="1"/>
      </tp>
      <tp>
        <v>0.61360000000000003</v>
        <stp/>
        <stp>21422436</stp>
        <stp>@bh,NZDUSD,h4,close,8</stp>
        <tr r="W10" s="1"/>
      </tp>
      <tp>
        <v>0.67430999999999996</v>
        <stp/>
        <stp>21422436</stp>
        <stp>@bh,AUDUSD,h1,close,2</stp>
        <tr r="C4" s="3"/>
      </tp>
      <tp>
        <v>0.67415999999999998</v>
        <stp/>
        <stp>21422436</stp>
        <stp>@bh,AUDUSD,h4,close,7</stp>
        <tr r="C9" s="1"/>
      </tp>
      <tp>
        <v>0.61185</v>
        <stp/>
        <stp>21422436</stp>
        <stp>@bh,NZDUSD,h4,close,9</stp>
        <tr r="W11" s="1"/>
      </tp>
      <tp>
        <v>0.67386000000000001</v>
        <stp/>
        <stp>21422436</stp>
        <stp>@bh,AUDUSD,h1,close,3</stp>
        <tr r="C5" s="3"/>
      </tp>
      <tp>
        <v>0.67364000000000002</v>
        <stp/>
        <stp>21422436</stp>
        <stp>@bh,AUDUSD,h4,close,6</stp>
        <tr r="C8" s="1"/>
      </tp>
      <tp>
        <v>0.67422000000000004</v>
        <stp/>
        <stp>21422436</stp>
        <stp>@bh,AUDUSD,h1,close,4</stp>
        <tr r="C6" s="3"/>
      </tp>
      <tp>
        <v>0.67430999999999996</v>
        <stp/>
        <stp>21422436</stp>
        <stp>@bh,AUDUSD,h4,close,1</stp>
        <tr r="C3" s="1"/>
      </tp>
      <tp>
        <v>0.67379</v>
        <stp/>
        <stp>21422436</stp>
        <stp>@bh,AUDUSD,h1,close,5</stp>
        <tr r="C7" s="3"/>
      </tp>
      <tp>
        <v>0.67374999999999996</v>
        <stp/>
        <stp>21422436</stp>
        <stp>@bh,AUDUSD,h4,close,0</stp>
        <tr r="C2" s="1"/>
      </tp>
      <tp>
        <v>0.61448000000000003</v>
        <stp/>
        <stp>21422436</stp>
        <stp>@bh,NZDUSD,h1,close,9</stp>
        <tr r="W11" s="3"/>
      </tp>
      <tp>
        <v>0.67357999999999996</v>
        <stp/>
        <stp>21422436</stp>
        <stp>@bh,AUDUSD,h1,close,6</stp>
        <tr r="C8" s="3"/>
      </tp>
      <tp>
        <v>0.67444000000000004</v>
        <stp/>
        <stp>21422436</stp>
        <stp>@bh,AUDUSD,h4,close,3</stp>
        <tr r="C5" s="1"/>
      </tp>
      <tp>
        <v>0.61431000000000002</v>
        <stp/>
        <stp>21422436</stp>
        <stp>@bh,NZDUSD,h1,close,8</stp>
        <tr r="W10" s="3"/>
      </tp>
      <tp>
        <v>0.67347000000000001</v>
        <stp/>
        <stp>21422436</stp>
        <stp>@bh,AUDUSD,h1,close,7</stp>
        <tr r="C9" s="3"/>
      </tp>
      <tp>
        <v>0.67357999999999996</v>
        <stp/>
        <stp>21422436</stp>
        <stp>@bh,AUDUSD,h4,close,2</stp>
        <tr r="C4" s="1"/>
      </tp>
      <tp>
        <v>170.48699999999999</v>
        <stp/>
        <stp>21422436</stp>
        <stp>@bh,CHFJPY,h1,close,9</stp>
        <tr r="AA11" s="3"/>
      </tp>
      <tp>
        <v>170.81100000000001</v>
        <stp/>
        <stp>21422436</stp>
        <stp>@bh,CHFJPY,h1,close,8</stp>
        <tr r="AA10" s="3"/>
      </tp>
      <tp>
        <v>170.35599999999999</v>
        <stp/>
        <stp>21422436</stp>
        <stp>@bh,CHFJPY,h4,close,8</stp>
        <tr r="AA10" s="1"/>
      </tp>
      <tp>
        <v>170.44300000000001</v>
        <stp/>
        <stp>21422436</stp>
        <stp>@bh,CHFJPY,h4,close,9</stp>
        <tr r="AA11" s="1"/>
      </tp>
      <tp>
        <v>170.721</v>
        <stp/>
        <stp>21422436</stp>
        <stp>@bh,CHFJPY,h1,close,1</stp>
        <tr r="AA3" s="3"/>
      </tp>
      <tp>
        <v>170.41</v>
        <stp/>
        <stp>21422436</stp>
        <stp>@bh,CHFJPY,h4,close,4</stp>
        <tr r="AA6" s="1"/>
      </tp>
      <tp>
        <v>170.73599999999999</v>
        <stp/>
        <stp>21422436</stp>
        <stp>@bh,CHFJPY,h1,close,0</stp>
        <tr r="AA2" s="3"/>
      </tp>
      <tp>
        <v>170.077</v>
        <stp/>
        <stp>21422436</stp>
        <stp>@bh,CHFJPY,h4,close,5</stp>
        <tr r="AA7" s="1"/>
      </tp>
      <tp>
        <v>170.81100000000001</v>
        <stp/>
        <stp>21422436</stp>
        <stp>@bh,CHFJPY,h1,close,3</stp>
        <tr r="AA5" s="3"/>
      </tp>
      <tp>
        <v>169.81100000000001</v>
        <stp/>
        <stp>21422436</stp>
        <stp>@bh,CHFJPY,h4,close,6</stp>
        <tr r="AA8" s="1"/>
      </tp>
      <tp>
        <v>170.68799999999999</v>
        <stp/>
        <stp>21422436</stp>
        <stp>@bh,CHFJPY,h1,close,2</stp>
        <tr r="AA4" s="3"/>
      </tp>
      <tp>
        <v>170.136</v>
        <stp/>
        <stp>21422436</stp>
        <stp>@bh,CHFJPY,h4,close,7</stp>
        <tr r="AA9" s="1"/>
      </tp>
      <tp>
        <v>170.86799999999999</v>
        <stp/>
        <stp>21422436</stp>
        <stp>@bh,CHFJPY,h1,close,5</stp>
        <tr r="AA7" s="3"/>
      </tp>
      <tp>
        <v>170.73599999999999</v>
        <stp/>
        <stp>21422436</stp>
        <stp>@bh,CHFJPY,h4,close,0</stp>
        <tr r="AA2" s="1"/>
      </tp>
      <tp>
        <v>170.86699999999999</v>
        <stp/>
        <stp>21422436</stp>
        <stp>@bh,CHFJPY,h1,close,4</stp>
        <tr r="AA6" s="3"/>
      </tp>
      <tp>
        <v>170.68799999999999</v>
        <stp/>
        <stp>21422436</stp>
        <stp>@bh,CHFJPY,h4,close,1</stp>
        <tr r="AA3" s="1"/>
      </tp>
      <tp>
        <v>170.77099999999999</v>
        <stp/>
        <stp>21422436</stp>
        <stp>@bh,CHFJPY,h1,close,7</stp>
        <tr r="AA9" s="3"/>
      </tp>
      <tp>
        <v>170.74799999999999</v>
        <stp/>
        <stp>21422436</stp>
        <stp>@bh,CHFJPY,h4,close,2</stp>
        <tr r="AA4" s="1"/>
      </tp>
      <tp>
        <v>170.74799999999999</v>
        <stp/>
        <stp>21422436</stp>
        <stp>@bh,CHFJPY,h1,close,6</stp>
        <tr r="AA8" s="3"/>
      </tp>
      <tp>
        <v>170.53899999999999</v>
        <stp/>
        <stp>21422436</stp>
        <stp>@bh,CHFJPY,h4,close,3</stp>
        <tr r="AA5" s="1"/>
      </tp>
      <tp>
        <v>169.941</v>
        <stp/>
        <stp>21422436</stp>
        <stp>@bh,CHFJPY,d1,close,9</stp>
        <tr r="AA11" s="2"/>
      </tp>
      <tp>
        <v>169.422</v>
        <stp/>
        <stp>21422436</stp>
        <stp>@bh,CHFJPY,d1,close,8</stp>
        <tr r="AA10" s="2"/>
      </tp>
      <tp>
        <v>170.077</v>
        <stp/>
        <stp>21422436</stp>
        <stp>@bh,CHFJPY,d1,close,1</stp>
        <tr r="AA3" s="2"/>
      </tp>
      <tp>
        <v>170.73599999999999</v>
        <stp/>
        <stp>21422436</stp>
        <stp>@bh,CHFJPY,d1,close,0</stp>
        <tr r="AA2" s="2"/>
      </tp>
      <tp>
        <v>170.41900000000001</v>
        <stp/>
        <stp>21422436</stp>
        <stp>@bh,CHFJPY,d1,close,3</stp>
        <tr r="AA5" s="2"/>
      </tp>
      <tp>
        <v>169.88800000000001</v>
        <stp/>
        <stp>21422436</stp>
        <stp>@bh,CHFJPY,d1,close,2</stp>
        <tr r="AA4" s="2"/>
      </tp>
      <tp>
        <v>170.26400000000001</v>
        <stp/>
        <stp>21422436</stp>
        <stp>@bh,CHFJPY,d1,close,5</stp>
        <tr r="AA7" s="2"/>
      </tp>
      <tp>
        <v>171.06700000000001</v>
        <stp/>
        <stp>21422436</stp>
        <stp>@bh,CHFJPY,d1,close,4</stp>
        <tr r="AA6" s="2"/>
      </tp>
      <tp>
        <v>170.113</v>
        <stp/>
        <stp>21422436</stp>
        <stp>@bh,CHFJPY,d1,close,7</stp>
        <tr r="AA9" s="2"/>
      </tp>
      <tp>
        <v>169.79499999999999</v>
        <stp/>
        <stp>21422436</stp>
        <stp>@bh,CHFJPY,d1,close,6</stp>
        <tr r="AA8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H1'!$CV$1</c:f>
              <c:strCache>
                <c:ptCount val="1"/>
                <c:pt idx="0">
                  <c:v>EUR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'SATORI H1'!$CU$2:$CU$37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H1'!$CV$2:$CV$37</c:f>
              <c:numCache>
                <c:formatCode>0.00000</c:formatCode>
                <c:ptCount val="36"/>
                <c:pt idx="0">
                  <c:v>0.65660779964295712</c:v>
                </c:pt>
                <c:pt idx="1">
                  <c:v>0.38029878296227115</c:v>
                </c:pt>
                <c:pt idx="2">
                  <c:v>1.1225932570345076</c:v>
                </c:pt>
                <c:pt idx="3">
                  <c:v>1.0717214005950635</c:v>
                </c:pt>
                <c:pt idx="4">
                  <c:v>1.6744002426237552</c:v>
                </c:pt>
                <c:pt idx="5">
                  <c:v>1.3835776499487404</c:v>
                </c:pt>
                <c:pt idx="6">
                  <c:v>1.6091978411637273</c:v>
                </c:pt>
                <c:pt idx="7">
                  <c:v>1.5594317558648871</c:v>
                </c:pt>
                <c:pt idx="8">
                  <c:v>1.2600372629950252</c:v>
                </c:pt>
                <c:pt idx="9">
                  <c:v>0.99059462457414627</c:v>
                </c:pt>
                <c:pt idx="10">
                  <c:v>1.0000724542010677</c:v>
                </c:pt>
                <c:pt idx="11">
                  <c:v>0.89596858681285674</c:v>
                </c:pt>
                <c:pt idx="12">
                  <c:v>0.86399086124084556</c:v>
                </c:pt>
                <c:pt idx="13">
                  <c:v>0.83753202323950482</c:v>
                </c:pt>
                <c:pt idx="14">
                  <c:v>0.85439126027911871</c:v>
                </c:pt>
                <c:pt idx="15">
                  <c:v>0.94217738361902204</c:v>
                </c:pt>
                <c:pt idx="16">
                  <c:v>0.86080904053168839</c:v>
                </c:pt>
                <c:pt idx="17">
                  <c:v>0.97000852706493046</c:v>
                </c:pt>
                <c:pt idx="18">
                  <c:v>1.1500285923268141</c:v>
                </c:pt>
                <c:pt idx="19">
                  <c:v>0.99356201266561062</c:v>
                </c:pt>
                <c:pt idx="20">
                  <c:v>0.83580028868289591</c:v>
                </c:pt>
                <c:pt idx="21">
                  <c:v>1.1094525168886458</c:v>
                </c:pt>
                <c:pt idx="22">
                  <c:v>0.9789327019951658</c:v>
                </c:pt>
                <c:pt idx="23">
                  <c:v>0.73026759433194099</c:v>
                </c:pt>
                <c:pt idx="24">
                  <c:v>0.79043305306835288</c:v>
                </c:pt>
                <c:pt idx="25">
                  <c:v>0.84601185255092626</c:v>
                </c:pt>
                <c:pt idx="26">
                  <c:v>0.64832423869633427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73A1-4B9E-8E09-92F4E1FFFED8}"/>
            </c:ext>
          </c:extLst>
        </c:ser>
        <c:ser>
          <c:idx val="1"/>
          <c:order val="1"/>
          <c:tx>
            <c:strRef>
              <c:f>'SATORI H1'!$CW$1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H1'!$CU$2:$CU$37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H1'!$CW$2:$CW$37</c:f>
              <c:numCache>
                <c:formatCode>0.00000</c:formatCode>
                <c:ptCount val="36"/>
                <c:pt idx="0">
                  <c:v>-1.7593964712181136</c:v>
                </c:pt>
                <c:pt idx="1">
                  <c:v>-2.0463188747509351</c:v>
                </c:pt>
                <c:pt idx="2">
                  <c:v>-2.0628764971700542</c:v>
                </c:pt>
                <c:pt idx="3">
                  <c:v>-1.3811682479857148</c:v>
                </c:pt>
                <c:pt idx="4">
                  <c:v>-1.5053312739384388</c:v>
                </c:pt>
                <c:pt idx="5">
                  <c:v>-1.2321275497151865</c:v>
                </c:pt>
                <c:pt idx="6">
                  <c:v>-1.1140560590377848</c:v>
                </c:pt>
                <c:pt idx="7">
                  <c:v>-0.86416438204180768</c:v>
                </c:pt>
                <c:pt idx="8">
                  <c:v>-1.4165525322270174</c:v>
                </c:pt>
                <c:pt idx="9">
                  <c:v>-1.6765239556078086</c:v>
                </c:pt>
                <c:pt idx="10">
                  <c:v>-1.7616349770463664</c:v>
                </c:pt>
                <c:pt idx="11">
                  <c:v>-2.0017564601411788</c:v>
                </c:pt>
                <c:pt idx="12">
                  <c:v>-2.0901576203607442</c:v>
                </c:pt>
                <c:pt idx="13">
                  <c:v>-2.1050852479871565</c:v>
                </c:pt>
                <c:pt idx="14">
                  <c:v>-2.5362626312861782</c:v>
                </c:pt>
                <c:pt idx="15">
                  <c:v>-2.4264956188386528</c:v>
                </c:pt>
                <c:pt idx="16">
                  <c:v>-2.5841519710995824</c:v>
                </c:pt>
                <c:pt idx="17">
                  <c:v>-2.3658201180694269</c:v>
                </c:pt>
                <c:pt idx="18">
                  <c:v>-2.3935305928121666</c:v>
                </c:pt>
                <c:pt idx="19">
                  <c:v>-2.1584151340814812</c:v>
                </c:pt>
                <c:pt idx="20">
                  <c:v>-2.0332454482574631</c:v>
                </c:pt>
                <c:pt idx="21">
                  <c:v>-1.4424323959041281</c:v>
                </c:pt>
                <c:pt idx="22">
                  <c:v>-1.4737616201567716</c:v>
                </c:pt>
                <c:pt idx="23">
                  <c:v>-1.0362481894777016</c:v>
                </c:pt>
                <c:pt idx="24">
                  <c:v>-1.4401010825165963</c:v>
                </c:pt>
                <c:pt idx="25">
                  <c:v>-0.68063548185587897</c:v>
                </c:pt>
                <c:pt idx="26">
                  <c:v>-0.61119881836313406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3A1-4B9E-8E09-92F4E1FFF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'SATORI H1'!$CX$1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H1'!$CX$2:$CX$37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-1.0513701378065112</c:v>
                      </c:pt>
                      <c:pt idx="1">
                        <c:v>-1.0643443540984554</c:v>
                      </c:pt>
                      <c:pt idx="2">
                        <c:v>-1.117163230228843</c:v>
                      </c:pt>
                      <c:pt idx="3">
                        <c:v>-0.52319809285123431</c:v>
                      </c:pt>
                      <c:pt idx="4">
                        <c:v>-0.65162147389661373</c:v>
                      </c:pt>
                      <c:pt idx="5">
                        <c:v>-0.88450337222209263</c:v>
                      </c:pt>
                      <c:pt idx="6">
                        <c:v>-0.94912012053027017</c:v>
                      </c:pt>
                      <c:pt idx="7">
                        <c:v>-1.0416032262703427</c:v>
                      </c:pt>
                      <c:pt idx="8">
                        <c:v>-1.7246421138184487</c:v>
                      </c:pt>
                      <c:pt idx="9">
                        <c:v>-1.7455871855661507</c:v>
                      </c:pt>
                      <c:pt idx="10">
                        <c:v>-1.7764131364900342</c:v>
                      </c:pt>
                      <c:pt idx="11">
                        <c:v>-2.0923073797843021</c:v>
                      </c:pt>
                      <c:pt idx="12">
                        <c:v>-2.3331776519088856</c:v>
                      </c:pt>
                      <c:pt idx="13">
                        <c:v>-2.406302198292364</c:v>
                      </c:pt>
                      <c:pt idx="14">
                        <c:v>-2.6692616897597654</c:v>
                      </c:pt>
                      <c:pt idx="15">
                        <c:v>-2.602072188478918</c:v>
                      </c:pt>
                      <c:pt idx="16">
                        <c:v>-2.8114035661575381</c:v>
                      </c:pt>
                      <c:pt idx="17">
                        <c:v>-2.8390459318958481</c:v>
                      </c:pt>
                      <c:pt idx="18">
                        <c:v>-2.7359205580552022</c:v>
                      </c:pt>
                      <c:pt idx="19">
                        <c:v>-2.6333282607552073</c:v>
                      </c:pt>
                      <c:pt idx="20">
                        <c:v>-2.4509178228297506</c:v>
                      </c:pt>
                      <c:pt idx="21">
                        <c:v>-2.3548605708158146</c:v>
                      </c:pt>
                      <c:pt idx="22">
                        <c:v>-2.4290066348640789</c:v>
                      </c:pt>
                      <c:pt idx="23">
                        <c:v>-2.0177536093357831</c:v>
                      </c:pt>
                      <c:pt idx="24">
                        <c:v>-2.3100526080082378</c:v>
                      </c:pt>
                      <c:pt idx="25">
                        <c:v>-1.668782801621872</c:v>
                      </c:pt>
                      <c:pt idx="26">
                        <c:v>-0.97004730914547554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73A1-4B9E-8E09-92F4E1FFFED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2.6286964479935753</c:v>
                      </c:pt>
                      <c:pt idx="1">
                        <c:v>2.8782028468084424</c:v>
                      </c:pt>
                      <c:pt idx="2">
                        <c:v>2.5738924847195253</c:v>
                      </c:pt>
                      <c:pt idx="3">
                        <c:v>2.3428098081425066</c:v>
                      </c:pt>
                      <c:pt idx="4">
                        <c:v>1.9165364324009422</c:v>
                      </c:pt>
                      <c:pt idx="5">
                        <c:v>2.402402107274157</c:v>
                      </c:pt>
                      <c:pt idx="6">
                        <c:v>2.4266542589745788</c:v>
                      </c:pt>
                      <c:pt idx="7">
                        <c:v>2.1793548935195455</c:v>
                      </c:pt>
                      <c:pt idx="8">
                        <c:v>2.7182244748636966</c:v>
                      </c:pt>
                      <c:pt idx="9">
                        <c:v>2.4937798755710414</c:v>
                      </c:pt>
                      <c:pt idx="10">
                        <c:v>2.6055866888802575</c:v>
                      </c:pt>
                      <c:pt idx="11">
                        <c:v>2.3430431344185889</c:v>
                      </c:pt>
                      <c:pt idx="12">
                        <c:v>2.6930877982224795</c:v>
                      </c:pt>
                      <c:pt idx="13">
                        <c:v>2.5207656504939941</c:v>
                      </c:pt>
                      <c:pt idx="14">
                        <c:v>2.3614668597068875</c:v>
                      </c:pt>
                      <c:pt idx="15">
                        <c:v>2.3715657865201125</c:v>
                      </c:pt>
                      <c:pt idx="16">
                        <c:v>2.4756347527126783</c:v>
                      </c:pt>
                      <c:pt idx="17">
                        <c:v>2.0895583969968805</c:v>
                      </c:pt>
                      <c:pt idx="18">
                        <c:v>2.0785045780406377</c:v>
                      </c:pt>
                      <c:pt idx="19">
                        <c:v>1.5603619798740112</c:v>
                      </c:pt>
                      <c:pt idx="20">
                        <c:v>1.2045912390663847</c:v>
                      </c:pt>
                      <c:pt idx="21">
                        <c:v>1.0847333108528217</c:v>
                      </c:pt>
                      <c:pt idx="22">
                        <c:v>1.1545080401422219</c:v>
                      </c:pt>
                      <c:pt idx="23">
                        <c:v>0.35106511821650571</c:v>
                      </c:pt>
                      <c:pt idx="24">
                        <c:v>0.37551859111873015</c:v>
                      </c:pt>
                      <c:pt idx="25">
                        <c:v>0.35924143556266647</c:v>
                      </c:pt>
                      <c:pt idx="26">
                        <c:v>-0.30767877591620052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3A1-4B9E-8E09-92F4E1FFFED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0.85369078126411557</c:v>
                      </c:pt>
                      <c:pt idx="1">
                        <c:v>0.51460084988026067</c:v>
                      </c:pt>
                      <c:pt idx="2">
                        <c:v>0.2488253183208417</c:v>
                      </c:pt>
                      <c:pt idx="3">
                        <c:v>0.12026054787484602</c:v>
                      </c:pt>
                      <c:pt idx="4">
                        <c:v>0.55757633093863512</c:v>
                      </c:pt>
                      <c:pt idx="5">
                        <c:v>-2.4028020768849689E-2</c:v>
                      </c:pt>
                      <c:pt idx="6">
                        <c:v>-0.77109271117150513</c:v>
                      </c:pt>
                      <c:pt idx="7">
                        <c:v>-0.3611697124442052</c:v>
                      </c:pt>
                      <c:pt idx="8">
                        <c:v>-0.74793069190003414</c:v>
                      </c:pt>
                      <c:pt idx="9">
                        <c:v>-0.84863986090236254</c:v>
                      </c:pt>
                      <c:pt idx="10">
                        <c:v>-0.59458314027237558</c:v>
                      </c:pt>
                      <c:pt idx="11">
                        <c:v>-0.7917827585035454</c:v>
                      </c:pt>
                      <c:pt idx="12">
                        <c:v>-0.81517795819390504</c:v>
                      </c:pt>
                      <c:pt idx="13">
                        <c:v>-0.98483802931392139</c:v>
                      </c:pt>
                      <c:pt idx="14">
                        <c:v>-0.86161295354824607</c:v>
                      </c:pt>
                      <c:pt idx="15">
                        <c:v>-0.8152356866682553</c:v>
                      </c:pt>
                      <c:pt idx="16">
                        <c:v>-1.0804498218403211</c:v>
                      </c:pt>
                      <c:pt idx="17">
                        <c:v>-0.9398901338380472</c:v>
                      </c:pt>
                      <c:pt idx="18">
                        <c:v>-0.79557676078927753</c:v>
                      </c:pt>
                      <c:pt idx="19">
                        <c:v>-0.59797178483672897</c:v>
                      </c:pt>
                      <c:pt idx="20">
                        <c:v>-0.65246944853479627</c:v>
                      </c:pt>
                      <c:pt idx="21">
                        <c:v>-0.54823147083403656</c:v>
                      </c:pt>
                      <c:pt idx="22">
                        <c:v>-0.39990355980014392</c:v>
                      </c:pt>
                      <c:pt idx="23">
                        <c:v>0.10422562945062976</c:v>
                      </c:pt>
                      <c:pt idx="24">
                        <c:v>-3.4890978705020101E-2</c:v>
                      </c:pt>
                      <c:pt idx="25">
                        <c:v>0.50238073120065374</c:v>
                      </c:pt>
                      <c:pt idx="26">
                        <c:v>0.59332259061978299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3A1-4B9E-8E09-92F4E1FFFED8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-1.3350302499099944</c:v>
                      </c:pt>
                      <c:pt idx="1">
                        <c:v>-1.1343385744144314</c:v>
                      </c:pt>
                      <c:pt idx="2">
                        <c:v>-0.96249952035041508</c:v>
                      </c:pt>
                      <c:pt idx="3">
                        <c:v>-0.80738916162987828</c:v>
                      </c:pt>
                      <c:pt idx="4">
                        <c:v>-0.49857110571910457</c:v>
                      </c:pt>
                      <c:pt idx="5">
                        <c:v>-0.75102212762337839</c:v>
                      </c:pt>
                      <c:pt idx="6">
                        <c:v>-0.86889527350031892</c:v>
                      </c:pt>
                      <c:pt idx="7">
                        <c:v>-0.75034011205405626</c:v>
                      </c:pt>
                      <c:pt idx="8">
                        <c:v>-0.39648666071438632</c:v>
                      </c:pt>
                      <c:pt idx="9">
                        <c:v>-0.72444831069611693</c:v>
                      </c:pt>
                      <c:pt idx="10">
                        <c:v>-0.49548543463980382</c:v>
                      </c:pt>
                      <c:pt idx="11">
                        <c:v>-0.69005807809061948</c:v>
                      </c:pt>
                      <c:pt idx="12">
                        <c:v>-1.0682054781519223</c:v>
                      </c:pt>
                      <c:pt idx="13">
                        <c:v>-0.90756838442650434</c:v>
                      </c:pt>
                      <c:pt idx="14">
                        <c:v>-0.5876744111633132</c:v>
                      </c:pt>
                      <c:pt idx="15">
                        <c:v>-0.93415961755845844</c:v>
                      </c:pt>
                      <c:pt idx="16">
                        <c:v>-1.206004540629243</c:v>
                      </c:pt>
                      <c:pt idx="17">
                        <c:v>-1.2327941607332258</c:v>
                      </c:pt>
                      <c:pt idx="18">
                        <c:v>-0.86213931214157535</c:v>
                      </c:pt>
                      <c:pt idx="19">
                        <c:v>-0.63317452468577462</c:v>
                      </c:pt>
                      <c:pt idx="20">
                        <c:v>-0.57607003981332761</c:v>
                      </c:pt>
                      <c:pt idx="21">
                        <c:v>-0.95744490079417355</c:v>
                      </c:pt>
                      <c:pt idx="22">
                        <c:v>-1.1652291318524857</c:v>
                      </c:pt>
                      <c:pt idx="23">
                        <c:v>-0.31190586234066675</c:v>
                      </c:pt>
                      <c:pt idx="24">
                        <c:v>-0.19804575613181855</c:v>
                      </c:pt>
                      <c:pt idx="25">
                        <c:v>8.5840508648187444E-2</c:v>
                      </c:pt>
                      <c:pt idx="26">
                        <c:v>0.31321971022444967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3A1-4B9E-8E09-92F4E1FFFED8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H1'!$DB$1</c15:sqref>
                        </c15:formulaRef>
                      </c:ext>
                    </c:extLst>
                    <c:strCache>
                      <c:ptCount val="1"/>
                      <c:pt idx="0">
                        <c:v>NZD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H1'!$DB$2:$DB$37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-1.5335325704374974</c:v>
                      </c:pt>
                      <c:pt idx="1">
                        <c:v>-1.4927523270722507</c:v>
                      </c:pt>
                      <c:pt idx="2">
                        <c:v>-1.5312943498493401</c:v>
                      </c:pt>
                      <c:pt idx="3">
                        <c:v>-1.5402459264397628</c:v>
                      </c:pt>
                      <c:pt idx="4">
                        <c:v>-1.4341070587594373</c:v>
                      </c:pt>
                      <c:pt idx="5">
                        <c:v>-1.5270254232948617</c:v>
                      </c:pt>
                      <c:pt idx="6">
                        <c:v>-1.5624857124442846</c:v>
                      </c:pt>
                      <c:pt idx="7">
                        <c:v>-1.5650165674492491</c:v>
                      </c:pt>
                      <c:pt idx="8">
                        <c:v>-1.2165510951793759</c:v>
                      </c:pt>
                      <c:pt idx="9">
                        <c:v>-1.2763803508410096</c:v>
                      </c:pt>
                      <c:pt idx="10">
                        <c:v>-1.6643585345399781</c:v>
                      </c:pt>
                      <c:pt idx="11">
                        <c:v>-1.2010902986361869</c:v>
                      </c:pt>
                      <c:pt idx="12">
                        <c:v>-1.2526827547522323</c:v>
                      </c:pt>
                      <c:pt idx="13">
                        <c:v>-0.83208196622752351</c:v>
                      </c:pt>
                      <c:pt idx="14">
                        <c:v>0.20305183407032998</c:v>
                      </c:pt>
                      <c:pt idx="15">
                        <c:v>-0.5576274991392689</c:v>
                      </c:pt>
                      <c:pt idx="16">
                        <c:v>-0.65644911659700056</c:v>
                      </c:pt>
                      <c:pt idx="17">
                        <c:v>-0.98809173902065683</c:v>
                      </c:pt>
                      <c:pt idx="18">
                        <c:v>-0.86546505473692725</c:v>
                      </c:pt>
                      <c:pt idx="19">
                        <c:v>-0.66277371240572525</c:v>
                      </c:pt>
                      <c:pt idx="20">
                        <c:v>-0.24316933125979134</c:v>
                      </c:pt>
                      <c:pt idx="21">
                        <c:v>-0.807627838376617</c:v>
                      </c:pt>
                      <c:pt idx="22">
                        <c:v>-1.0739069192747916</c:v>
                      </c:pt>
                      <c:pt idx="23">
                        <c:v>-0.82685232279270338</c:v>
                      </c:pt>
                      <c:pt idx="24">
                        <c:v>-0.37998054313208024</c:v>
                      </c:pt>
                      <c:pt idx="25">
                        <c:v>-0.48853721566463637</c:v>
                      </c:pt>
                      <c:pt idx="26">
                        <c:v>-0.26919193110892298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3A1-4B9E-8E09-92F4E1FFFED8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H1'!$DC$2:$DC$37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1.0155613951839839</c:v>
                      </c:pt>
                      <c:pt idx="1">
                        <c:v>1.401649301190153</c:v>
                      </c:pt>
                      <c:pt idx="2">
                        <c:v>1.2021432255117239</c:v>
                      </c:pt>
                      <c:pt idx="3">
                        <c:v>0.31011086030598156</c:v>
                      </c:pt>
                      <c:pt idx="4">
                        <c:v>-0.42305835699237643</c:v>
                      </c:pt>
                      <c:pt idx="5">
                        <c:v>0.16511152590817232</c:v>
                      </c:pt>
                      <c:pt idx="6">
                        <c:v>0.74785819871210979</c:v>
                      </c:pt>
                      <c:pt idx="7">
                        <c:v>0.38543602031651947</c:v>
                      </c:pt>
                      <c:pt idx="8">
                        <c:v>0.89048930652488711</c:v>
                      </c:pt>
                      <c:pt idx="9">
                        <c:v>2.1824770016355206</c:v>
                      </c:pt>
                      <c:pt idx="10">
                        <c:v>2.062961668891341</c:v>
                      </c:pt>
                      <c:pt idx="11">
                        <c:v>2.9045648036959246</c:v>
                      </c:pt>
                      <c:pt idx="12">
                        <c:v>3.2859472520694126</c:v>
                      </c:pt>
                      <c:pt idx="13">
                        <c:v>3.1755584993582806</c:v>
                      </c:pt>
                      <c:pt idx="14">
                        <c:v>2.5195241186520385</c:v>
                      </c:pt>
                      <c:pt idx="15">
                        <c:v>3.3134458356627232</c:v>
                      </c:pt>
                      <c:pt idx="16">
                        <c:v>4.2473313602618097</c:v>
                      </c:pt>
                      <c:pt idx="17">
                        <c:v>4.5880844462264099</c:v>
                      </c:pt>
                      <c:pt idx="18">
                        <c:v>3.7332220649731958</c:v>
                      </c:pt>
                      <c:pt idx="19">
                        <c:v>3.5364661988099075</c:v>
                      </c:pt>
                      <c:pt idx="20">
                        <c:v>3.3934499137584688</c:v>
                      </c:pt>
                      <c:pt idx="21">
                        <c:v>3.4262151605997402</c:v>
                      </c:pt>
                      <c:pt idx="22">
                        <c:v>3.8974742532646838</c:v>
                      </c:pt>
                      <c:pt idx="23">
                        <c:v>2.6711283893412481</c:v>
                      </c:pt>
                      <c:pt idx="24">
                        <c:v>2.8149360117570597</c:v>
                      </c:pt>
                      <c:pt idx="25">
                        <c:v>0.75760685755653323</c:v>
                      </c:pt>
                      <c:pt idx="26">
                        <c:v>0.50821433972341534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3A1-4B9E-8E09-92F4E1FFFED8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H1'!$BO$2:$BO$37</c:f>
              <c:numCache>
                <c:formatCode>0.00000</c:formatCode>
                <c:ptCount val="36"/>
                <c:pt idx="0">
                  <c:v>5.5373489675547775E-2</c:v>
                </c:pt>
                <c:pt idx="1">
                  <c:v>0.11470746579363231</c:v>
                </c:pt>
                <c:pt idx="2">
                  <c:v>0.13843542474425419</c:v>
                </c:pt>
                <c:pt idx="3">
                  <c:v>7.1655975006927344E-2</c:v>
                </c:pt>
                <c:pt idx="4">
                  <c:v>0.12505100926874496</c:v>
                </c:pt>
                <c:pt idx="5">
                  <c:v>6.1232905705314006E-2</c:v>
                </c:pt>
                <c:pt idx="6">
                  <c:v>3.0056208059890555E-2</c:v>
                </c:pt>
                <c:pt idx="7">
                  <c:v>1.3722889575036964E-2</c:v>
                </c:pt>
                <c:pt idx="8">
                  <c:v>0.12940698301218978</c:v>
                </c:pt>
                <c:pt idx="9">
                  <c:v>0.11902399923930798</c:v>
                </c:pt>
                <c:pt idx="10">
                  <c:v>0.15757450039582863</c:v>
                </c:pt>
                <c:pt idx="11">
                  <c:v>0.16350499499906804</c:v>
                </c:pt>
                <c:pt idx="12">
                  <c:v>0.1264256600540237</c:v>
                </c:pt>
                <c:pt idx="13">
                  <c:v>0.15015080425842306</c:v>
                </c:pt>
                <c:pt idx="14">
                  <c:v>0.24348137224158034</c:v>
                </c:pt>
                <c:pt idx="15">
                  <c:v>0.18715503523222193</c:v>
                </c:pt>
                <c:pt idx="16">
                  <c:v>0.17233011751051691</c:v>
                </c:pt>
                <c:pt idx="17">
                  <c:v>0.1471214041929014</c:v>
                </c:pt>
                <c:pt idx="18">
                  <c:v>0.19158758766036948</c:v>
                </c:pt>
                <c:pt idx="19">
                  <c:v>0.19010535957511851</c:v>
                </c:pt>
                <c:pt idx="20">
                  <c:v>0.18417609569322352</c:v>
                </c:pt>
                <c:pt idx="21">
                  <c:v>6.099231439638067E-2</c:v>
                </c:pt>
                <c:pt idx="22">
                  <c:v>3.8725228118846156E-2</c:v>
                </c:pt>
                <c:pt idx="23">
                  <c:v>8.9171828908188117E-2</c:v>
                </c:pt>
                <c:pt idx="24">
                  <c:v>0.15589483945041643</c:v>
                </c:pt>
                <c:pt idx="25">
                  <c:v>9.6550299889869282E-2</c:v>
                </c:pt>
                <c:pt idx="26">
                  <c:v>0.1158335560901724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24-4870-8EA0-B332C6937AF0}"/>
            </c:ext>
          </c:extLst>
        </c:ser>
        <c:ser>
          <c:idx val="1"/>
          <c:order val="1"/>
          <c:tx>
            <c:strRef>
              <c:f>'SATORI H1'!$BP$1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H1'!$BP$2:$BP$37</c:f>
              <c:numCache>
                <c:formatCode>0.00000</c:formatCode>
                <c:ptCount val="36"/>
                <c:pt idx="0">
                  <c:v>2.3983688081352247E-2</c:v>
                </c:pt>
                <c:pt idx="1">
                  <c:v>4.5864927653575686E-2</c:v>
                </c:pt>
                <c:pt idx="2">
                  <c:v>7.412020956837527E-2</c:v>
                </c:pt>
                <c:pt idx="3">
                  <c:v>9.5079412025154006E-2</c:v>
                </c:pt>
                <c:pt idx="4">
                  <c:v>0.1196776409526705</c:v>
                </c:pt>
                <c:pt idx="5">
                  <c:v>9.689631435047244E-2</c:v>
                </c:pt>
                <c:pt idx="6">
                  <c:v>9.0517135988644123E-2</c:v>
                </c:pt>
                <c:pt idx="7">
                  <c:v>0.10509598936182067</c:v>
                </c:pt>
                <c:pt idx="8">
                  <c:v>0.10145114317432614</c:v>
                </c:pt>
                <c:pt idx="9">
                  <c:v>7.1372117370173307E-2</c:v>
                </c:pt>
                <c:pt idx="10">
                  <c:v>0.14787833350022947</c:v>
                </c:pt>
                <c:pt idx="11">
                  <c:v>6.4927848558935977E-2</c:v>
                </c:pt>
                <c:pt idx="12">
                  <c:v>2.6628346452455404E-2</c:v>
                </c:pt>
                <c:pt idx="13">
                  <c:v>-6.2105786200561536E-3</c:v>
                </c:pt>
                <c:pt idx="14">
                  <c:v>-9.5685416104533294E-2</c:v>
                </c:pt>
                <c:pt idx="15">
                  <c:v>-4.6407249982361301E-2</c:v>
                </c:pt>
                <c:pt idx="16">
                  <c:v>-6.5574654441981392E-2</c:v>
                </c:pt>
                <c:pt idx="17">
                  <c:v>-7.7441598612569981E-2</c:v>
                </c:pt>
                <c:pt idx="18">
                  <c:v>-5.3790592746269074E-3</c:v>
                </c:pt>
                <c:pt idx="19">
                  <c:v>1.0058213281071357E-3</c:v>
                </c:pt>
                <c:pt idx="20">
                  <c:v>-4.2795394155625818E-2</c:v>
                </c:pt>
                <c:pt idx="21">
                  <c:v>-1.7251211843162449E-2</c:v>
                </c:pt>
                <c:pt idx="22">
                  <c:v>-1.2689958775710136E-2</c:v>
                </c:pt>
                <c:pt idx="23">
                  <c:v>6.7523701245983281E-2</c:v>
                </c:pt>
                <c:pt idx="24">
                  <c:v>2.3751644232875742E-2</c:v>
                </c:pt>
                <c:pt idx="25">
                  <c:v>7.2059942322432166E-2</c:v>
                </c:pt>
                <c:pt idx="26">
                  <c:v>7.3882863736281723E-2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24-4870-8EA0-B332C6937AF0}"/>
            </c:ext>
          </c:extLst>
        </c:ser>
        <c:ser>
          <c:idx val="2"/>
          <c:order val="2"/>
          <c:tx>
            <c:strRef>
              <c:f>'SATORI H1'!$BQ$1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H1'!$BQ$2:$BQ$37</c:f>
              <c:numCache>
                <c:formatCode>0.00000</c:formatCode>
                <c:ptCount val="36"/>
                <c:pt idx="0">
                  <c:v>-0.2947908696688899</c:v>
                </c:pt>
                <c:pt idx="1">
                  <c:v>-0.31820006235708997</c:v>
                </c:pt>
                <c:pt idx="2">
                  <c:v>-0.27140358633519079</c:v>
                </c:pt>
                <c:pt idx="3">
                  <c:v>-0.14135664751821153</c:v>
                </c:pt>
                <c:pt idx="4">
                  <c:v>-1.2491975717256243E-2</c:v>
                </c:pt>
                <c:pt idx="5">
                  <c:v>-0.11609681467267964</c:v>
                </c:pt>
                <c:pt idx="6">
                  <c:v>-0.20352628653767077</c:v>
                </c:pt>
                <c:pt idx="7">
                  <c:v>-0.14459697123534621</c:v>
                </c:pt>
                <c:pt idx="8">
                  <c:v>-0.16187234062338737</c:v>
                </c:pt>
                <c:pt idx="9">
                  <c:v>-0.36450555414178454</c:v>
                </c:pt>
                <c:pt idx="10">
                  <c:v>-0.32073965083389011</c:v>
                </c:pt>
                <c:pt idx="11">
                  <c:v>-0.45016904047749579</c:v>
                </c:pt>
                <c:pt idx="12">
                  <c:v>-0.54605903221464325</c:v>
                </c:pt>
                <c:pt idx="13">
                  <c:v>-0.51240685298109601</c:v>
                </c:pt>
                <c:pt idx="14">
                  <c:v>-0.39018485709589856</c:v>
                </c:pt>
                <c:pt idx="15">
                  <c:v>-0.5319593845991325</c:v>
                </c:pt>
                <c:pt idx="16">
                  <c:v>-0.6831417738937956</c:v>
                </c:pt>
                <c:pt idx="17">
                  <c:v>-0.71890715300681074</c:v>
                </c:pt>
                <c:pt idx="18">
                  <c:v>-0.57401215086400148</c:v>
                </c:pt>
                <c:pt idx="19">
                  <c:v>-0.51996085312292606</c:v>
                </c:pt>
                <c:pt idx="20">
                  <c:v>-0.49651013022890683</c:v>
                </c:pt>
                <c:pt idx="21">
                  <c:v>-0.54955728098483558</c:v>
                </c:pt>
                <c:pt idx="22">
                  <c:v>-0.63327859112123364</c:v>
                </c:pt>
                <c:pt idx="23">
                  <c:v>-0.37461751859430775</c:v>
                </c:pt>
                <c:pt idx="24">
                  <c:v>-0.37767266396830856</c:v>
                </c:pt>
                <c:pt idx="25">
                  <c:v>-8.5236405933915904E-2</c:v>
                </c:pt>
                <c:pt idx="26">
                  <c:v>-2.5363458358265419E-2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24-4870-8EA0-B332C6937AF0}"/>
            </c:ext>
          </c:extLst>
        </c:ser>
        <c:ser>
          <c:idx val="3"/>
          <c:order val="3"/>
          <c:tx>
            <c:strRef>
              <c:f>'SATORI H1'!$BR$1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H1'!$BR$2:$BR$37</c:f>
              <c:numCache>
                <c:formatCode>0.00000</c:formatCode>
                <c:ptCount val="36"/>
                <c:pt idx="0">
                  <c:v>-0.55711286694217454</c:v>
                </c:pt>
                <c:pt idx="1">
                  <c:v>-0.57275198559096063</c:v>
                </c:pt>
                <c:pt idx="2">
                  <c:v>-0.50849914196849266</c:v>
                </c:pt>
                <c:pt idx="3">
                  <c:v>-0.44428755611587023</c:v>
                </c:pt>
                <c:pt idx="4">
                  <c:v>-0.34719681094440014</c:v>
                </c:pt>
                <c:pt idx="5">
                  <c:v>-0.45133093569707017</c:v>
                </c:pt>
                <c:pt idx="6">
                  <c:v>-0.47216209911754869</c:v>
                </c:pt>
                <c:pt idx="7">
                  <c:v>-0.42357966513761558</c:v>
                </c:pt>
                <c:pt idx="8">
                  <c:v>-0.46871228560698214</c:v>
                </c:pt>
                <c:pt idx="9">
                  <c:v>-0.47739238907381448</c:v>
                </c:pt>
                <c:pt idx="10">
                  <c:v>-0.4635061520704698</c:v>
                </c:pt>
                <c:pt idx="11">
                  <c:v>-0.45656351560426489</c:v>
                </c:pt>
                <c:pt idx="12">
                  <c:v>-0.55907237653971742</c:v>
                </c:pt>
                <c:pt idx="13">
                  <c:v>-0.51565527714927895</c:v>
                </c:pt>
                <c:pt idx="14">
                  <c:v>-0.45837753215675264</c:v>
                </c:pt>
                <c:pt idx="15">
                  <c:v>-0.5000514338758042</c:v>
                </c:pt>
                <c:pt idx="16">
                  <c:v>-0.55390921458775566</c:v>
                </c:pt>
                <c:pt idx="17">
                  <c:v>-0.50008042486733162</c:v>
                </c:pt>
                <c:pt idx="18">
                  <c:v>-0.45321925542081543</c:v>
                </c:pt>
                <c:pt idx="19">
                  <c:v>-0.34572779405704962</c:v>
                </c:pt>
                <c:pt idx="20">
                  <c:v>-0.28681559056736672</c:v>
                </c:pt>
                <c:pt idx="21">
                  <c:v>-0.3162803714880551</c:v>
                </c:pt>
                <c:pt idx="22">
                  <c:v>-0.35442580964042841</c:v>
                </c:pt>
                <c:pt idx="23">
                  <c:v>-0.12434986728051657</c:v>
                </c:pt>
                <c:pt idx="24">
                  <c:v>-0.11916045368425737</c:v>
                </c:pt>
                <c:pt idx="25">
                  <c:v>-6.9021274237860905E-2</c:v>
                </c:pt>
                <c:pt idx="26">
                  <c:v>6.5654209644246772E-2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24-4870-8EA0-B332C6937AF0}"/>
            </c:ext>
          </c:extLst>
        </c:ser>
        <c:ser>
          <c:idx val="4"/>
          <c:order val="4"/>
          <c:tx>
            <c:strRef>
              <c:f>'SATORI H1'!$BS$1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H1'!$BS$2:$BS$37</c:f>
              <c:numCache>
                <c:formatCode>0.00000</c:formatCode>
                <c:ptCount val="36"/>
                <c:pt idx="0">
                  <c:v>-3.4513244215609376E-2</c:v>
                </c:pt>
                <c:pt idx="1">
                  <c:v>-9.4224263640431509E-3</c:v>
                </c:pt>
                <c:pt idx="2">
                  <c:v>1.7842765801028247E-2</c:v>
                </c:pt>
                <c:pt idx="3">
                  <c:v>-3.6717370381065678E-2</c:v>
                </c:pt>
                <c:pt idx="4">
                  <c:v>1.8903015035488514E-2</c:v>
                </c:pt>
                <c:pt idx="5">
                  <c:v>1.6721775873518446E-2</c:v>
                </c:pt>
                <c:pt idx="6">
                  <c:v>9.086855931105968E-3</c:v>
                </c:pt>
                <c:pt idx="7">
                  <c:v>3.5256873813953482E-2</c:v>
                </c:pt>
                <c:pt idx="8">
                  <c:v>0.16593596951460887</c:v>
                </c:pt>
                <c:pt idx="9">
                  <c:v>0.12671686545324987</c:v>
                </c:pt>
                <c:pt idx="10">
                  <c:v>0.1593887741461642</c:v>
                </c:pt>
                <c:pt idx="11">
                  <c:v>0.17463334054713092</c:v>
                </c:pt>
                <c:pt idx="12">
                  <c:v>0.15720794303025681</c:v>
                </c:pt>
                <c:pt idx="13">
                  <c:v>0.18551619815296636</c:v>
                </c:pt>
                <c:pt idx="14">
                  <c:v>0.25949839890583348</c:v>
                </c:pt>
                <c:pt idx="15">
                  <c:v>0.20724838257771155</c:v>
                </c:pt>
                <c:pt idx="16">
                  <c:v>0.1996280078729995</c:v>
                </c:pt>
                <c:pt idx="17">
                  <c:v>0.1996280078729995</c:v>
                </c:pt>
                <c:pt idx="18">
                  <c:v>0.23010021830537261</c:v>
                </c:pt>
                <c:pt idx="19">
                  <c:v>0.25077351493453981</c:v>
                </c:pt>
                <c:pt idx="20">
                  <c:v>0.23336139174377493</c:v>
                </c:pt>
                <c:pt idx="21">
                  <c:v>0.17347137159894449</c:v>
                </c:pt>
                <c:pt idx="22">
                  <c:v>0.15822431482543636</c:v>
                </c:pt>
                <c:pt idx="23">
                  <c:v>0.21264845301921415</c:v>
                </c:pt>
                <c:pt idx="24">
                  <c:v>0.26378098418829643</c:v>
                </c:pt>
                <c:pt idx="25">
                  <c:v>0.21915610527409357</c:v>
                </c:pt>
                <c:pt idx="26">
                  <c:v>0.16034731009206021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24-4870-8EA0-B332C6937AF0}"/>
            </c:ext>
          </c:extLst>
        </c:ser>
        <c:ser>
          <c:idx val="5"/>
          <c:order val="5"/>
          <c:tx>
            <c:strRef>
              <c:f>'SATORI H1'!$BT$1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H1'!$BT$2:$BT$37</c:f>
              <c:numCache>
                <c:formatCode>0.00000</c:formatCode>
                <c:ptCount val="36"/>
                <c:pt idx="0">
                  <c:v>0.31039408997560036</c:v>
                </c:pt>
                <c:pt idx="1">
                  <c:v>0.30319635006592482</c:v>
                </c:pt>
                <c:pt idx="2">
                  <c:v>0.39667949613335418</c:v>
                </c:pt>
                <c:pt idx="3">
                  <c:v>0.30490996361814732</c:v>
                </c:pt>
                <c:pt idx="4">
                  <c:v>0.39569729653798985</c:v>
                </c:pt>
                <c:pt idx="5">
                  <c:v>0.3255351139544021</c:v>
                </c:pt>
                <c:pt idx="6">
                  <c:v>0.33902602108300595</c:v>
                </c:pt>
                <c:pt idx="7">
                  <c:v>0.30123720657209335</c:v>
                </c:pt>
                <c:pt idx="8">
                  <c:v>0.33361713101892876</c:v>
                </c:pt>
                <c:pt idx="9">
                  <c:v>0.33271768058315904</c:v>
                </c:pt>
                <c:pt idx="10">
                  <c:v>0.34440916917945769</c:v>
                </c:pt>
                <c:pt idx="11">
                  <c:v>0.36149381008727366</c:v>
                </c:pt>
                <c:pt idx="12">
                  <c:v>0.36778775531196883</c:v>
                </c:pt>
                <c:pt idx="13">
                  <c:v>0.366888612195373</c:v>
                </c:pt>
                <c:pt idx="14">
                  <c:v>0.42260442560130251</c:v>
                </c:pt>
                <c:pt idx="15">
                  <c:v>0.4208071089950039</c:v>
                </c:pt>
                <c:pt idx="16">
                  <c:v>0.4288943796310159</c:v>
                </c:pt>
                <c:pt idx="17">
                  <c:v>0.4297929571827574</c:v>
                </c:pt>
                <c:pt idx="18">
                  <c:v>0.44147310093836961</c:v>
                </c:pt>
                <c:pt idx="19">
                  <c:v>0.39383136677925346</c:v>
                </c:pt>
                <c:pt idx="20">
                  <c:v>0.35876194731301791</c:v>
                </c:pt>
                <c:pt idx="21">
                  <c:v>0.31738089983277246</c:v>
                </c:pt>
                <c:pt idx="22">
                  <c:v>0.30658467851022453</c:v>
                </c:pt>
                <c:pt idx="23">
                  <c:v>0.2192389967186551</c:v>
                </c:pt>
                <c:pt idx="24">
                  <c:v>0.27863477961805871</c:v>
                </c:pt>
                <c:pt idx="25">
                  <c:v>0.19126470882128735</c:v>
                </c:pt>
                <c:pt idx="26">
                  <c:v>0.15702553921124923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824-4870-8EA0-B332C6937AF0}"/>
            </c:ext>
          </c:extLst>
        </c:ser>
        <c:ser>
          <c:idx val="6"/>
          <c:order val="6"/>
          <c:tx>
            <c:strRef>
              <c:f>'SATORI H1'!$BU$1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H1'!$BU$2:$BU$37</c:f>
              <c:numCache>
                <c:formatCode>0.00000</c:formatCode>
                <c:ptCount val="36"/>
                <c:pt idx="0">
                  <c:v>0.21507214621822168</c:v>
                </c:pt>
                <c:pt idx="1">
                  <c:v>0.18066422710329427</c:v>
                </c:pt>
                <c:pt idx="2">
                  <c:v>0.27981942481876226</c:v>
                </c:pt>
                <c:pt idx="3">
                  <c:v>0.19910810671031814</c:v>
                </c:pt>
                <c:pt idx="4">
                  <c:v>0.29098159889446179</c:v>
                </c:pt>
                <c:pt idx="5">
                  <c:v>0.2837105061153144</c:v>
                </c:pt>
                <c:pt idx="6">
                  <c:v>0.31939222518124527</c:v>
                </c:pt>
                <c:pt idx="7">
                  <c:v>0.32533882471742015</c:v>
                </c:pt>
                <c:pt idx="8">
                  <c:v>0.3735491007707748</c:v>
                </c:pt>
                <c:pt idx="9">
                  <c:v>0.34249997047673486</c:v>
                </c:pt>
                <c:pt idx="10">
                  <c:v>0.34844519514016409</c:v>
                </c:pt>
                <c:pt idx="11">
                  <c:v>0.37354095527753345</c:v>
                </c:pt>
                <c:pt idx="12">
                  <c:v>0.39929049805809536</c:v>
                </c:pt>
                <c:pt idx="13">
                  <c:v>0.40523234716153128</c:v>
                </c:pt>
                <c:pt idx="14">
                  <c:v>0.4402109969856427</c:v>
                </c:pt>
                <c:pt idx="15">
                  <c:v>0.44351076072256612</c:v>
                </c:pt>
                <c:pt idx="16">
                  <c:v>0.45868737026799056</c:v>
                </c:pt>
                <c:pt idx="17">
                  <c:v>0.48639350057916259</c:v>
                </c:pt>
                <c:pt idx="18">
                  <c:v>0.48507414363372903</c:v>
                </c:pt>
                <c:pt idx="19">
                  <c:v>0.45471972277628891</c:v>
                </c:pt>
                <c:pt idx="20">
                  <c:v>0.41114875160574132</c:v>
                </c:pt>
                <c:pt idx="21">
                  <c:v>0.43292949215091597</c:v>
                </c:pt>
                <c:pt idx="22">
                  <c:v>0.42632883208491013</c:v>
                </c:pt>
                <c:pt idx="23">
                  <c:v>0.34243011831165576</c:v>
                </c:pt>
                <c:pt idx="24">
                  <c:v>0.38799211564397307</c:v>
                </c:pt>
                <c:pt idx="25">
                  <c:v>0.31596552527703159</c:v>
                </c:pt>
                <c:pt idx="26">
                  <c:v>0.20217956196637835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824-4870-8EA0-B332C6937AF0}"/>
            </c:ext>
          </c:extLst>
        </c:ser>
        <c:ser>
          <c:idx val="7"/>
          <c:order val="7"/>
          <c:tx>
            <c:strRef>
              <c:f>'SATORI H1'!$BV$1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H1'!$BV$2:$BV$37</c:f>
              <c:numCache>
                <c:formatCode>0.00000</c:formatCode>
                <c:ptCount val="36"/>
                <c:pt idx="0">
                  <c:v>-2.2024792243123675E-2</c:v>
                </c:pt>
                <c:pt idx="1">
                  <c:v>-1.4980306314490391E-2</c:v>
                </c:pt>
                <c:pt idx="2">
                  <c:v>0.1093175864844473</c:v>
                </c:pt>
                <c:pt idx="3">
                  <c:v>0.12104242790596575</c:v>
                </c:pt>
                <c:pt idx="4">
                  <c:v>0.14097068617619335</c:v>
                </c:pt>
                <c:pt idx="5">
                  <c:v>0.17846863550708786</c:v>
                </c:pt>
                <c:pt idx="6">
                  <c:v>0.2978506579790004</c:v>
                </c:pt>
                <c:pt idx="7">
                  <c:v>0.24163930328534802</c:v>
                </c:pt>
                <c:pt idx="8">
                  <c:v>0.25100698478417344</c:v>
                </c:pt>
                <c:pt idx="9">
                  <c:v>0.22992525795650978</c:v>
                </c:pt>
                <c:pt idx="10">
                  <c:v>0.19946459906902231</c:v>
                </c:pt>
                <c:pt idx="11">
                  <c:v>0.21000756164150922</c:v>
                </c:pt>
                <c:pt idx="12">
                  <c:v>0.21235038732356668</c:v>
                </c:pt>
                <c:pt idx="13">
                  <c:v>0.22640536571403846</c:v>
                </c:pt>
                <c:pt idx="14">
                  <c:v>0.21469151173893039</c:v>
                </c:pt>
                <c:pt idx="15">
                  <c:v>0.22171933018696086</c:v>
                </c:pt>
                <c:pt idx="16">
                  <c:v>0.2463106459394602</c:v>
                </c:pt>
                <c:pt idx="17">
                  <c:v>0.2310851326639751</c:v>
                </c:pt>
                <c:pt idx="18">
                  <c:v>0.24747915118921945</c:v>
                </c:pt>
                <c:pt idx="19">
                  <c:v>0.20061714807290137</c:v>
                </c:pt>
                <c:pt idx="20">
                  <c:v>0.18772843624105753</c:v>
                </c:pt>
                <c:pt idx="21">
                  <c:v>0.20998580167185746</c:v>
                </c:pt>
                <c:pt idx="22">
                  <c:v>0.17483023830395839</c:v>
                </c:pt>
                <c:pt idx="23">
                  <c:v>7.9820033504173202E-2</c:v>
                </c:pt>
                <c:pt idx="24">
                  <c:v>0.10210141213516115</c:v>
                </c:pt>
                <c:pt idx="25">
                  <c:v>4.3431804165488065E-2</c:v>
                </c:pt>
                <c:pt idx="26">
                  <c:v>7.0434108891202791E-3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824-4870-8EA0-B332C6937AF0}"/>
            </c:ext>
          </c:extLst>
        </c:ser>
        <c:ser>
          <c:idx val="8"/>
          <c:order val="8"/>
          <c:tx>
            <c:strRef>
              <c:f>'SATORI H1'!$BW$1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H1'!$BW$2:$BW$37</c:f>
              <c:numCache>
                <c:formatCode>0.00000</c:formatCode>
                <c:ptCount val="36"/>
                <c:pt idx="0">
                  <c:v>-0.33386106265931553</c:v>
                </c:pt>
                <c:pt idx="1">
                  <c:v>-0.38339784108235653</c:v>
                </c:pt>
                <c:pt idx="2">
                  <c:v>-0.24867092622345688</c:v>
                </c:pt>
                <c:pt idx="3">
                  <c:v>-0.2118451018510665</c:v>
                </c:pt>
                <c:pt idx="4">
                  <c:v>-7.8398286186302416E-2</c:v>
                </c:pt>
                <c:pt idx="5">
                  <c:v>-0.18674406701226401</c:v>
                </c:pt>
                <c:pt idx="6">
                  <c:v>-0.16360760394647253</c:v>
                </c:pt>
                <c:pt idx="7">
                  <c:v>-0.13732307922323989</c:v>
                </c:pt>
                <c:pt idx="8">
                  <c:v>-0.26048615977400036</c:v>
                </c:pt>
                <c:pt idx="9">
                  <c:v>-0.26574981633093675</c:v>
                </c:pt>
                <c:pt idx="10">
                  <c:v>-0.28259635489372159</c:v>
                </c:pt>
                <c:pt idx="11">
                  <c:v>-0.2604901609487088</c:v>
                </c:pt>
                <c:pt idx="12">
                  <c:v>-0.32052871201835037</c:v>
                </c:pt>
                <c:pt idx="13">
                  <c:v>-0.29946699064385307</c:v>
                </c:pt>
                <c:pt idx="14">
                  <c:v>-0.27946235799209035</c:v>
                </c:pt>
                <c:pt idx="15">
                  <c:v>-0.27104006418036225</c:v>
                </c:pt>
                <c:pt idx="16">
                  <c:v>-0.29947338803592011</c:v>
                </c:pt>
                <c:pt idx="17">
                  <c:v>-0.22160569996967336</c:v>
                </c:pt>
                <c:pt idx="18">
                  <c:v>-0.20161664134912635</c:v>
                </c:pt>
                <c:pt idx="19">
                  <c:v>-0.14588876163723746</c:v>
                </c:pt>
                <c:pt idx="20">
                  <c:v>-0.11225305733711256</c:v>
                </c:pt>
                <c:pt idx="21">
                  <c:v>-5.8674875213326018E-2</c:v>
                </c:pt>
                <c:pt idx="22">
                  <c:v>-8.5996705355602027E-2</c:v>
                </c:pt>
                <c:pt idx="23">
                  <c:v>3.2449505495726616E-3</c:v>
                </c:pt>
                <c:pt idx="24">
                  <c:v>3.2449505495726616E-3</c:v>
                </c:pt>
                <c:pt idx="25">
                  <c:v>2.2139612807480391E-2</c:v>
                </c:pt>
                <c:pt idx="26">
                  <c:v>0.10709336021166907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824-4870-8EA0-B332C6937AF0}"/>
            </c:ext>
          </c:extLst>
        </c:ser>
        <c:ser>
          <c:idx val="9"/>
          <c:order val="9"/>
          <c:tx>
            <c:strRef>
              <c:f>'SATORI H1'!$BX$1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H1'!$BX$2:$BX$37</c:f>
              <c:numCache>
                <c:formatCode>0.00000</c:formatCode>
                <c:ptCount val="36"/>
                <c:pt idx="0">
                  <c:v>-4.3017771273064262E-2</c:v>
                </c:pt>
                <c:pt idx="1">
                  <c:v>-0.13006501755504787</c:v>
                </c:pt>
                <c:pt idx="2">
                  <c:v>-1.1057038470846908E-2</c:v>
                </c:pt>
                <c:pt idx="3">
                  <c:v>9.3043538702165002E-2</c:v>
                </c:pt>
                <c:pt idx="4">
                  <c:v>0.26153760758795241</c:v>
                </c:pt>
                <c:pt idx="5">
                  <c:v>0.15195801155498179</c:v>
                </c:pt>
                <c:pt idx="6">
                  <c:v>0.10638168660811273</c:v>
                </c:pt>
                <c:pt idx="7">
                  <c:v>0.14516810274325456</c:v>
                </c:pt>
                <c:pt idx="8">
                  <c:v>4.5948914615045439E-2</c:v>
                </c:pt>
                <c:pt idx="9">
                  <c:v>-0.15102789275521444</c:v>
                </c:pt>
                <c:pt idx="10">
                  <c:v>-0.13435865367511768</c:v>
                </c:pt>
                <c:pt idx="11">
                  <c:v>-0.25117963942171689</c:v>
                </c:pt>
                <c:pt idx="12">
                  <c:v>-0.30436454974949223</c:v>
                </c:pt>
                <c:pt idx="13">
                  <c:v>-0.29323406334723601</c:v>
                </c:pt>
                <c:pt idx="14">
                  <c:v>-0.20920771861678511</c:v>
                </c:pt>
                <c:pt idx="15">
                  <c:v>-0.29639922455633205</c:v>
                </c:pt>
                <c:pt idx="16">
                  <c:v>-0.42580778409665493</c:v>
                </c:pt>
                <c:pt idx="17">
                  <c:v>-0.42642696764123605</c:v>
                </c:pt>
                <c:pt idx="18">
                  <c:v>-0.31880498059298146</c:v>
                </c:pt>
                <c:pt idx="19">
                  <c:v>-0.32004203022958644</c:v>
                </c:pt>
                <c:pt idx="20">
                  <c:v>-0.32004203022958638</c:v>
                </c:pt>
                <c:pt idx="21">
                  <c:v>-0.29283434282119114</c:v>
                </c:pt>
                <c:pt idx="22">
                  <c:v>-0.36523443687942697</c:v>
                </c:pt>
                <c:pt idx="23">
                  <c:v>-0.24224384967663848</c:v>
                </c:pt>
                <c:pt idx="24">
                  <c:v>-0.253988048660442</c:v>
                </c:pt>
                <c:pt idx="25">
                  <c:v>1.0482301685713371E-2</c:v>
                </c:pt>
                <c:pt idx="26">
                  <c:v>1.6646731691687261E-2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824-4870-8EA0-B332C6937AF0}"/>
            </c:ext>
          </c:extLst>
        </c:ser>
        <c:ser>
          <c:idx val="10"/>
          <c:order val="10"/>
          <c:tx>
            <c:strRef>
              <c:f>'SATORI H1'!$BY$1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H1'!$BY$2:$BY$37</c:f>
              <c:numCache>
                <c:formatCode>0.00000</c:formatCode>
                <c:ptCount val="36"/>
                <c:pt idx="0">
                  <c:v>0.25219072528873732</c:v>
                </c:pt>
                <c:pt idx="1">
                  <c:v>0.18850186659308543</c:v>
                </c:pt>
                <c:pt idx="2">
                  <c:v>0.26123619234587769</c:v>
                </c:pt>
                <c:pt idx="3">
                  <c:v>0.23516626431100884</c:v>
                </c:pt>
                <c:pt idx="4">
                  <c:v>0.27092384006857662</c:v>
                </c:pt>
                <c:pt idx="5">
                  <c:v>0.26668123583688108</c:v>
                </c:pt>
                <c:pt idx="6">
                  <c:v>0.31030041615978743</c:v>
                </c:pt>
                <c:pt idx="7">
                  <c:v>0.28848606837849344</c:v>
                </c:pt>
                <c:pt idx="8">
                  <c:v>0.20661529078804369</c:v>
                </c:pt>
                <c:pt idx="9">
                  <c:v>0.21510487285804814</c:v>
                </c:pt>
                <c:pt idx="10">
                  <c:v>0.18841620826177508</c:v>
                </c:pt>
                <c:pt idx="11">
                  <c:v>0.1987266745981027</c:v>
                </c:pt>
                <c:pt idx="12">
                  <c:v>0.24116351947930517</c:v>
                </c:pt>
                <c:pt idx="13">
                  <c:v>0.21872758317311033</c:v>
                </c:pt>
                <c:pt idx="14">
                  <c:v>0.1805112544884114</c:v>
                </c:pt>
                <c:pt idx="15">
                  <c:v>0.23507622014280444</c:v>
                </c:pt>
                <c:pt idx="16">
                  <c:v>0.25871544914025202</c:v>
                </c:pt>
                <c:pt idx="17">
                  <c:v>0.26235212134275221</c:v>
                </c:pt>
                <c:pt idx="18">
                  <c:v>0.24598441785278111</c:v>
                </c:pt>
                <c:pt idx="19">
                  <c:v>0.20413833864847175</c:v>
                </c:pt>
                <c:pt idx="20">
                  <c:v>0.1762331676989603</c:v>
                </c:pt>
                <c:pt idx="21">
                  <c:v>0.2580617640657818</c:v>
                </c:pt>
                <c:pt idx="22">
                  <c:v>0.26654697252915938</c:v>
                </c:pt>
                <c:pt idx="23">
                  <c:v>0.12999133065695953</c:v>
                </c:pt>
                <c:pt idx="24">
                  <c:v>0.12392182265127913</c:v>
                </c:pt>
                <c:pt idx="25">
                  <c:v>9.5386994983426315E-2</c:v>
                </c:pt>
                <c:pt idx="26">
                  <c:v>4.1931523998206023E-2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824-4870-8EA0-B332C6937AF0}"/>
            </c:ext>
          </c:extLst>
        </c:ser>
        <c:ser>
          <c:idx val="11"/>
          <c:order val="11"/>
          <c:tx>
            <c:strRef>
              <c:f>'SATORI H1'!$BZ$1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H1'!$BZ$2:$BZ$37</c:f>
              <c:numCache>
                <c:formatCode>0.00000</c:formatCode>
                <c:ptCount val="36"/>
                <c:pt idx="0">
                  <c:v>0.27785446433590122</c:v>
                </c:pt>
                <c:pt idx="1">
                  <c:v>0.23637950415186143</c:v>
                </c:pt>
                <c:pt idx="2">
                  <c:v>0.33526852194637013</c:v>
                </c:pt>
                <c:pt idx="3">
                  <c:v>0.33029620119852504</c:v>
                </c:pt>
                <c:pt idx="4">
                  <c:v>0.39268749954488369</c:v>
                </c:pt>
                <c:pt idx="5">
                  <c:v>0.36396821399233703</c:v>
                </c:pt>
                <c:pt idx="6">
                  <c:v>0.3998544380990483</c:v>
                </c:pt>
                <c:pt idx="7">
                  <c:v>0.39488532939151766</c:v>
                </c:pt>
                <c:pt idx="8">
                  <c:v>0.30978600079205937</c:v>
                </c:pt>
                <c:pt idx="9">
                  <c:v>0.28712455178584562</c:v>
                </c:pt>
                <c:pt idx="10">
                  <c:v>0.33629229111948783</c:v>
                </c:pt>
                <c:pt idx="11">
                  <c:v>0.26386938557886341</c:v>
                </c:pt>
                <c:pt idx="12">
                  <c:v>0.26829196283575202</c:v>
                </c:pt>
                <c:pt idx="13">
                  <c:v>0.21297916898654082</c:v>
                </c:pt>
                <c:pt idx="14">
                  <c:v>8.5043148073707081E-2</c:v>
                </c:pt>
                <c:pt idx="15">
                  <c:v>0.18850325230838108</c:v>
                </c:pt>
                <c:pt idx="16">
                  <c:v>0.19348236768554483</c:v>
                </c:pt>
                <c:pt idx="17">
                  <c:v>0.20841748290719261</c:v>
                </c:pt>
                <c:pt idx="18">
                  <c:v>0.25043940065482295</c:v>
                </c:pt>
                <c:pt idx="19">
                  <c:v>0.20618622825551919</c:v>
                </c:pt>
                <c:pt idx="20">
                  <c:v>0.13422307339081785</c:v>
                </c:pt>
                <c:pt idx="21">
                  <c:v>0.24260377720183521</c:v>
                </c:pt>
                <c:pt idx="22">
                  <c:v>0.2558731228019423</c:v>
                </c:pt>
                <c:pt idx="23">
                  <c:v>0.19778601426756331</c:v>
                </c:pt>
                <c:pt idx="24">
                  <c:v>0.1485260211307502</c:v>
                </c:pt>
                <c:pt idx="25">
                  <c:v>0.16734090481049912</c:v>
                </c:pt>
                <c:pt idx="26">
                  <c:v>0.11640411072802405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824-4870-8EA0-B332C6937AF0}"/>
            </c:ext>
          </c:extLst>
        </c:ser>
        <c:ser>
          <c:idx val="12"/>
          <c:order val="12"/>
          <c:tx>
            <c:strRef>
              <c:f>'SATORI H1'!$CA$1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H1'!$CA$2:$CA$37</c:f>
              <c:numCache>
                <c:formatCode>0.00000</c:formatCode>
                <c:ptCount val="36"/>
                <c:pt idx="0">
                  <c:v>0.31584659133378373</c:v>
                </c:pt>
                <c:pt idx="1">
                  <c:v>0.31737925233983244</c:v>
                </c:pt>
                <c:pt idx="2">
                  <c:v>0.28594982673174807</c:v>
                </c:pt>
                <c:pt idx="3">
                  <c:v>0.18389178409757218</c:v>
                </c:pt>
                <c:pt idx="4">
                  <c:v>0.25443852131097849</c:v>
                </c:pt>
                <c:pt idx="5">
                  <c:v>0.1485063179211529</c:v>
                </c:pt>
                <c:pt idx="6">
                  <c:v>4.0923248422484765E-2</c:v>
                </c:pt>
                <c:pt idx="7">
                  <c:v>5.9362659590622813E-2</c:v>
                </c:pt>
                <c:pt idx="8">
                  <c:v>8.0102694771867086E-2</c:v>
                </c:pt>
                <c:pt idx="9">
                  <c:v>9.9302743923982292E-2</c:v>
                </c:pt>
                <c:pt idx="10">
                  <c:v>0.14382702501037667</c:v>
                </c:pt>
                <c:pt idx="11">
                  <c:v>0.14766517778421778</c:v>
                </c:pt>
                <c:pt idx="12">
                  <c:v>0.15610840094628581</c:v>
                </c:pt>
                <c:pt idx="13">
                  <c:v>0.13614770815669075</c:v>
                </c:pt>
                <c:pt idx="14">
                  <c:v>0.20519470614666538</c:v>
                </c:pt>
                <c:pt idx="15">
                  <c:v>0.19905681850069259</c:v>
                </c:pt>
                <c:pt idx="16">
                  <c:v>0.1844772100015549</c:v>
                </c:pt>
                <c:pt idx="17">
                  <c:v>0.18601188208049144</c:v>
                </c:pt>
                <c:pt idx="18">
                  <c:v>0.19828775155730446</c:v>
                </c:pt>
                <c:pt idx="19">
                  <c:v>0.19214944005335233</c:v>
                </c:pt>
                <c:pt idx="20">
                  <c:v>0.16989310851074882</c:v>
                </c:pt>
                <c:pt idx="21">
                  <c:v>0.10922701010881318</c:v>
                </c:pt>
                <c:pt idx="22">
                  <c:v>0.13302702853461931</c:v>
                </c:pt>
                <c:pt idx="23">
                  <c:v>0.13993623389924464</c:v>
                </c:pt>
                <c:pt idx="24">
                  <c:v>0.17216879953471464</c:v>
                </c:pt>
                <c:pt idx="25">
                  <c:v>0.14453325100746553</c:v>
                </c:pt>
                <c:pt idx="26">
                  <c:v>0.14837137431869937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E824-4870-8EA0-B332C6937AF0}"/>
            </c:ext>
          </c:extLst>
        </c:ser>
        <c:ser>
          <c:idx val="13"/>
          <c:order val="13"/>
          <c:tx>
            <c:strRef>
              <c:f>'SATORI H1'!$CB$1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H1'!$CB$2:$CB$37</c:f>
              <c:numCache>
                <c:formatCode>0.00000</c:formatCode>
                <c:ptCount val="36"/>
                <c:pt idx="0">
                  <c:v>0.27577972155148323</c:v>
                </c:pt>
                <c:pt idx="1">
                  <c:v>0.20603462695646019</c:v>
                </c:pt>
                <c:pt idx="2">
                  <c:v>0.15175899981451169</c:v>
                </c:pt>
                <c:pt idx="3">
                  <c:v>0.11659671033580335</c:v>
                </c:pt>
                <c:pt idx="4">
                  <c:v>0.13159014424577556</c:v>
                </c:pt>
                <c:pt idx="5">
                  <c:v>9.1764137346052432E-2</c:v>
                </c:pt>
                <c:pt idx="6">
                  <c:v>1.2566671664952608E-2</c:v>
                </c:pt>
                <c:pt idx="7">
                  <c:v>4.7753160053412132E-2</c:v>
                </c:pt>
                <c:pt idx="8">
                  <c:v>-4.391916060290206E-2</c:v>
                </c:pt>
                <c:pt idx="9">
                  <c:v>-1.5441523314798944E-2</c:v>
                </c:pt>
                <c:pt idx="10">
                  <c:v>-1.2334968484108824E-2</c:v>
                </c:pt>
                <c:pt idx="11">
                  <c:v>-1.2334968484108845E-2</c:v>
                </c:pt>
                <c:pt idx="12">
                  <c:v>3.2172499454992676E-2</c:v>
                </c:pt>
                <c:pt idx="13">
                  <c:v>-9.7649050856477397E-3</c:v>
                </c:pt>
                <c:pt idx="14">
                  <c:v>-3.4104877534868912E-2</c:v>
                </c:pt>
                <c:pt idx="15">
                  <c:v>1.5068746768289423E-2</c:v>
                </c:pt>
                <c:pt idx="16">
                  <c:v>1.6621573948975066E-2</c:v>
                </c:pt>
                <c:pt idx="17">
                  <c:v>2.0762274969662008E-2</c:v>
                </c:pt>
                <c:pt idx="18">
                  <c:v>5.2322346950926038E-3</c:v>
                </c:pt>
                <c:pt idx="19">
                  <c:v>5.2322346950926073E-3</c:v>
                </c:pt>
                <c:pt idx="20">
                  <c:v>-8.7467554005336498E-3</c:v>
                </c:pt>
                <c:pt idx="21">
                  <c:v>5.0757958407663735E-2</c:v>
                </c:pt>
                <c:pt idx="22">
                  <c:v>9.5237342730236652E-2</c:v>
                </c:pt>
                <c:pt idx="23">
                  <c:v>5.2291128982268405E-2</c:v>
                </c:pt>
                <c:pt idx="24">
                  <c:v>2.0718283699562072E-2</c:v>
                </c:pt>
                <c:pt idx="25">
                  <c:v>5.2281163683004464E-2</c:v>
                </c:pt>
                <c:pt idx="26">
                  <c:v>3.5203246981839985E-2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E824-4870-8EA0-B332C6937AF0}"/>
            </c:ext>
          </c:extLst>
        </c:ser>
        <c:ser>
          <c:idx val="14"/>
          <c:order val="14"/>
          <c:tx>
            <c:strRef>
              <c:f>'SATORI H1'!$CC$1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H1'!$CC$2:$CC$37</c:f>
              <c:numCache>
                <c:formatCode>0.00000</c:formatCode>
                <c:ptCount val="36"/>
                <c:pt idx="0">
                  <c:v>0.30231174968400021</c:v>
                </c:pt>
                <c:pt idx="1">
                  <c:v>0.25379732724113008</c:v>
                </c:pt>
                <c:pt idx="2">
                  <c:v>0.22647106104561524</c:v>
                </c:pt>
                <c:pt idx="3">
                  <c:v>0.2118635094126203</c:v>
                </c:pt>
                <c:pt idx="4">
                  <c:v>0.2537837385137402</c:v>
                </c:pt>
                <c:pt idx="5">
                  <c:v>0.18921317986059499</c:v>
                </c:pt>
                <c:pt idx="6">
                  <c:v>0.10241540452531198</c:v>
                </c:pt>
                <c:pt idx="7">
                  <c:v>0.15522093401860462</c:v>
                </c:pt>
                <c:pt idx="8">
                  <c:v>5.9419219970204627E-2</c:v>
                </c:pt>
                <c:pt idx="9">
                  <c:v>5.7059516160232318E-2</c:v>
                </c:pt>
                <c:pt idx="10">
                  <c:v>0.13581155569657799</c:v>
                </c:pt>
                <c:pt idx="11">
                  <c:v>5.2746453422671563E-2</c:v>
                </c:pt>
                <c:pt idx="12">
                  <c:v>5.935346818463165E-2</c:v>
                </c:pt>
                <c:pt idx="13">
                  <c:v>-1.5267053403375086E-2</c:v>
                </c:pt>
                <c:pt idx="14">
                  <c:v>-0.12921666025358108</c:v>
                </c:pt>
                <c:pt idx="15">
                  <c:v>-3.0494847928945714E-2</c:v>
                </c:pt>
                <c:pt idx="16">
                  <c:v>-4.8447490746935426E-2</c:v>
                </c:pt>
                <c:pt idx="17">
                  <c:v>-3.1914895554610703E-2</c:v>
                </c:pt>
                <c:pt idx="18">
                  <c:v>6.3316197628815211E-3</c:v>
                </c:pt>
                <c:pt idx="19">
                  <c:v>4.4428672838815256E-3</c:v>
                </c:pt>
                <c:pt idx="20">
                  <c:v>-5.0833680813807514E-2</c:v>
                </c:pt>
                <c:pt idx="21">
                  <c:v>3.6021455204170751E-2</c:v>
                </c:pt>
                <c:pt idx="22">
                  <c:v>8.4617822271879473E-2</c:v>
                </c:pt>
                <c:pt idx="23">
                  <c:v>0.1204624828323812</c:v>
                </c:pt>
                <c:pt idx="24">
                  <c:v>4.4943050738518869E-2</c:v>
                </c:pt>
                <c:pt idx="25">
                  <c:v>0.12464687322065479</c:v>
                </c:pt>
                <c:pt idx="26">
                  <c:v>0.11002450760489968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E824-4870-8EA0-B332C6937AF0}"/>
            </c:ext>
          </c:extLst>
        </c:ser>
        <c:ser>
          <c:idx val="15"/>
          <c:order val="15"/>
          <c:tx>
            <c:strRef>
              <c:f>'SATORI H1'!$CD$1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H1'!$CD$2:$CD$37</c:f>
              <c:numCache>
                <c:formatCode>0.00000</c:formatCode>
                <c:ptCount val="36"/>
                <c:pt idx="0">
                  <c:v>0.23336167879153608</c:v>
                </c:pt>
                <c:pt idx="1">
                  <c:v>0.19729192891270933</c:v>
                </c:pt>
                <c:pt idx="2">
                  <c:v>0.17023229624722075</c:v>
                </c:pt>
                <c:pt idx="3">
                  <c:v>8.0516846569689687E-2</c:v>
                </c:pt>
                <c:pt idx="4">
                  <c:v>0.15099814928970257</c:v>
                </c:pt>
                <c:pt idx="5">
                  <c:v>0.10869147668129722</c:v>
                </c:pt>
                <c:pt idx="6">
                  <c:v>2.0616093186397871E-2</c:v>
                </c:pt>
                <c:pt idx="7">
                  <c:v>8.550133094847695E-2</c:v>
                </c:pt>
                <c:pt idx="8">
                  <c:v>0.12328974964416571</c:v>
                </c:pt>
                <c:pt idx="9">
                  <c:v>0.11144421541056934</c:v>
                </c:pt>
                <c:pt idx="10">
                  <c:v>0.14753186328534373</c:v>
                </c:pt>
                <c:pt idx="11">
                  <c:v>0.16219032121556531</c:v>
                </c:pt>
                <c:pt idx="12">
                  <c:v>0.1898082469402598</c:v>
                </c:pt>
                <c:pt idx="13">
                  <c:v>0.17684305003836831</c:v>
                </c:pt>
                <c:pt idx="14">
                  <c:v>0.22586127693079011</c:v>
                </c:pt>
                <c:pt idx="15">
                  <c:v>0.22360751455622382</c:v>
                </c:pt>
                <c:pt idx="16">
                  <c:v>0.2162822502832302</c:v>
                </c:pt>
                <c:pt idx="17">
                  <c:v>0.24557472437064873</c:v>
                </c:pt>
                <c:pt idx="18">
                  <c:v>0.24388474538272223</c:v>
                </c:pt>
                <c:pt idx="19">
                  <c:v>0.25515000276568905</c:v>
                </c:pt>
                <c:pt idx="20">
                  <c:v>0.22528815606401909</c:v>
                </c:pt>
                <c:pt idx="21">
                  <c:v>0.22641500550567259</c:v>
                </c:pt>
                <c:pt idx="22">
                  <c:v>0.25514141183222921</c:v>
                </c:pt>
                <c:pt idx="23">
                  <c:v>0.26471596379951823</c:v>
                </c:pt>
                <c:pt idx="24">
                  <c:v>0.28386140155432188</c:v>
                </c:pt>
                <c:pt idx="25">
                  <c:v>0.27147164225356119</c:v>
                </c:pt>
                <c:pt idx="26">
                  <c:v>0.19482169579580164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E824-4870-8EA0-B332C6937AF0}"/>
            </c:ext>
          </c:extLst>
        </c:ser>
        <c:ser>
          <c:idx val="16"/>
          <c:order val="16"/>
          <c:tx>
            <c:strRef>
              <c:f>'SATORI H1'!$CE$1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H1'!$CE$2:$CE$37</c:f>
              <c:numCache>
                <c:formatCode>0.00000</c:formatCode>
                <c:ptCount val="36"/>
                <c:pt idx="0">
                  <c:v>-0.27859062667244983</c:v>
                </c:pt>
                <c:pt idx="1">
                  <c:v>-0.3647712109050002</c:v>
                </c:pt>
                <c:pt idx="2">
                  <c:v>-0.35669243385230459</c:v>
                </c:pt>
                <c:pt idx="3">
                  <c:v>-0.32707902346428436</c:v>
                </c:pt>
                <c:pt idx="4">
                  <c:v>-0.21413734081248195</c:v>
                </c:pt>
                <c:pt idx="5">
                  <c:v>-0.35955924386454241</c:v>
                </c:pt>
                <c:pt idx="6">
                  <c:v>-0.45929955961903446</c:v>
                </c:pt>
                <c:pt idx="7">
                  <c:v>-0.37311201192409599</c:v>
                </c:pt>
                <c:pt idx="8">
                  <c:v>-0.51156262371398353</c:v>
                </c:pt>
                <c:pt idx="9">
                  <c:v>-0.4917878760667192</c:v>
                </c:pt>
                <c:pt idx="10">
                  <c:v>-0.47650972382442541</c:v>
                </c:pt>
                <c:pt idx="11">
                  <c:v>-0.46932052200555013</c:v>
                </c:pt>
                <c:pt idx="12">
                  <c:v>-0.52686723375049194</c:v>
                </c:pt>
                <c:pt idx="13">
                  <c:v>-0.52506893134794819</c:v>
                </c:pt>
                <c:pt idx="14">
                  <c:v>-0.49091285606076329</c:v>
                </c:pt>
                <c:pt idx="15">
                  <c:v>-0.48462134331146078</c:v>
                </c:pt>
                <c:pt idx="16">
                  <c:v>-0.53677820958305644</c:v>
                </c:pt>
                <c:pt idx="17">
                  <c:v>-0.45501279545471468</c:v>
                </c:pt>
                <c:pt idx="18">
                  <c:v>-0.44063852539812159</c:v>
                </c:pt>
                <c:pt idx="19">
                  <c:v>-0.34011977685654016</c:v>
                </c:pt>
                <c:pt idx="20">
                  <c:v>-0.29616215559180747</c:v>
                </c:pt>
                <c:pt idx="21">
                  <c:v>-0.26387718693513867</c:v>
                </c:pt>
                <c:pt idx="22">
                  <c:v>-0.25670326414447553</c:v>
                </c:pt>
                <c:pt idx="23">
                  <c:v>-7.1421940859892744E-2</c:v>
                </c:pt>
                <c:pt idx="24">
                  <c:v>-9.8281518985469246E-2</c:v>
                </c:pt>
                <c:pt idx="25">
                  <c:v>-1.5086099206420414E-2</c:v>
                </c:pt>
                <c:pt idx="26">
                  <c:v>0.10196597556393613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E824-4870-8EA0-B332C6937AF0}"/>
            </c:ext>
          </c:extLst>
        </c:ser>
        <c:ser>
          <c:idx val="17"/>
          <c:order val="17"/>
          <c:tx>
            <c:strRef>
              <c:f>'SATORI H1'!$CF$1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H1'!$CF$2:$CF$37</c:f>
              <c:numCache>
                <c:formatCode>0.00000</c:formatCode>
                <c:ptCount val="36"/>
                <c:pt idx="0">
                  <c:v>-1.7043125667361492E-2</c:v>
                </c:pt>
                <c:pt idx="1">
                  <c:v>-0.11011138097936142</c:v>
                </c:pt>
                <c:pt idx="2">
                  <c:v>-0.11957684518150208</c:v>
                </c:pt>
                <c:pt idx="3">
                  <c:v>-2.4486851170589477E-2</c:v>
                </c:pt>
                <c:pt idx="4">
                  <c:v>0.12187380456711359</c:v>
                </c:pt>
                <c:pt idx="5">
                  <c:v>-2.4175253206316916E-2</c:v>
                </c:pt>
                <c:pt idx="6">
                  <c:v>-0.19046391137261751</c:v>
                </c:pt>
                <c:pt idx="7">
                  <c:v>-9.4256481845877677E-2</c:v>
                </c:pt>
                <c:pt idx="8">
                  <c:v>-0.20425358718521253</c:v>
                </c:pt>
                <c:pt idx="9">
                  <c:v>-0.37929167905911854</c:v>
                </c:pt>
                <c:pt idx="10">
                  <c:v>-0.33344429288711741</c:v>
                </c:pt>
                <c:pt idx="11">
                  <c:v>-0.46272165879483179</c:v>
                </c:pt>
                <c:pt idx="12">
                  <c:v>-0.51340295264601632</c:v>
                </c:pt>
                <c:pt idx="13">
                  <c:v>-0.52132253195797096</c:v>
                </c:pt>
                <c:pt idx="14">
                  <c:v>-0.42374303103755784</c:v>
                </c:pt>
                <c:pt idx="15">
                  <c:v>-0.51613324506609382</c:v>
                </c:pt>
                <c:pt idx="16">
                  <c:v>-0.66629450980462923</c:v>
                </c:pt>
                <c:pt idx="17">
                  <c:v>-0.67422619158554897</c:v>
                </c:pt>
                <c:pt idx="18">
                  <c:v>-0.56119543559993723</c:v>
                </c:pt>
                <c:pt idx="19">
                  <c:v>-0.51420940470530285</c:v>
                </c:pt>
                <c:pt idx="20">
                  <c:v>-0.504179685062358</c:v>
                </c:pt>
                <c:pt idx="21">
                  <c:v>-0.49678991145336066</c:v>
                </c:pt>
                <c:pt idx="22">
                  <c:v>-0.53639366272067468</c:v>
                </c:pt>
                <c:pt idx="23">
                  <c:v>-0.32193820569871678</c:v>
                </c:pt>
                <c:pt idx="24">
                  <c:v>-0.35619958311150718</c:v>
                </c:pt>
                <c:pt idx="25">
                  <c:v>-3.2034295592123688E-2</c:v>
                </c:pt>
                <c:pt idx="26">
                  <c:v>9.9792012437264748E-3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E824-4870-8EA0-B332C6937AF0}"/>
            </c:ext>
          </c:extLst>
        </c:ser>
        <c:ser>
          <c:idx val="18"/>
          <c:order val="18"/>
          <c:tx>
            <c:strRef>
              <c:f>'SATORI H1'!$CG$1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H1'!$CG$2:$CG$37</c:f>
              <c:numCache>
                <c:formatCode>0.00000</c:formatCode>
                <c:ptCount val="36"/>
                <c:pt idx="0">
                  <c:v>-0.31916681707255035</c:v>
                </c:pt>
                <c:pt idx="1">
                  <c:v>-0.36047390737878782</c:v>
                </c:pt>
                <c:pt idx="2">
                  <c:v>-0.33926665673140249</c:v>
                </c:pt>
                <c:pt idx="3">
                  <c:v>-0.22888768894198802</c:v>
                </c:pt>
                <c:pt idx="4">
                  <c:v>-0.1241931408548977</c:v>
                </c:pt>
                <c:pt idx="5">
                  <c:v>-0.2122585991296993</c:v>
                </c:pt>
                <c:pt idx="6">
                  <c:v>-0.28588644384188411</c:v>
                </c:pt>
                <c:pt idx="7">
                  <c:v>-0.24128341083563276</c:v>
                </c:pt>
                <c:pt idx="8">
                  <c:v>-0.2635899020245801</c:v>
                </c:pt>
                <c:pt idx="9">
                  <c:v>-0.43116894347245349</c:v>
                </c:pt>
                <c:pt idx="10">
                  <c:v>-0.4646959886222089</c:v>
                </c:pt>
                <c:pt idx="11">
                  <c:v>-0.51277452435127668</c:v>
                </c:pt>
                <c:pt idx="12">
                  <c:v>-0.56535311256024534</c:v>
                </c:pt>
                <c:pt idx="13">
                  <c:v>-0.49939373906250073</c:v>
                </c:pt>
                <c:pt idx="14">
                  <c:v>-0.28743242757977816</c:v>
                </c:pt>
                <c:pt idx="15">
                  <c:v>-0.48416180173445889</c:v>
                </c:pt>
                <c:pt idx="16">
                  <c:v>-0.61063074409595808</c:v>
                </c:pt>
                <c:pt idx="17">
                  <c:v>-0.72267556202312255</c:v>
                </c:pt>
                <c:pt idx="18">
                  <c:v>-0.58281542216298277</c:v>
                </c:pt>
                <c:pt idx="19">
                  <c:v>-0.53360887769257148</c:v>
                </c:pt>
                <c:pt idx="20">
                  <c:v>-0.45538697332442868</c:v>
                </c:pt>
                <c:pt idx="21">
                  <c:v>-0.52695532669318146</c:v>
                </c:pt>
                <c:pt idx="22">
                  <c:v>-0.6220974802638034</c:v>
                </c:pt>
                <c:pt idx="23">
                  <c:v>-0.43551989415321812</c:v>
                </c:pt>
                <c:pt idx="24">
                  <c:v>-0.39866485729817991</c:v>
                </c:pt>
                <c:pt idx="25">
                  <c:v>-0.15578957041568547</c:v>
                </c:pt>
                <c:pt idx="26">
                  <c:v>-9.5663974726911086E-2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E824-4870-8EA0-B332C6937AF0}"/>
            </c:ext>
          </c:extLst>
        </c:ser>
        <c:ser>
          <c:idx val="19"/>
          <c:order val="19"/>
          <c:tx>
            <c:strRef>
              <c:f>'SATORI H1'!$CH$1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H1'!$CH$2:$CH$37</c:f>
              <c:numCache>
                <c:formatCode>0.00000</c:formatCode>
                <c:ptCount val="36"/>
                <c:pt idx="0">
                  <c:v>-0.58059808137328295</c:v>
                </c:pt>
                <c:pt idx="1">
                  <c:v>-0.61490666805012839</c:v>
                </c:pt>
                <c:pt idx="2">
                  <c:v>-0.57680054249042756</c:v>
                </c:pt>
                <c:pt idx="3">
                  <c:v>-0.53299769340077419</c:v>
                </c:pt>
                <c:pt idx="4">
                  <c:v>-0.46068010500202899</c:v>
                </c:pt>
                <c:pt idx="5">
                  <c:v>-0.54829915262107953</c:v>
                </c:pt>
                <c:pt idx="6">
                  <c:v>-0.55591878078323287</c:v>
                </c:pt>
                <c:pt idx="7">
                  <c:v>-0.52164220691720298</c:v>
                </c:pt>
                <c:pt idx="8">
                  <c:v>-0.57117733875686882</c:v>
                </c:pt>
                <c:pt idx="9">
                  <c:v>-0.5426075427452155</c:v>
                </c:pt>
                <c:pt idx="10">
                  <c:v>-0.60931486911556731</c:v>
                </c:pt>
                <c:pt idx="11">
                  <c:v>-0.51981663051707716</c:v>
                </c:pt>
                <c:pt idx="12">
                  <c:v>-0.57888225051555908</c:v>
                </c:pt>
                <c:pt idx="13">
                  <c:v>-0.50272658834206374</c:v>
                </c:pt>
                <c:pt idx="14">
                  <c:v>-0.35634153862819196</c:v>
                </c:pt>
                <c:pt idx="15">
                  <c:v>-0.45339196679184762</c:v>
                </c:pt>
                <c:pt idx="16">
                  <c:v>-0.48194436043417804</c:v>
                </c:pt>
                <c:pt idx="17">
                  <c:v>-0.506695893125234</c:v>
                </c:pt>
                <c:pt idx="18">
                  <c:v>-0.46102162676813396</c:v>
                </c:pt>
                <c:pt idx="19">
                  <c:v>-0.35836002980996184</c:v>
                </c:pt>
                <c:pt idx="20">
                  <c:v>-0.24631840349727468</c:v>
                </c:pt>
                <c:pt idx="21">
                  <c:v>-0.29571706973329348</c:v>
                </c:pt>
                <c:pt idx="22">
                  <c:v>-0.34323835927100116</c:v>
                </c:pt>
                <c:pt idx="23">
                  <c:v>-0.18571620178680132</c:v>
                </c:pt>
                <c:pt idx="24">
                  <c:v>-0.14018836341062416</c:v>
                </c:pt>
                <c:pt idx="25">
                  <c:v>-0.14018836341062416</c:v>
                </c:pt>
                <c:pt idx="26">
                  <c:v>-5.6830021405926412E-3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E824-4870-8EA0-B332C6937AF0}"/>
            </c:ext>
          </c:extLst>
        </c:ser>
        <c:ser>
          <c:idx val="20"/>
          <c:order val="20"/>
          <c:tx>
            <c:strRef>
              <c:f>'SATORI H1'!$CI$1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H1'!$CI$2:$CI$37</c:f>
              <c:numCache>
                <c:formatCode>0.00000</c:formatCode>
                <c:ptCount val="36"/>
                <c:pt idx="0">
                  <c:v>2.8402637277211165E-2</c:v>
                </c:pt>
                <c:pt idx="1">
                  <c:v>7.0707263125325701E-2</c:v>
                </c:pt>
                <c:pt idx="2">
                  <c:v>6.9080135656167163E-2</c:v>
                </c:pt>
                <c:pt idx="3">
                  <c:v>-1.7232053904948481E-2</c:v>
                </c:pt>
                <c:pt idx="4">
                  <c:v>1.2072929570308213E-2</c:v>
                </c:pt>
                <c:pt idx="5">
                  <c:v>-3.6792576269132474E-2</c:v>
                </c:pt>
                <c:pt idx="6">
                  <c:v>-5.3083731800792469E-2</c:v>
                </c:pt>
                <c:pt idx="7">
                  <c:v>-8.4046511280621627E-2</c:v>
                </c:pt>
                <c:pt idx="8">
                  <c:v>2.5018944271145264E-2</c:v>
                </c:pt>
                <c:pt idx="9">
                  <c:v>5.2684612803888961E-2</c:v>
                </c:pt>
                <c:pt idx="10">
                  <c:v>1.3611937628058998E-2</c:v>
                </c:pt>
                <c:pt idx="11">
                  <c:v>0.1014482367919851</c:v>
                </c:pt>
                <c:pt idx="12">
                  <c:v>0.10795420601875719</c:v>
                </c:pt>
                <c:pt idx="13">
                  <c:v>0.16159965834744794</c:v>
                </c:pt>
                <c:pt idx="14">
                  <c:v>0.34495787214638279</c:v>
                </c:pt>
                <c:pt idx="15">
                  <c:v>0.23449653361486655</c:v>
                </c:pt>
                <c:pt idx="16">
                  <c:v>0.24424217244148339</c:v>
                </c:pt>
                <c:pt idx="17">
                  <c:v>0.14180814483307083</c:v>
                </c:pt>
                <c:pt idx="18">
                  <c:v>0.19543528991888282</c:v>
                </c:pt>
                <c:pt idx="19">
                  <c:v>0.1921850542767955</c:v>
                </c:pt>
                <c:pt idx="20">
                  <c:v>0.22305276178090147</c:v>
                </c:pt>
                <c:pt idx="21">
                  <c:v>8.1511096469991814E-2</c:v>
                </c:pt>
                <c:pt idx="22">
                  <c:v>5.059014019872983E-2</c:v>
                </c:pt>
                <c:pt idx="23">
                  <c:v>2.9429219535910628E-2</c:v>
                </c:pt>
                <c:pt idx="24">
                  <c:v>0.13349764452533694</c:v>
                </c:pt>
                <c:pt idx="25">
                  <c:v>2.4432188973588075E-2</c:v>
                </c:pt>
                <c:pt idx="26">
                  <c:v>4.3962485345836987E-2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E824-4870-8EA0-B332C6937AF0}"/>
            </c:ext>
          </c:extLst>
        </c:ser>
        <c:ser>
          <c:idx val="21"/>
          <c:order val="21"/>
          <c:tx>
            <c:strRef>
              <c:f>'SATORI H1'!$CJ$1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H1'!$CJ$2:$CJ$37</c:f>
              <c:numCache>
                <c:formatCode>0.00000</c:formatCode>
                <c:ptCount val="36"/>
                <c:pt idx="0">
                  <c:v>-5.8020407167621621E-2</c:v>
                </c:pt>
                <c:pt idx="1">
                  <c:v>-5.2037255722092897E-2</c:v>
                </c:pt>
                <c:pt idx="2">
                  <c:v>-4.844749372331647E-2</c:v>
                </c:pt>
                <c:pt idx="3">
                  <c:v>-0.12388936755575269</c:v>
                </c:pt>
                <c:pt idx="4">
                  <c:v>-9.5157863461524411E-2</c:v>
                </c:pt>
                <c:pt idx="5">
                  <c:v>-7.9597387071546011E-2</c:v>
                </c:pt>
                <c:pt idx="6">
                  <c:v>-7.4809777405370662E-2</c:v>
                </c:pt>
                <c:pt idx="7">
                  <c:v>-6.284218564384883E-2</c:v>
                </c:pt>
                <c:pt idx="8">
                  <c:v>6.3853565267517925E-2</c:v>
                </c:pt>
                <c:pt idx="9">
                  <c:v>6.026770788902177E-2</c:v>
                </c:pt>
                <c:pt idx="10">
                  <c:v>1.6022565886034471E-2</c:v>
                </c:pt>
                <c:pt idx="11">
                  <c:v>0.11159630700065266</c:v>
                </c:pt>
                <c:pt idx="12">
                  <c:v>0.1378721797776539</c:v>
                </c:pt>
                <c:pt idx="13">
                  <c:v>0.19994023979270253</c:v>
                </c:pt>
                <c:pt idx="14">
                  <c:v>0.36200899984751</c:v>
                </c:pt>
                <c:pt idx="15">
                  <c:v>0.25703089016924502</c:v>
                </c:pt>
                <c:pt idx="16">
                  <c:v>0.27134403798828022</c:v>
                </c:pt>
                <c:pt idx="17">
                  <c:v>0.19853256003464084</c:v>
                </c:pt>
                <c:pt idx="18">
                  <c:v>0.2343286654183844</c:v>
                </c:pt>
                <c:pt idx="19">
                  <c:v>0.24864505768752043</c:v>
                </c:pt>
                <c:pt idx="20">
                  <c:v>0.27607728220239508</c:v>
                </c:pt>
                <c:pt idx="21">
                  <c:v>0.19490748214270973</c:v>
                </c:pt>
                <c:pt idx="22">
                  <c:v>0.16863976635939473</c:v>
                </c:pt>
                <c:pt idx="23">
                  <c:v>0.15072675195733315</c:v>
                </c:pt>
                <c:pt idx="24">
                  <c:v>0.2425957491535316</c:v>
                </c:pt>
                <c:pt idx="25">
                  <c:v>0.14705624954167135</c:v>
                </c:pt>
                <c:pt idx="26">
                  <c:v>8.8504042481949236E-2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E824-4870-8EA0-B332C6937AF0}"/>
            </c:ext>
          </c:extLst>
        </c:ser>
        <c:ser>
          <c:idx val="22"/>
          <c:order val="22"/>
          <c:tx>
            <c:strRef>
              <c:f>'SATORI H1'!$CK$1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H1'!$CK$2:$CK$37</c:f>
              <c:numCache>
                <c:formatCode>0.00000</c:formatCode>
                <c:ptCount val="36"/>
                <c:pt idx="0">
                  <c:v>-0.25875551223240828</c:v>
                </c:pt>
                <c:pt idx="1">
                  <c:v>-0.30820365232924946</c:v>
                </c:pt>
                <c:pt idx="2">
                  <c:v>-0.28954745800633297</c:v>
                </c:pt>
                <c:pt idx="3">
                  <c:v>-0.10426226778641312</c:v>
                </c:pt>
                <c:pt idx="4">
                  <c:v>-2.8901513062407555E-2</c:v>
                </c:pt>
                <c:pt idx="5">
                  <c:v>-0.13134812440790372</c:v>
                </c:pt>
                <c:pt idx="6">
                  <c:v>-0.21337263855247929</c:v>
                </c:pt>
                <c:pt idx="7">
                  <c:v>-0.17889694857278646</c:v>
                </c:pt>
                <c:pt idx="8">
                  <c:v>-0.32633452089184989</c:v>
                </c:pt>
                <c:pt idx="9">
                  <c:v>-0.4917751819067458</c:v>
                </c:pt>
                <c:pt idx="10">
                  <c:v>-0.47962564919646072</c:v>
                </c:pt>
                <c:pt idx="11">
                  <c:v>-0.62657023143394597</c:v>
                </c:pt>
                <c:pt idx="12">
                  <c:v>-0.70243992289720358</c:v>
                </c:pt>
                <c:pt idx="13">
                  <c:v>-0.69775682793340821</c:v>
                </c:pt>
                <c:pt idx="14">
                  <c:v>-0.64907634974131989</c:v>
                </c:pt>
                <c:pt idx="15">
                  <c:v>-0.74090457473921068</c:v>
                </c:pt>
                <c:pt idx="16">
                  <c:v>-0.88353517087880207</c:v>
                </c:pt>
                <c:pt idx="17">
                  <c:v>-0.93798964037022259</c:v>
                </c:pt>
                <c:pt idx="18">
                  <c:v>-0.81046612822266106</c:v>
                </c:pt>
                <c:pt idx="19">
                  <c:v>-0.76922553623271162</c:v>
                </c:pt>
                <c:pt idx="20">
                  <c:v>-0.73081156479022324</c:v>
                </c:pt>
                <c:pt idx="21">
                  <c:v>-0.72237994057834554</c:v>
                </c:pt>
                <c:pt idx="22">
                  <c:v>-0.79081658512028241</c:v>
                </c:pt>
                <c:pt idx="23">
                  <c:v>-0.5877946456526314</c:v>
                </c:pt>
                <c:pt idx="24">
                  <c:v>-0.64021486862580501</c:v>
                </c:pt>
                <c:pt idx="25">
                  <c:v>-0.30342972075752978</c:v>
                </c:pt>
                <c:pt idx="26">
                  <c:v>-0.18508873097958653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E824-4870-8EA0-B332C6937AF0}"/>
            </c:ext>
          </c:extLst>
        </c:ser>
        <c:ser>
          <c:idx val="23"/>
          <c:order val="23"/>
          <c:tx>
            <c:strRef>
              <c:f>'SATORI H1'!$CL$1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H1'!$CL$2:$CL$37</c:f>
              <c:numCache>
                <c:formatCode>0.00000</c:formatCode>
                <c:ptCount val="36"/>
                <c:pt idx="0">
                  <c:v>-0.52477300528748494</c:v>
                </c:pt>
                <c:pt idx="1">
                  <c:v>-0.56300234949494576</c:v>
                </c:pt>
                <c:pt idx="2">
                  <c:v>-0.52637931201205301</c:v>
                </c:pt>
                <c:pt idx="3">
                  <c:v>-0.40709881198819242</c:v>
                </c:pt>
                <c:pt idx="4">
                  <c:v>-0.36417626334263842</c:v>
                </c:pt>
                <c:pt idx="5">
                  <c:v>-0.46761521049329946</c:v>
                </c:pt>
                <c:pt idx="6">
                  <c:v>-0.48193957783374747</c:v>
                </c:pt>
                <c:pt idx="7">
                  <c:v>-0.45807133055870819</c:v>
                </c:pt>
                <c:pt idx="8">
                  <c:v>-0.63341204945565421</c:v>
                </c:pt>
                <c:pt idx="9">
                  <c:v>-0.6047281618327407</c:v>
                </c:pt>
                <c:pt idx="10">
                  <c:v>-0.6238544110158919</c:v>
                </c:pt>
                <c:pt idx="11">
                  <c:v>-0.63341845022846222</c:v>
                </c:pt>
                <c:pt idx="12">
                  <c:v>-0.71637555183495283</c:v>
                </c:pt>
                <c:pt idx="13">
                  <c:v>-0.70201965315568993</c:v>
                </c:pt>
                <c:pt idx="14">
                  <c:v>-0.7163776130491275</c:v>
                </c:pt>
                <c:pt idx="15">
                  <c:v>-0.70840160488169601</c:v>
                </c:pt>
                <c:pt idx="16">
                  <c:v>-0.75468386281750932</c:v>
                </c:pt>
                <c:pt idx="17">
                  <c:v>-0.71799071326898445</c:v>
                </c:pt>
                <c:pt idx="18">
                  <c:v>-0.69087704319450105</c:v>
                </c:pt>
                <c:pt idx="19">
                  <c:v>-0.59527322541538841</c:v>
                </c:pt>
                <c:pt idx="20">
                  <c:v>-0.52203064918737851</c:v>
                </c:pt>
                <c:pt idx="21">
                  <c:v>-0.49019618838356188</c:v>
                </c:pt>
                <c:pt idx="22">
                  <c:v>-0.51089287054620003</c:v>
                </c:pt>
                <c:pt idx="23">
                  <c:v>-0.33607325260653031</c:v>
                </c:pt>
                <c:pt idx="24">
                  <c:v>-0.38218331254961024</c:v>
                </c:pt>
                <c:pt idx="25">
                  <c:v>-0.28687411362342008</c:v>
                </c:pt>
                <c:pt idx="26">
                  <c:v>-9.5035955269750838E-2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E824-4870-8EA0-B332C6937AF0}"/>
            </c:ext>
          </c:extLst>
        </c:ser>
        <c:ser>
          <c:idx val="24"/>
          <c:order val="24"/>
          <c:tx>
            <c:strRef>
              <c:f>'SATORI H1'!$CM$1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H1'!$CM$2:$CM$37</c:f>
              <c:numCache>
                <c:formatCode>0.00000</c:formatCode>
                <c:ptCount val="36"/>
                <c:pt idx="0">
                  <c:v>0.26433469736148196</c:v>
                </c:pt>
                <c:pt idx="1">
                  <c:v>0.25554843205142252</c:v>
                </c:pt>
                <c:pt idx="2">
                  <c:v>0.23621491124151478</c:v>
                </c:pt>
                <c:pt idx="3">
                  <c:v>0.30822432515514975</c:v>
                </c:pt>
                <c:pt idx="4">
                  <c:v>0.34099835407822049</c:v>
                </c:pt>
                <c:pt idx="5">
                  <c:v>0.34158360116954511</c:v>
                </c:pt>
                <c:pt idx="6">
                  <c:v>0.27130459350913061</c:v>
                </c:pt>
                <c:pt idx="7">
                  <c:v>0.28477292244085561</c:v>
                </c:pt>
                <c:pt idx="8">
                  <c:v>0.30819061802253395</c:v>
                </c:pt>
                <c:pt idx="9">
                  <c:v>0.11814680236502788</c:v>
                </c:pt>
                <c:pt idx="10">
                  <c:v>0.14863836148053372</c:v>
                </c:pt>
                <c:pt idx="11">
                  <c:v>1.3001750164568187E-2</c:v>
                </c:pt>
                <c:pt idx="12">
                  <c:v>1.8286014213379782E-2</c:v>
                </c:pt>
                <c:pt idx="13">
                  <c:v>9.4781317457548336E-3</c:v>
                </c:pt>
                <c:pt idx="14">
                  <c:v>7.2854694154066563E-2</c:v>
                </c:pt>
                <c:pt idx="15">
                  <c:v>-2.5828357031896038E-2</c:v>
                </c:pt>
                <c:pt idx="16">
                  <c:v>-0.12343178138336056</c:v>
                </c:pt>
                <c:pt idx="17">
                  <c:v>-0.24234344532251439</c:v>
                </c:pt>
                <c:pt idx="18">
                  <c:v>-0.12298574263490647</c:v>
                </c:pt>
                <c:pt idx="19">
                  <c:v>-0.16945687758943984</c:v>
                </c:pt>
                <c:pt idx="20">
                  <c:v>-0.20888464533045173</c:v>
                </c:pt>
                <c:pt idx="21">
                  <c:v>-0.22948548349028186</c:v>
                </c:pt>
                <c:pt idx="22">
                  <c:v>-0.27954113359538668</c:v>
                </c:pt>
                <c:pt idx="23">
                  <c:v>-0.24480869113939241</c:v>
                </c:pt>
                <c:pt idx="24">
                  <c:v>-0.255994966168686</c:v>
                </c:pt>
                <c:pt idx="25">
                  <c:v>-1.0501071214227845E-2</c:v>
                </c:pt>
                <c:pt idx="26">
                  <c:v>-8.8673827127150315E-2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E824-4870-8EA0-B332C6937AF0}"/>
            </c:ext>
          </c:extLst>
        </c:ser>
        <c:ser>
          <c:idx val="25"/>
          <c:order val="25"/>
          <c:tx>
            <c:strRef>
              <c:f>'SATORI H1'!$CN$1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H1'!$CN$2:$CN$37</c:f>
              <c:numCache>
                <c:formatCode>0.00000</c:formatCode>
                <c:ptCount val="36"/>
                <c:pt idx="0">
                  <c:v>-8.8058553339908779E-2</c:v>
                </c:pt>
                <c:pt idx="1">
                  <c:v>-0.12335812165560718</c:v>
                </c:pt>
                <c:pt idx="2">
                  <c:v>-0.11821053293323765</c:v>
                </c:pt>
                <c:pt idx="3">
                  <c:v>-0.10718120226656075</c:v>
                </c:pt>
                <c:pt idx="4">
                  <c:v>-0.10718120226656075</c:v>
                </c:pt>
                <c:pt idx="5">
                  <c:v>-4.3986334277694578E-2</c:v>
                </c:pt>
                <c:pt idx="6">
                  <c:v>-2.0477492749335115E-2</c:v>
                </c:pt>
                <c:pt idx="7">
                  <c:v>2.1380103302845996E-2</c:v>
                </c:pt>
                <c:pt idx="8">
                  <c:v>3.8267158273877527E-2</c:v>
                </c:pt>
                <c:pt idx="9">
                  <c:v>8.1550825970886955E-3</c:v>
                </c:pt>
                <c:pt idx="10">
                  <c:v>1.5446778199751203E-3</c:v>
                </c:pt>
                <c:pt idx="11">
                  <c:v>1.0357774081011548E-2</c:v>
                </c:pt>
                <c:pt idx="12">
                  <c:v>3.0183309370463811E-2</c:v>
                </c:pt>
                <c:pt idx="13">
                  <c:v>3.8993882057697285E-2</c:v>
                </c:pt>
                <c:pt idx="14">
                  <c:v>1.6228054299541442E-2</c:v>
                </c:pt>
                <c:pt idx="15">
                  <c:v>2.1368460832264867E-2</c:v>
                </c:pt>
                <c:pt idx="16">
                  <c:v>2.724286604872626E-2</c:v>
                </c:pt>
                <c:pt idx="17">
                  <c:v>5.2936785399189293E-2</c:v>
                </c:pt>
                <c:pt idx="18">
                  <c:v>4.118961389783192E-2</c:v>
                </c:pt>
                <c:pt idx="19">
                  <c:v>5.9541200943069424E-2</c:v>
                </c:pt>
                <c:pt idx="20">
                  <c:v>5.2200027236217986E-2</c:v>
                </c:pt>
                <c:pt idx="21">
                  <c:v>0.11456109045566418</c:v>
                </c:pt>
                <c:pt idx="22">
                  <c:v>0.11896285409562551</c:v>
                </c:pt>
                <c:pt idx="23">
                  <c:v>0.12336442398889998</c:v>
                </c:pt>
                <c:pt idx="24">
                  <c:v>0.10942417629269946</c:v>
                </c:pt>
                <c:pt idx="25">
                  <c:v>0.12482944489456449</c:v>
                </c:pt>
                <c:pt idx="26">
                  <c:v>4.4070012559948725E-2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E824-4870-8EA0-B332C6937AF0}"/>
            </c:ext>
          </c:extLst>
        </c:ser>
        <c:ser>
          <c:idx val="26"/>
          <c:order val="26"/>
          <c:tx>
            <c:strRef>
              <c:f>'SATORI H1'!$CO$1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H1'!$CO$2:$CO$37</c:f>
              <c:numCache>
                <c:formatCode>0.00000</c:formatCode>
                <c:ptCount val="36"/>
                <c:pt idx="0">
                  <c:v>-0.61419911298487018</c:v>
                </c:pt>
                <c:pt idx="1">
                  <c:v>-0.6868267091285738</c:v>
                </c:pt>
                <c:pt idx="2">
                  <c:v>-0.64701452894332923</c:v>
                </c:pt>
                <c:pt idx="3">
                  <c:v>-0.51837610815536161</c:v>
                </c:pt>
                <c:pt idx="4">
                  <c:v>-0.47512553537750801</c:v>
                </c:pt>
                <c:pt idx="5">
                  <c:v>-0.51488510690965572</c:v>
                </c:pt>
                <c:pt idx="6">
                  <c:v>-0.50436162199915968</c:v>
                </c:pt>
                <c:pt idx="7">
                  <c:v>-0.43892500787653566</c:v>
                </c:pt>
                <c:pt idx="8">
                  <c:v>-0.59809544898932754</c:v>
                </c:pt>
                <c:pt idx="9">
                  <c:v>-0.59809544898932754</c:v>
                </c:pt>
                <c:pt idx="10">
                  <c:v>-0.62502122749553968</c:v>
                </c:pt>
                <c:pt idx="11">
                  <c:v>-0.62385055517842014</c:v>
                </c:pt>
                <c:pt idx="12">
                  <c:v>-0.68945121118498076</c:v>
                </c:pt>
                <c:pt idx="13">
                  <c:v>-0.66836973126509536</c:v>
                </c:pt>
                <c:pt idx="14">
                  <c:v>-0.70351788071502286</c:v>
                </c:pt>
                <c:pt idx="15">
                  <c:v>-0.68828933539253356</c:v>
                </c:pt>
                <c:pt idx="16">
                  <c:v>-0.72696136145512846</c:v>
                </c:pt>
                <c:pt idx="17">
                  <c:v>-0.64850702890244116</c:v>
                </c:pt>
                <c:pt idx="18">
                  <c:v>-0.64499427173934687</c:v>
                </c:pt>
                <c:pt idx="19">
                  <c:v>-0.53972249510266179</c:v>
                </c:pt>
                <c:pt idx="20">
                  <c:v>-0.47192667740327499</c:v>
                </c:pt>
                <c:pt idx="21">
                  <c:v>-0.37966929097329039</c:v>
                </c:pt>
                <c:pt idx="22">
                  <c:v>-0.3936850353261015</c:v>
                </c:pt>
                <c:pt idx="23">
                  <c:v>-0.21763074997826015</c:v>
                </c:pt>
                <c:pt idx="24">
                  <c:v>-0.27712817175663806</c:v>
                </c:pt>
                <c:pt idx="25">
                  <c:v>-0.16758638272946924</c:v>
                </c:pt>
                <c:pt idx="26">
                  <c:v>-5.0025594490209116E-2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E824-4870-8EA0-B332C6937AF0}"/>
            </c:ext>
          </c:extLst>
        </c:ser>
        <c:ser>
          <c:idx val="27"/>
          <c:order val="27"/>
          <c:tx>
            <c:strRef>
              <c:f>'SATORI H1'!$CP$1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H1'!$CP$2:$CP$37</c:f>
              <c:numCache>
                <c:formatCode>0.00000</c:formatCode>
                <c:ptCount val="36"/>
                <c:pt idx="0">
                  <c:v>-0.34712199663119153</c:v>
                </c:pt>
                <c:pt idx="1">
                  <c:v>-0.43014371264203888</c:v>
                </c:pt>
                <c:pt idx="2">
                  <c:v>-0.40750655202796338</c:v>
                </c:pt>
                <c:pt idx="3">
                  <c:v>-0.21238526874609415</c:v>
                </c:pt>
                <c:pt idx="4">
                  <c:v>-0.13576477960634864</c:v>
                </c:pt>
                <c:pt idx="5">
                  <c:v>-0.17477434721609966</c:v>
                </c:pt>
                <c:pt idx="6">
                  <c:v>-0.23229519852470132</c:v>
                </c:pt>
                <c:pt idx="7">
                  <c:v>-0.15634323301098652</c:v>
                </c:pt>
                <c:pt idx="8">
                  <c:v>-0.2885784884374365</c:v>
                </c:pt>
                <c:pt idx="9">
                  <c:v>-0.48285455266523164</c:v>
                </c:pt>
                <c:pt idx="10">
                  <c:v>-0.47873579515707976</c:v>
                </c:pt>
                <c:pt idx="11">
                  <c:v>-0.6141514593812254</c:v>
                </c:pt>
                <c:pt idx="12">
                  <c:v>-0.67261369621519129</c:v>
                </c:pt>
                <c:pt idx="13">
                  <c:v>-0.66092261582182366</c:v>
                </c:pt>
                <c:pt idx="14">
                  <c:v>-0.6327344287347656</c:v>
                </c:pt>
                <c:pt idx="15">
                  <c:v>-0.71805924793559905</c:v>
                </c:pt>
                <c:pt idx="16">
                  <c:v>-0.85448959610860886</c:v>
                </c:pt>
                <c:pt idx="17">
                  <c:v>-0.8655154862769544</c:v>
                </c:pt>
                <c:pt idx="18">
                  <c:v>-0.7629422048957254</c:v>
                </c:pt>
                <c:pt idx="19">
                  <c:v>-0.70996261923736925</c:v>
                </c:pt>
                <c:pt idx="20">
                  <c:v>-0.67763488479251421</c:v>
                </c:pt>
                <c:pt idx="21">
                  <c:v>-0.60821287457854378</c:v>
                </c:pt>
                <c:pt idx="22">
                  <c:v>-0.67011236356387593</c:v>
                </c:pt>
                <c:pt idx="23">
                  <c:v>-0.46420558442634297</c:v>
                </c:pt>
                <c:pt idx="24">
                  <c:v>-0.53220102392413104</c:v>
                </c:pt>
                <c:pt idx="25">
                  <c:v>-0.18109809532876397</c:v>
                </c:pt>
                <c:pt idx="26">
                  <c:v>-0.14005028146691567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E824-4870-8EA0-B332C6937A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 h1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1852482574040504E-2"/>
          <c:y val="7.5077407108097419E-2"/>
          <c:w val="0.92817833154824492"/>
          <c:h val="0.915511642433800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H1'!$DX$2:$DX$37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H1'!$DY$2:$DY$37</c:f>
              <c:numCache>
                <c:formatCode>0.00000</c:formatCode>
                <c:ptCount val="36"/>
                <c:pt idx="0">
                  <c:v>0.22586390078061624</c:v>
                </c:pt>
                <c:pt idx="1">
                  <c:v>0.55356654767868441</c:v>
                </c:pt>
                <c:pt idx="2">
                  <c:v>0.53158214732071407</c:v>
                </c:pt>
                <c:pt idx="3">
                  <c:v>-0.15907767845404797</c:v>
                </c:pt>
                <c:pt idx="4">
                  <c:v>7.122421517900146E-2</c:v>
                </c:pt>
                <c:pt idx="5">
                  <c:v>-0.29489787357967523</c:v>
                </c:pt>
                <c:pt idx="6">
                  <c:v>-0.44842965340649976</c:v>
                </c:pt>
                <c:pt idx="7">
                  <c:v>-0.70085218540744143</c:v>
                </c:pt>
                <c:pt idx="8">
                  <c:v>0.20000143704764151</c:v>
                </c:pt>
                <c:pt idx="9">
                  <c:v>0.400143604766799</c:v>
                </c:pt>
                <c:pt idx="10">
                  <c:v>9.7276442506388339E-2</c:v>
                </c:pt>
                <c:pt idx="11">
                  <c:v>0.80066616150499192</c:v>
                </c:pt>
                <c:pt idx="12">
                  <c:v>0.83747486560851181</c:v>
                </c:pt>
                <c:pt idx="13">
                  <c:v>1.2730032817596331</c:v>
                </c:pt>
                <c:pt idx="14">
                  <c:v>2.7393144653565082</c:v>
                </c:pt>
                <c:pt idx="15">
                  <c:v>1.8688681196993839</c:v>
                </c:pt>
                <c:pt idx="16">
                  <c:v>1.9277028545025818</c:v>
                </c:pt>
                <c:pt idx="17">
                  <c:v>1.37772837904877</c:v>
                </c:pt>
                <c:pt idx="18">
                  <c:v>1.5280655380752393</c:v>
                </c:pt>
                <c:pt idx="19">
                  <c:v>1.4956414216757561</c:v>
                </c:pt>
                <c:pt idx="20">
                  <c:v>1.7900761169976718</c:v>
                </c:pt>
                <c:pt idx="21">
                  <c:v>0.63480455752751108</c:v>
                </c:pt>
                <c:pt idx="22">
                  <c:v>0.39985470088197994</c:v>
                </c:pt>
                <c:pt idx="23">
                  <c:v>0.20939586668499821</c:v>
                </c:pt>
                <c:pt idx="24">
                  <c:v>1.0601205393845161</c:v>
                </c:pt>
                <c:pt idx="25">
                  <c:v>0.19209826619124259</c:v>
                </c:pt>
                <c:pt idx="26">
                  <c:v>0.34200688725421108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F2-4CC4-9D8D-71B7CE0A1B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EU/UE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H1'!$DH$1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H1'!$DG$2:$DG$37</c:f>
              <c:numCache>
                <c:formatCode>0.00000</c:formatCode>
                <c:ptCount val="36"/>
                <c:pt idx="0">
                  <c:v>-8.8058553339908779E-2</c:v>
                </c:pt>
                <c:pt idx="1">
                  <c:v>-0.12335812165560718</c:v>
                </c:pt>
                <c:pt idx="2">
                  <c:v>-0.11821053293323765</c:v>
                </c:pt>
                <c:pt idx="3">
                  <c:v>-0.10718120226656075</c:v>
                </c:pt>
                <c:pt idx="4">
                  <c:v>-0.10718120226656075</c:v>
                </c:pt>
                <c:pt idx="5">
                  <c:v>-4.3986334277694578E-2</c:v>
                </c:pt>
                <c:pt idx="6">
                  <c:v>-2.0477492749335115E-2</c:v>
                </c:pt>
                <c:pt idx="7">
                  <c:v>2.1380103302845996E-2</c:v>
                </c:pt>
                <c:pt idx="8">
                  <c:v>3.8267158273877527E-2</c:v>
                </c:pt>
                <c:pt idx="9">
                  <c:v>8.1550825970886955E-3</c:v>
                </c:pt>
                <c:pt idx="10">
                  <c:v>1.5446778199751203E-3</c:v>
                </c:pt>
                <c:pt idx="11">
                  <c:v>1.0357774081011548E-2</c:v>
                </c:pt>
                <c:pt idx="12">
                  <c:v>3.0183309370463811E-2</c:v>
                </c:pt>
                <c:pt idx="13">
                  <c:v>3.8993882057697285E-2</c:v>
                </c:pt>
                <c:pt idx="14">
                  <c:v>1.6228054299541442E-2</c:v>
                </c:pt>
                <c:pt idx="15">
                  <c:v>2.1368460832264867E-2</c:v>
                </c:pt>
                <c:pt idx="16">
                  <c:v>2.724286604872626E-2</c:v>
                </c:pt>
                <c:pt idx="17">
                  <c:v>5.2936785399189293E-2</c:v>
                </c:pt>
                <c:pt idx="18">
                  <c:v>4.118961389783192E-2</c:v>
                </c:pt>
                <c:pt idx="19">
                  <c:v>5.9541200943069424E-2</c:v>
                </c:pt>
                <c:pt idx="20">
                  <c:v>5.2200027236217986E-2</c:v>
                </c:pt>
                <c:pt idx="21">
                  <c:v>0.11456109045566418</c:v>
                </c:pt>
                <c:pt idx="22">
                  <c:v>0.11896285409562551</c:v>
                </c:pt>
                <c:pt idx="23">
                  <c:v>0.12336442398889998</c:v>
                </c:pt>
                <c:pt idx="24">
                  <c:v>0.10942417629269946</c:v>
                </c:pt>
                <c:pt idx="25">
                  <c:v>0.12482944489456449</c:v>
                </c:pt>
                <c:pt idx="26">
                  <c:v>4.4070012559948725E-2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H1'!$DH$2:$DH$37</c:f>
              <c:numCache>
                <c:formatCode>0.00000</c:formatCode>
                <c:ptCount val="36"/>
                <c:pt idx="0">
                  <c:v>0.21507214621822168</c:v>
                </c:pt>
                <c:pt idx="1">
                  <c:v>0.18066422710329427</c:v>
                </c:pt>
                <c:pt idx="2">
                  <c:v>0.27981942481876226</c:v>
                </c:pt>
                <c:pt idx="3">
                  <c:v>0.19910810671031814</c:v>
                </c:pt>
                <c:pt idx="4">
                  <c:v>0.29098159889446179</c:v>
                </c:pt>
                <c:pt idx="5">
                  <c:v>0.2837105061153144</c:v>
                </c:pt>
                <c:pt idx="6">
                  <c:v>0.31939222518124527</c:v>
                </c:pt>
                <c:pt idx="7">
                  <c:v>0.32533882471742015</c:v>
                </c:pt>
                <c:pt idx="8">
                  <c:v>0.3735491007707748</c:v>
                </c:pt>
                <c:pt idx="9">
                  <c:v>0.34249997047673486</c:v>
                </c:pt>
                <c:pt idx="10">
                  <c:v>0.34844519514016409</c:v>
                </c:pt>
                <c:pt idx="11">
                  <c:v>0.37354095527753345</c:v>
                </c:pt>
                <c:pt idx="12">
                  <c:v>0.39929049805809536</c:v>
                </c:pt>
                <c:pt idx="13">
                  <c:v>0.40523234716153128</c:v>
                </c:pt>
                <c:pt idx="14">
                  <c:v>0.4402109969856427</c:v>
                </c:pt>
                <c:pt idx="15">
                  <c:v>0.44351076072256612</c:v>
                </c:pt>
                <c:pt idx="16">
                  <c:v>0.45868737026799056</c:v>
                </c:pt>
                <c:pt idx="17">
                  <c:v>0.48639350057916259</c:v>
                </c:pt>
                <c:pt idx="18">
                  <c:v>0.48507414363372903</c:v>
                </c:pt>
                <c:pt idx="19">
                  <c:v>0.45471972277628891</c:v>
                </c:pt>
                <c:pt idx="20">
                  <c:v>0.41114875160574132</c:v>
                </c:pt>
                <c:pt idx="21">
                  <c:v>0.43292949215091597</c:v>
                </c:pt>
                <c:pt idx="22">
                  <c:v>0.42632883208491013</c:v>
                </c:pt>
                <c:pt idx="23">
                  <c:v>0.34243011831165576</c:v>
                </c:pt>
                <c:pt idx="24">
                  <c:v>0.38799211564397307</c:v>
                </c:pt>
                <c:pt idx="25">
                  <c:v>0.31596552527703159</c:v>
                </c:pt>
                <c:pt idx="26">
                  <c:v>0.20217956196637835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62-4BDE-868C-8ACE0BEE105F}"/>
            </c:ext>
          </c:extLst>
        </c:ser>
        <c:ser>
          <c:idx val="1"/>
          <c:order val="1"/>
          <c:tx>
            <c:strRef>
              <c:f>'SATORI H1'!$DJ$1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H1'!$DI$2:$DI$37</c:f>
              <c:numCache>
                <c:formatCode>0.00000</c:formatCode>
                <c:ptCount val="36"/>
                <c:pt idx="0">
                  <c:v>-0.61419911298487018</c:v>
                </c:pt>
                <c:pt idx="1">
                  <c:v>-0.6868267091285738</c:v>
                </c:pt>
                <c:pt idx="2">
                  <c:v>-0.64701452894332923</c:v>
                </c:pt>
                <c:pt idx="3">
                  <c:v>-0.51837610815536161</c:v>
                </c:pt>
                <c:pt idx="4">
                  <c:v>-0.47512553537750801</c:v>
                </c:pt>
                <c:pt idx="5">
                  <c:v>-0.51488510690965572</c:v>
                </c:pt>
                <c:pt idx="6">
                  <c:v>-0.50436162199915968</c:v>
                </c:pt>
                <c:pt idx="7">
                  <c:v>-0.43892500787653566</c:v>
                </c:pt>
                <c:pt idx="8">
                  <c:v>-0.59809544898932754</c:v>
                </c:pt>
                <c:pt idx="9">
                  <c:v>-0.59809544898932754</c:v>
                </c:pt>
                <c:pt idx="10">
                  <c:v>-0.62502122749553968</c:v>
                </c:pt>
                <c:pt idx="11">
                  <c:v>-0.62385055517842014</c:v>
                </c:pt>
                <c:pt idx="12">
                  <c:v>-0.68945121118498076</c:v>
                </c:pt>
                <c:pt idx="13">
                  <c:v>-0.66836973126509536</c:v>
                </c:pt>
                <c:pt idx="14">
                  <c:v>-0.70351788071502286</c:v>
                </c:pt>
                <c:pt idx="15">
                  <c:v>-0.68828933539253356</c:v>
                </c:pt>
                <c:pt idx="16">
                  <c:v>-0.72696136145512846</c:v>
                </c:pt>
                <c:pt idx="17">
                  <c:v>-0.64850702890244116</c:v>
                </c:pt>
                <c:pt idx="18">
                  <c:v>-0.64499427173934687</c:v>
                </c:pt>
                <c:pt idx="19">
                  <c:v>-0.53972249510266179</c:v>
                </c:pt>
                <c:pt idx="20">
                  <c:v>-0.47192667740327499</c:v>
                </c:pt>
                <c:pt idx="21">
                  <c:v>-0.37966929097329039</c:v>
                </c:pt>
                <c:pt idx="22">
                  <c:v>-0.3936850353261015</c:v>
                </c:pt>
                <c:pt idx="23">
                  <c:v>-0.21763074997826015</c:v>
                </c:pt>
                <c:pt idx="24">
                  <c:v>-0.27712817175663806</c:v>
                </c:pt>
                <c:pt idx="25">
                  <c:v>-0.16758638272946924</c:v>
                </c:pt>
                <c:pt idx="26">
                  <c:v>-5.0025594490209116E-2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H1'!$DJ$2:$DJ$37</c:f>
              <c:numCache>
                <c:formatCode>0.00000</c:formatCode>
                <c:ptCount val="36"/>
                <c:pt idx="0">
                  <c:v>-0.33386106265931553</c:v>
                </c:pt>
                <c:pt idx="1">
                  <c:v>-0.38339784108235653</c:v>
                </c:pt>
                <c:pt idx="2">
                  <c:v>-0.24867092622345688</c:v>
                </c:pt>
                <c:pt idx="3">
                  <c:v>-0.2118451018510665</c:v>
                </c:pt>
                <c:pt idx="4">
                  <c:v>-7.8398286186302416E-2</c:v>
                </c:pt>
                <c:pt idx="5">
                  <c:v>-0.18674406701226401</c:v>
                </c:pt>
                <c:pt idx="6">
                  <c:v>-0.16360760394647253</c:v>
                </c:pt>
                <c:pt idx="7">
                  <c:v>-0.13732307922323989</c:v>
                </c:pt>
                <c:pt idx="8">
                  <c:v>-0.26048615977400036</c:v>
                </c:pt>
                <c:pt idx="9">
                  <c:v>-0.26574981633093675</c:v>
                </c:pt>
                <c:pt idx="10">
                  <c:v>-0.28259635489372159</c:v>
                </c:pt>
                <c:pt idx="11">
                  <c:v>-0.2604901609487088</c:v>
                </c:pt>
                <c:pt idx="12">
                  <c:v>-0.32052871201835037</c:v>
                </c:pt>
                <c:pt idx="13">
                  <c:v>-0.29946699064385307</c:v>
                </c:pt>
                <c:pt idx="14">
                  <c:v>-0.27946235799209035</c:v>
                </c:pt>
                <c:pt idx="15">
                  <c:v>-0.27104006418036225</c:v>
                </c:pt>
                <c:pt idx="16">
                  <c:v>-0.29947338803592011</c:v>
                </c:pt>
                <c:pt idx="17">
                  <c:v>-0.22160569996967336</c:v>
                </c:pt>
                <c:pt idx="18">
                  <c:v>-0.20161664134912635</c:v>
                </c:pt>
                <c:pt idx="19">
                  <c:v>-0.14588876163723746</c:v>
                </c:pt>
                <c:pt idx="20">
                  <c:v>-0.11225305733711256</c:v>
                </c:pt>
                <c:pt idx="21">
                  <c:v>-5.8674875213326018E-2</c:v>
                </c:pt>
                <c:pt idx="22">
                  <c:v>-8.5996705355602027E-2</c:v>
                </c:pt>
                <c:pt idx="23">
                  <c:v>3.2449505495726616E-3</c:v>
                </c:pt>
                <c:pt idx="24">
                  <c:v>3.2449505495726616E-3</c:v>
                </c:pt>
                <c:pt idx="25">
                  <c:v>2.2139612807480391E-2</c:v>
                </c:pt>
                <c:pt idx="26">
                  <c:v>0.10709336021166907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262-4BDE-868C-8ACE0BEE105F}"/>
            </c:ext>
          </c:extLst>
        </c:ser>
        <c:ser>
          <c:idx val="2"/>
          <c:order val="2"/>
          <c:tx>
            <c:strRef>
              <c:f>'SATORI H1'!$DL$1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H1'!$DK$2:$DK$37</c:f>
              <c:numCache>
                <c:formatCode>0.00000</c:formatCode>
                <c:ptCount val="36"/>
                <c:pt idx="0">
                  <c:v>-0.31584659133378373</c:v>
                </c:pt>
                <c:pt idx="1">
                  <c:v>-0.31737925233983244</c:v>
                </c:pt>
                <c:pt idx="2">
                  <c:v>-0.28594982673174807</c:v>
                </c:pt>
                <c:pt idx="3">
                  <c:v>-0.18389178409757218</c:v>
                </c:pt>
                <c:pt idx="4">
                  <c:v>-0.25443852131097849</c:v>
                </c:pt>
                <c:pt idx="5">
                  <c:v>-0.1485063179211529</c:v>
                </c:pt>
                <c:pt idx="6">
                  <c:v>-4.0923248422484765E-2</c:v>
                </c:pt>
                <c:pt idx="7">
                  <c:v>-5.9362659590622813E-2</c:v>
                </c:pt>
                <c:pt idx="8">
                  <c:v>-8.0102694771867086E-2</c:v>
                </c:pt>
                <c:pt idx="9">
                  <c:v>-9.9302743923982292E-2</c:v>
                </c:pt>
                <c:pt idx="10">
                  <c:v>-0.14382702501037667</c:v>
                </c:pt>
                <c:pt idx="11">
                  <c:v>-0.14766517778421778</c:v>
                </c:pt>
                <c:pt idx="12">
                  <c:v>-0.15610840094628581</c:v>
                </c:pt>
                <c:pt idx="13">
                  <c:v>-0.13614770815669075</c:v>
                </c:pt>
                <c:pt idx="14">
                  <c:v>-0.20519470614666538</c:v>
                </c:pt>
                <c:pt idx="15">
                  <c:v>-0.19905681850069259</c:v>
                </c:pt>
                <c:pt idx="16">
                  <c:v>-0.1844772100015549</c:v>
                </c:pt>
                <c:pt idx="17">
                  <c:v>-0.18601188208049144</c:v>
                </c:pt>
                <c:pt idx="18">
                  <c:v>-0.19828775155730446</c:v>
                </c:pt>
                <c:pt idx="19">
                  <c:v>-0.19214944005335233</c:v>
                </c:pt>
                <c:pt idx="20">
                  <c:v>-0.16989310851074882</c:v>
                </c:pt>
                <c:pt idx="21">
                  <c:v>-0.10922701010881318</c:v>
                </c:pt>
                <c:pt idx="22">
                  <c:v>-0.13302702853461931</c:v>
                </c:pt>
                <c:pt idx="23">
                  <c:v>-0.13993623389924464</c:v>
                </c:pt>
                <c:pt idx="24">
                  <c:v>-0.17216879953471464</c:v>
                </c:pt>
                <c:pt idx="25">
                  <c:v>-0.14453325100746553</c:v>
                </c:pt>
                <c:pt idx="26">
                  <c:v>-0.14837137431869937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H1'!$DL$2:$DL$37</c:f>
              <c:numCache>
                <c:formatCode>0.00000</c:formatCode>
                <c:ptCount val="36"/>
                <c:pt idx="0">
                  <c:v>-2.2024792243123675E-2</c:v>
                </c:pt>
                <c:pt idx="1">
                  <c:v>-1.4980306314490391E-2</c:v>
                </c:pt>
                <c:pt idx="2">
                  <c:v>0.1093175864844473</c:v>
                </c:pt>
                <c:pt idx="3">
                  <c:v>0.12104242790596575</c:v>
                </c:pt>
                <c:pt idx="4">
                  <c:v>0.14097068617619335</c:v>
                </c:pt>
                <c:pt idx="5">
                  <c:v>0.17846863550708786</c:v>
                </c:pt>
                <c:pt idx="6">
                  <c:v>0.2978506579790004</c:v>
                </c:pt>
                <c:pt idx="7">
                  <c:v>0.24163930328534802</c:v>
                </c:pt>
                <c:pt idx="8">
                  <c:v>0.25100698478417344</c:v>
                </c:pt>
                <c:pt idx="9">
                  <c:v>0.22992525795650978</c:v>
                </c:pt>
                <c:pt idx="10">
                  <c:v>0.19946459906902231</c:v>
                </c:pt>
                <c:pt idx="11">
                  <c:v>0.21000756164150922</c:v>
                </c:pt>
                <c:pt idx="12">
                  <c:v>0.21235038732356668</c:v>
                </c:pt>
                <c:pt idx="13">
                  <c:v>0.22640536571403846</c:v>
                </c:pt>
                <c:pt idx="14">
                  <c:v>0.21469151173893039</c:v>
                </c:pt>
                <c:pt idx="15">
                  <c:v>0.22171933018696086</c:v>
                </c:pt>
                <c:pt idx="16">
                  <c:v>0.2463106459394602</c:v>
                </c:pt>
                <c:pt idx="17">
                  <c:v>0.2310851326639751</c:v>
                </c:pt>
                <c:pt idx="18">
                  <c:v>0.24747915118921945</c:v>
                </c:pt>
                <c:pt idx="19">
                  <c:v>0.20061714807290137</c:v>
                </c:pt>
                <c:pt idx="20">
                  <c:v>0.18772843624105753</c:v>
                </c:pt>
                <c:pt idx="21">
                  <c:v>0.20998580167185746</c:v>
                </c:pt>
                <c:pt idx="22">
                  <c:v>0.17483023830395839</c:v>
                </c:pt>
                <c:pt idx="23">
                  <c:v>7.9820033504173202E-2</c:v>
                </c:pt>
                <c:pt idx="24">
                  <c:v>0.10210141213516115</c:v>
                </c:pt>
                <c:pt idx="25">
                  <c:v>4.3431804165488065E-2</c:v>
                </c:pt>
                <c:pt idx="26">
                  <c:v>7.0434108891202791E-3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262-4BDE-868C-8ACE0BEE105F}"/>
            </c:ext>
          </c:extLst>
        </c:ser>
        <c:ser>
          <c:idx val="3"/>
          <c:order val="3"/>
          <c:tx>
            <c:strRef>
              <c:f>'SATORI H1'!$DN$1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H1'!$DM$2:$DM$37</c:f>
              <c:numCache>
                <c:formatCode>0.00000</c:formatCode>
                <c:ptCount val="36"/>
                <c:pt idx="0">
                  <c:v>-5.5373489675547775E-2</c:v>
                </c:pt>
                <c:pt idx="1">
                  <c:v>-0.11470746579363231</c:v>
                </c:pt>
                <c:pt idx="2">
                  <c:v>-0.13843542474425419</c:v>
                </c:pt>
                <c:pt idx="3">
                  <c:v>-7.1655975006927344E-2</c:v>
                </c:pt>
                <c:pt idx="4">
                  <c:v>-0.12505100926874496</c:v>
                </c:pt>
                <c:pt idx="5">
                  <c:v>-6.1232905705314006E-2</c:v>
                </c:pt>
                <c:pt idx="6">
                  <c:v>-3.0056208059890555E-2</c:v>
                </c:pt>
                <c:pt idx="7">
                  <c:v>-1.3722889575036964E-2</c:v>
                </c:pt>
                <c:pt idx="8">
                  <c:v>-0.12940698301218978</c:v>
                </c:pt>
                <c:pt idx="9">
                  <c:v>-0.11902399923930798</c:v>
                </c:pt>
                <c:pt idx="10">
                  <c:v>-0.15757450039582863</c:v>
                </c:pt>
                <c:pt idx="11">
                  <c:v>-0.16350499499906804</c:v>
                </c:pt>
                <c:pt idx="12">
                  <c:v>-0.1264256600540237</c:v>
                </c:pt>
                <c:pt idx="13">
                  <c:v>-0.15015080425842306</c:v>
                </c:pt>
                <c:pt idx="14">
                  <c:v>-0.24348137224158034</c:v>
                </c:pt>
                <c:pt idx="15">
                  <c:v>-0.18715503523222193</c:v>
                </c:pt>
                <c:pt idx="16">
                  <c:v>-0.17233011751051691</c:v>
                </c:pt>
                <c:pt idx="17">
                  <c:v>-0.1471214041929014</c:v>
                </c:pt>
                <c:pt idx="18">
                  <c:v>-0.19158758766036948</c:v>
                </c:pt>
                <c:pt idx="19">
                  <c:v>-0.19010535957511851</c:v>
                </c:pt>
                <c:pt idx="20">
                  <c:v>-0.18417609569322352</c:v>
                </c:pt>
                <c:pt idx="21">
                  <c:v>-6.099231439638067E-2</c:v>
                </c:pt>
                <c:pt idx="22">
                  <c:v>-3.8725228118846156E-2</c:v>
                </c:pt>
                <c:pt idx="23">
                  <c:v>-8.9171828908188117E-2</c:v>
                </c:pt>
                <c:pt idx="24">
                  <c:v>-0.15589483945041643</c:v>
                </c:pt>
                <c:pt idx="25">
                  <c:v>-9.6550299889869282E-2</c:v>
                </c:pt>
                <c:pt idx="26">
                  <c:v>-0.1158335560901724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H1'!$DN$2:$DN$37</c:f>
              <c:numCache>
                <c:formatCode>0.00000</c:formatCode>
                <c:ptCount val="36"/>
                <c:pt idx="0">
                  <c:v>0.25219072528873732</c:v>
                </c:pt>
                <c:pt idx="1">
                  <c:v>0.18850186659308543</c:v>
                </c:pt>
                <c:pt idx="2">
                  <c:v>0.26123619234587769</c:v>
                </c:pt>
                <c:pt idx="3">
                  <c:v>0.23516626431100884</c:v>
                </c:pt>
                <c:pt idx="4">
                  <c:v>0.27092384006857662</c:v>
                </c:pt>
                <c:pt idx="5">
                  <c:v>0.26668123583688108</c:v>
                </c:pt>
                <c:pt idx="6">
                  <c:v>0.31030041615978743</c:v>
                </c:pt>
                <c:pt idx="7">
                  <c:v>0.28848606837849344</c:v>
                </c:pt>
                <c:pt idx="8">
                  <c:v>0.20661529078804369</c:v>
                </c:pt>
                <c:pt idx="9">
                  <c:v>0.21510487285804814</c:v>
                </c:pt>
                <c:pt idx="10">
                  <c:v>0.18841620826177508</c:v>
                </c:pt>
                <c:pt idx="11">
                  <c:v>0.1987266745981027</c:v>
                </c:pt>
                <c:pt idx="12">
                  <c:v>0.24116351947930517</c:v>
                </c:pt>
                <c:pt idx="13">
                  <c:v>0.21872758317311033</c:v>
                </c:pt>
                <c:pt idx="14">
                  <c:v>0.1805112544884114</c:v>
                </c:pt>
                <c:pt idx="15">
                  <c:v>0.23507622014280444</c:v>
                </c:pt>
                <c:pt idx="16">
                  <c:v>0.25871544914025202</c:v>
                </c:pt>
                <c:pt idx="17">
                  <c:v>0.26235212134275221</c:v>
                </c:pt>
                <c:pt idx="18">
                  <c:v>0.24598441785278111</c:v>
                </c:pt>
                <c:pt idx="19">
                  <c:v>0.20413833864847175</c:v>
                </c:pt>
                <c:pt idx="20">
                  <c:v>0.1762331676989603</c:v>
                </c:pt>
                <c:pt idx="21">
                  <c:v>0.2580617640657818</c:v>
                </c:pt>
                <c:pt idx="22">
                  <c:v>0.26654697252915938</c:v>
                </c:pt>
                <c:pt idx="23">
                  <c:v>0.12999133065695953</c:v>
                </c:pt>
                <c:pt idx="24">
                  <c:v>0.12392182265127913</c:v>
                </c:pt>
                <c:pt idx="25">
                  <c:v>9.5386994983426315E-2</c:v>
                </c:pt>
                <c:pt idx="26">
                  <c:v>4.1931523998206023E-2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262-4BDE-868C-8ACE0BEE105F}"/>
            </c:ext>
          </c:extLst>
        </c:ser>
        <c:ser>
          <c:idx val="4"/>
          <c:order val="4"/>
          <c:tx>
            <c:strRef>
              <c:f>'SATORI H1'!$DP$1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H1'!$DO$2:$DO$37</c:f>
              <c:numCache>
                <c:formatCode>0.00000</c:formatCode>
                <c:ptCount val="36"/>
                <c:pt idx="0">
                  <c:v>-2.8402637277211165E-2</c:v>
                </c:pt>
                <c:pt idx="1">
                  <c:v>-7.0707263125325701E-2</c:v>
                </c:pt>
                <c:pt idx="2">
                  <c:v>-6.9080135656167163E-2</c:v>
                </c:pt>
                <c:pt idx="3">
                  <c:v>1.7232053904948481E-2</c:v>
                </c:pt>
                <c:pt idx="4">
                  <c:v>-1.2072929570308213E-2</c:v>
                </c:pt>
                <c:pt idx="5">
                  <c:v>3.6792576269132474E-2</c:v>
                </c:pt>
                <c:pt idx="6">
                  <c:v>5.3083731800792469E-2</c:v>
                </c:pt>
                <c:pt idx="7">
                  <c:v>8.4046511280621627E-2</c:v>
                </c:pt>
                <c:pt idx="8">
                  <c:v>-2.5018944271145264E-2</c:v>
                </c:pt>
                <c:pt idx="9">
                  <c:v>-5.2684612803888961E-2</c:v>
                </c:pt>
                <c:pt idx="10">
                  <c:v>-1.3611937628058998E-2</c:v>
                </c:pt>
                <c:pt idx="11">
                  <c:v>-0.1014482367919851</c:v>
                </c:pt>
                <c:pt idx="12">
                  <c:v>-0.10795420601875719</c:v>
                </c:pt>
                <c:pt idx="13">
                  <c:v>-0.16159965834744794</c:v>
                </c:pt>
                <c:pt idx="14">
                  <c:v>-0.34495787214638279</c:v>
                </c:pt>
                <c:pt idx="15">
                  <c:v>-0.23449653361486655</c:v>
                </c:pt>
                <c:pt idx="16">
                  <c:v>-0.24424217244148339</c:v>
                </c:pt>
                <c:pt idx="17">
                  <c:v>-0.14180814483307083</c:v>
                </c:pt>
                <c:pt idx="18">
                  <c:v>-0.19543528991888282</c:v>
                </c:pt>
                <c:pt idx="19">
                  <c:v>-0.1921850542767955</c:v>
                </c:pt>
                <c:pt idx="20">
                  <c:v>-0.22305276178090147</c:v>
                </c:pt>
                <c:pt idx="21">
                  <c:v>-8.1511096469991814E-2</c:v>
                </c:pt>
                <c:pt idx="22">
                  <c:v>-5.059014019872983E-2</c:v>
                </c:pt>
                <c:pt idx="23">
                  <c:v>-2.9429219535910628E-2</c:v>
                </c:pt>
                <c:pt idx="24">
                  <c:v>-0.13349764452533694</c:v>
                </c:pt>
                <c:pt idx="25">
                  <c:v>-2.4432188973588075E-2</c:v>
                </c:pt>
                <c:pt idx="26">
                  <c:v>-4.3962485345836987E-2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H1'!$DP$2:$DP$37</c:f>
              <c:numCache>
                <c:formatCode>0.00000</c:formatCode>
                <c:ptCount val="36"/>
                <c:pt idx="0">
                  <c:v>0.27785446433590122</c:v>
                </c:pt>
                <c:pt idx="1">
                  <c:v>0.23637950415186143</c:v>
                </c:pt>
                <c:pt idx="2">
                  <c:v>0.33526852194637013</c:v>
                </c:pt>
                <c:pt idx="3">
                  <c:v>0.33029620119852504</c:v>
                </c:pt>
                <c:pt idx="4">
                  <c:v>0.39268749954488369</c:v>
                </c:pt>
                <c:pt idx="5">
                  <c:v>0.36396821399233703</c:v>
                </c:pt>
                <c:pt idx="6">
                  <c:v>0.3998544380990483</c:v>
                </c:pt>
                <c:pt idx="7">
                  <c:v>0.39488532939151766</c:v>
                </c:pt>
                <c:pt idx="8">
                  <c:v>0.30978600079205937</c:v>
                </c:pt>
                <c:pt idx="9">
                  <c:v>0.28712455178584562</c:v>
                </c:pt>
                <c:pt idx="10">
                  <c:v>0.33629229111948783</c:v>
                </c:pt>
                <c:pt idx="11">
                  <c:v>0.26386938557886341</c:v>
                </c:pt>
                <c:pt idx="12">
                  <c:v>0.26829196283575202</c:v>
                </c:pt>
                <c:pt idx="13">
                  <c:v>0.21297916898654082</c:v>
                </c:pt>
                <c:pt idx="14">
                  <c:v>8.5043148073707081E-2</c:v>
                </c:pt>
                <c:pt idx="15">
                  <c:v>0.18850325230838108</c:v>
                </c:pt>
                <c:pt idx="16">
                  <c:v>0.19348236768554483</c:v>
                </c:pt>
                <c:pt idx="17">
                  <c:v>0.20841748290719261</c:v>
                </c:pt>
                <c:pt idx="18">
                  <c:v>0.25043940065482295</c:v>
                </c:pt>
                <c:pt idx="19">
                  <c:v>0.20618622825551919</c:v>
                </c:pt>
                <c:pt idx="20">
                  <c:v>0.13422307339081785</c:v>
                </c:pt>
                <c:pt idx="21">
                  <c:v>0.24260377720183521</c:v>
                </c:pt>
                <c:pt idx="22">
                  <c:v>0.2558731228019423</c:v>
                </c:pt>
                <c:pt idx="23">
                  <c:v>0.19778601426756331</c:v>
                </c:pt>
                <c:pt idx="24">
                  <c:v>0.1485260211307502</c:v>
                </c:pt>
                <c:pt idx="25">
                  <c:v>0.16734090481049912</c:v>
                </c:pt>
                <c:pt idx="26">
                  <c:v>0.11640411072802405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262-4BDE-868C-8ACE0BEE105F}"/>
            </c:ext>
          </c:extLst>
        </c:ser>
        <c:ser>
          <c:idx val="5"/>
          <c:order val="5"/>
          <c:tx>
            <c:strRef>
              <c:f>'SATORI H1'!$DR$1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H1'!$DQ$2:$DQ$37</c:f>
              <c:numCache>
                <c:formatCode>0.00000</c:formatCode>
                <c:ptCount val="36"/>
                <c:pt idx="0">
                  <c:v>-0.34712199663119153</c:v>
                </c:pt>
                <c:pt idx="1">
                  <c:v>-0.43014371264203888</c:v>
                </c:pt>
                <c:pt idx="2">
                  <c:v>-0.40750655202796338</c:v>
                </c:pt>
                <c:pt idx="3">
                  <c:v>-0.21238526874609415</c:v>
                </c:pt>
                <c:pt idx="4">
                  <c:v>-0.13576477960634864</c:v>
                </c:pt>
                <c:pt idx="5">
                  <c:v>-0.17477434721609966</c:v>
                </c:pt>
                <c:pt idx="6">
                  <c:v>-0.23229519852470132</c:v>
                </c:pt>
                <c:pt idx="7">
                  <c:v>-0.15634323301098652</c:v>
                </c:pt>
                <c:pt idx="8">
                  <c:v>-0.2885784884374365</c:v>
                </c:pt>
                <c:pt idx="9">
                  <c:v>-0.48285455266523164</c:v>
                </c:pt>
                <c:pt idx="10">
                  <c:v>-0.47873579515707976</c:v>
                </c:pt>
                <c:pt idx="11">
                  <c:v>-0.6141514593812254</c:v>
                </c:pt>
                <c:pt idx="12">
                  <c:v>-0.67261369621519129</c:v>
                </c:pt>
                <c:pt idx="13">
                  <c:v>-0.66092261582182366</c:v>
                </c:pt>
                <c:pt idx="14">
                  <c:v>-0.6327344287347656</c:v>
                </c:pt>
                <c:pt idx="15">
                  <c:v>-0.71805924793559905</c:v>
                </c:pt>
                <c:pt idx="16">
                  <c:v>-0.85448959610860886</c:v>
                </c:pt>
                <c:pt idx="17">
                  <c:v>-0.8655154862769544</c:v>
                </c:pt>
                <c:pt idx="18">
                  <c:v>-0.7629422048957254</c:v>
                </c:pt>
                <c:pt idx="19">
                  <c:v>-0.70996261923736925</c:v>
                </c:pt>
                <c:pt idx="20">
                  <c:v>-0.67763488479251421</c:v>
                </c:pt>
                <c:pt idx="21">
                  <c:v>-0.60821287457854378</c:v>
                </c:pt>
                <c:pt idx="22">
                  <c:v>-0.67011236356387593</c:v>
                </c:pt>
                <c:pt idx="23">
                  <c:v>-0.46420558442634297</c:v>
                </c:pt>
                <c:pt idx="24">
                  <c:v>-0.53220102392413104</c:v>
                </c:pt>
                <c:pt idx="25">
                  <c:v>-0.18109809532876397</c:v>
                </c:pt>
                <c:pt idx="26">
                  <c:v>-0.14005028146691567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H1'!$DR$2:$DR$37</c:f>
              <c:numCache>
                <c:formatCode>0.00000</c:formatCode>
                <c:ptCount val="36"/>
                <c:pt idx="0">
                  <c:v>-4.3017771273064262E-2</c:v>
                </c:pt>
                <c:pt idx="1">
                  <c:v>-0.13006501755504787</c:v>
                </c:pt>
                <c:pt idx="2">
                  <c:v>-1.1057038470846908E-2</c:v>
                </c:pt>
                <c:pt idx="3">
                  <c:v>9.3043538702165002E-2</c:v>
                </c:pt>
                <c:pt idx="4">
                  <c:v>0.26153760758795241</c:v>
                </c:pt>
                <c:pt idx="5">
                  <c:v>0.15195801155498179</c:v>
                </c:pt>
                <c:pt idx="6">
                  <c:v>0.10638168660811273</c:v>
                </c:pt>
                <c:pt idx="7">
                  <c:v>0.14516810274325456</c:v>
                </c:pt>
                <c:pt idx="8">
                  <c:v>4.5948914615045439E-2</c:v>
                </c:pt>
                <c:pt idx="9">
                  <c:v>-0.15102789275521444</c:v>
                </c:pt>
                <c:pt idx="10">
                  <c:v>-0.13435865367511768</c:v>
                </c:pt>
                <c:pt idx="11">
                  <c:v>-0.25117963942171689</c:v>
                </c:pt>
                <c:pt idx="12">
                  <c:v>-0.30436454974949223</c:v>
                </c:pt>
                <c:pt idx="13">
                  <c:v>-0.29323406334723601</c:v>
                </c:pt>
                <c:pt idx="14">
                  <c:v>-0.20920771861678511</c:v>
                </c:pt>
                <c:pt idx="15">
                  <c:v>-0.29639922455633205</c:v>
                </c:pt>
                <c:pt idx="16">
                  <c:v>-0.42580778409665493</c:v>
                </c:pt>
                <c:pt idx="17">
                  <c:v>-0.42642696764123605</c:v>
                </c:pt>
                <c:pt idx="18">
                  <c:v>-0.31880498059298146</c:v>
                </c:pt>
                <c:pt idx="19">
                  <c:v>-0.32004203022958644</c:v>
                </c:pt>
                <c:pt idx="20">
                  <c:v>-0.32004203022958638</c:v>
                </c:pt>
                <c:pt idx="21">
                  <c:v>-0.29283434282119114</c:v>
                </c:pt>
                <c:pt idx="22">
                  <c:v>-0.36523443687942697</c:v>
                </c:pt>
                <c:pt idx="23">
                  <c:v>-0.24224384967663848</c:v>
                </c:pt>
                <c:pt idx="24">
                  <c:v>-0.253988048660442</c:v>
                </c:pt>
                <c:pt idx="25">
                  <c:v>1.0482301685713371E-2</c:v>
                </c:pt>
                <c:pt idx="26">
                  <c:v>1.6646731691687261E-2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262-4BDE-868C-8ACE0BEE105F}"/>
            </c:ext>
          </c:extLst>
        </c:ser>
        <c:ser>
          <c:idx val="6"/>
          <c:order val="6"/>
          <c:tx>
            <c:strRef>
              <c:f>'SATORI H1'!$DT$1</c:f>
              <c:strCache>
                <c:ptCount val="1"/>
                <c:pt idx="0">
                  <c:v>EU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H1'!$DS$2:$DS$37</c:f>
              <c:numCache>
                <c:formatCode>0.00000</c:formatCode>
                <c:ptCount val="36"/>
                <c:pt idx="0">
                  <c:v>-0.31039408997560036</c:v>
                </c:pt>
                <c:pt idx="1">
                  <c:v>-0.30319635006592482</c:v>
                </c:pt>
                <c:pt idx="2">
                  <c:v>-0.39667949613335418</c:v>
                </c:pt>
                <c:pt idx="3">
                  <c:v>-0.30490996361814732</c:v>
                </c:pt>
                <c:pt idx="4">
                  <c:v>-0.39569729653798985</c:v>
                </c:pt>
                <c:pt idx="5">
                  <c:v>-0.3255351139544021</c:v>
                </c:pt>
                <c:pt idx="6">
                  <c:v>-0.33902602108300595</c:v>
                </c:pt>
                <c:pt idx="7">
                  <c:v>-0.30123720657209335</c:v>
                </c:pt>
                <c:pt idx="8">
                  <c:v>-0.33361713101892876</c:v>
                </c:pt>
                <c:pt idx="9">
                  <c:v>-0.33271768058315904</c:v>
                </c:pt>
                <c:pt idx="10">
                  <c:v>-0.34440916917945769</c:v>
                </c:pt>
                <c:pt idx="11">
                  <c:v>-0.36149381008727366</c:v>
                </c:pt>
                <c:pt idx="12">
                  <c:v>-0.36778775531196883</c:v>
                </c:pt>
                <c:pt idx="13">
                  <c:v>-0.366888612195373</c:v>
                </c:pt>
                <c:pt idx="14">
                  <c:v>-0.42260442560130251</c:v>
                </c:pt>
                <c:pt idx="15">
                  <c:v>-0.4208071089950039</c:v>
                </c:pt>
                <c:pt idx="16">
                  <c:v>-0.4288943796310159</c:v>
                </c:pt>
                <c:pt idx="17">
                  <c:v>-0.4297929571827574</c:v>
                </c:pt>
                <c:pt idx="18">
                  <c:v>-0.44147310093836961</c:v>
                </c:pt>
                <c:pt idx="19">
                  <c:v>-0.39383136677925346</c:v>
                </c:pt>
                <c:pt idx="20">
                  <c:v>-0.35876194731301791</c:v>
                </c:pt>
                <c:pt idx="21">
                  <c:v>-0.31738089983277246</c:v>
                </c:pt>
                <c:pt idx="22">
                  <c:v>-0.30658467851022453</c:v>
                </c:pt>
                <c:pt idx="23">
                  <c:v>-0.2192389967186551</c:v>
                </c:pt>
                <c:pt idx="24">
                  <c:v>-0.27863477961805871</c:v>
                </c:pt>
                <c:pt idx="25">
                  <c:v>-0.19126470882128735</c:v>
                </c:pt>
                <c:pt idx="26">
                  <c:v>-0.15702553921124923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H1'!$DT$2:$DT$37</c:f>
              <c:numCache>
                <c:formatCode>0.00000</c:formatCode>
                <c:ptCount val="36"/>
                <c:pt idx="0">
                  <c:v>0.31039408997560036</c:v>
                </c:pt>
                <c:pt idx="1">
                  <c:v>0.30319635006592482</c:v>
                </c:pt>
                <c:pt idx="2">
                  <c:v>0.39667949613335418</c:v>
                </c:pt>
                <c:pt idx="3">
                  <c:v>0.30490996361814732</c:v>
                </c:pt>
                <c:pt idx="4">
                  <c:v>0.39569729653798985</c:v>
                </c:pt>
                <c:pt idx="5">
                  <c:v>0.3255351139544021</c:v>
                </c:pt>
                <c:pt idx="6">
                  <c:v>0.33902602108300595</c:v>
                </c:pt>
                <c:pt idx="7">
                  <c:v>0.30123720657209335</c:v>
                </c:pt>
                <c:pt idx="8">
                  <c:v>0.33361713101892876</c:v>
                </c:pt>
                <c:pt idx="9">
                  <c:v>0.33271768058315904</c:v>
                </c:pt>
                <c:pt idx="10">
                  <c:v>0.34440916917945769</c:v>
                </c:pt>
                <c:pt idx="11">
                  <c:v>0.36149381008727366</c:v>
                </c:pt>
                <c:pt idx="12">
                  <c:v>0.36778775531196883</c:v>
                </c:pt>
                <c:pt idx="13">
                  <c:v>0.366888612195373</c:v>
                </c:pt>
                <c:pt idx="14">
                  <c:v>0.42260442560130251</c:v>
                </c:pt>
                <c:pt idx="15">
                  <c:v>0.4208071089950039</c:v>
                </c:pt>
                <c:pt idx="16">
                  <c:v>0.4288943796310159</c:v>
                </c:pt>
                <c:pt idx="17">
                  <c:v>0.4297929571827574</c:v>
                </c:pt>
                <c:pt idx="18">
                  <c:v>0.44147310093836961</c:v>
                </c:pt>
                <c:pt idx="19">
                  <c:v>0.39383136677925346</c:v>
                </c:pt>
                <c:pt idx="20">
                  <c:v>0.35876194731301791</c:v>
                </c:pt>
                <c:pt idx="21">
                  <c:v>0.31738089983277246</c:v>
                </c:pt>
                <c:pt idx="22">
                  <c:v>0.30658467851022453</c:v>
                </c:pt>
                <c:pt idx="23">
                  <c:v>0.2192389967186551</c:v>
                </c:pt>
                <c:pt idx="24">
                  <c:v>0.27863477961805871</c:v>
                </c:pt>
                <c:pt idx="25">
                  <c:v>0.19126470882128735</c:v>
                </c:pt>
                <c:pt idx="26">
                  <c:v>0.15702553921124923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262-4BDE-868C-8ACE0BEE10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H1'!$AI$1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H1'!$AI$2:$AI$37</c:f>
              <c:numCache>
                <c:formatCode>0.00000</c:formatCode>
                <c:ptCount val="36"/>
                <c:pt idx="0">
                  <c:v>-5.9333976118084546E-2</c:v>
                </c:pt>
                <c:pt idx="1">
                  <c:v>-2.3727958950621818E-2</c:v>
                </c:pt>
                <c:pt idx="2">
                  <c:v>6.6779449737326801E-2</c:v>
                </c:pt>
                <c:pt idx="3">
                  <c:v>-5.3395034261817645E-2</c:v>
                </c:pt>
                <c:pt idx="4">
                  <c:v>6.3818103563430956E-2</c:v>
                </c:pt>
                <c:pt idx="5">
                  <c:v>3.1176697645423482E-2</c:v>
                </c:pt>
                <c:pt idx="6">
                  <c:v>1.6333318484853591E-2</c:v>
                </c:pt>
                <c:pt idx="7">
                  <c:v>-0.11568409343715282</c:v>
                </c:pt>
                <c:pt idx="8">
                  <c:v>1.0382983772881797E-2</c:v>
                </c:pt>
                <c:pt idx="9">
                  <c:v>-3.8550501156520665E-2</c:v>
                </c:pt>
                <c:pt idx="10">
                  <c:v>-5.9304946032393818E-3</c:v>
                </c:pt>
                <c:pt idx="11">
                  <c:v>3.707933494504434E-2</c:v>
                </c:pt>
                <c:pt idx="12">
                  <c:v>-2.3725144204399379E-2</c:v>
                </c:pt>
                <c:pt idx="13">
                  <c:v>-9.3330567983157309E-2</c:v>
                </c:pt>
                <c:pt idx="14">
                  <c:v>5.6326337009358463E-2</c:v>
                </c:pt>
                <c:pt idx="15">
                  <c:v>1.4824917721705012E-2</c:v>
                </c:pt>
                <c:pt idx="16">
                  <c:v>2.5208713317615473E-2</c:v>
                </c:pt>
                <c:pt idx="17">
                  <c:v>-4.4466183467468091E-2</c:v>
                </c:pt>
                <c:pt idx="18">
                  <c:v>1.4822280852510136E-3</c:v>
                </c:pt>
                <c:pt idx="19">
                  <c:v>5.9292638818949934E-3</c:v>
                </c:pt>
                <c:pt idx="20">
                  <c:v>0.12318378129684285</c:v>
                </c:pt>
                <c:pt idx="21">
                  <c:v>2.2267086277534511E-2</c:v>
                </c:pt>
                <c:pt idx="22">
                  <c:v>-5.0446600789341961E-2</c:v>
                </c:pt>
                <c:pt idx="23">
                  <c:v>-6.6723010542228317E-2</c:v>
                </c:pt>
                <c:pt idx="24">
                  <c:v>5.9344539560547145E-2</c:v>
                </c:pt>
                <c:pt idx="25">
                  <c:v>-1.9283256200303116E-2</c:v>
                </c:pt>
                <c:pt idx="26">
                  <c:v>0.1158335560901724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EE-42CD-B38F-9FC9B427EAF2}"/>
            </c:ext>
          </c:extLst>
        </c:ser>
        <c:ser>
          <c:idx val="1"/>
          <c:order val="1"/>
          <c:tx>
            <c:strRef>
              <c:f>'SATORI H1'!$AJ$1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H1'!$AJ$2:$AJ$37</c:f>
              <c:numCache>
                <c:formatCode>0.00000</c:formatCode>
                <c:ptCount val="36"/>
                <c:pt idx="0">
                  <c:v>-2.1881239572223404E-2</c:v>
                </c:pt>
                <c:pt idx="1">
                  <c:v>-2.8255281914799611E-2</c:v>
                </c:pt>
                <c:pt idx="2">
                  <c:v>-2.0959202456778705E-2</c:v>
                </c:pt>
                <c:pt idx="3">
                  <c:v>-2.4598228927516532E-2</c:v>
                </c:pt>
                <c:pt idx="4">
                  <c:v>2.2781326602198074E-2</c:v>
                </c:pt>
                <c:pt idx="5">
                  <c:v>6.3791783618283174E-3</c:v>
                </c:pt>
                <c:pt idx="6">
                  <c:v>-1.4578853373176546E-2</c:v>
                </c:pt>
                <c:pt idx="7">
                  <c:v>3.6448461874945331E-3</c:v>
                </c:pt>
                <c:pt idx="8">
                  <c:v>3.0079025804152861E-2</c:v>
                </c:pt>
                <c:pt idx="9">
                  <c:v>-7.650621613005619E-2</c:v>
                </c:pt>
                <c:pt idx="10">
                  <c:v>8.295048494129352E-2</c:v>
                </c:pt>
                <c:pt idx="11">
                  <c:v>3.8299502106480546E-2</c:v>
                </c:pt>
                <c:pt idx="12">
                  <c:v>3.2838925072511627E-2</c:v>
                </c:pt>
                <c:pt idx="13">
                  <c:v>8.9474837484477113E-2</c:v>
                </c:pt>
                <c:pt idx="14">
                  <c:v>-4.9278166122171972E-2</c:v>
                </c:pt>
                <c:pt idx="15">
                  <c:v>1.9167404459620074E-2</c:v>
                </c:pt>
                <c:pt idx="16">
                  <c:v>1.1866944170588553E-2</c:v>
                </c:pt>
                <c:pt idx="17">
                  <c:v>-7.2062539337943057E-2</c:v>
                </c:pt>
                <c:pt idx="18">
                  <c:v>-6.3848806027340501E-3</c:v>
                </c:pt>
                <c:pt idx="19">
                  <c:v>4.3801215483732954E-2</c:v>
                </c:pt>
                <c:pt idx="20">
                  <c:v>-2.554418231246337E-2</c:v>
                </c:pt>
                <c:pt idx="21">
                  <c:v>-4.5612530674523132E-3</c:v>
                </c:pt>
                <c:pt idx="22">
                  <c:v>-8.0213660021693417E-2</c:v>
                </c:pt>
                <c:pt idx="23">
                  <c:v>4.3772057013107539E-2</c:v>
                </c:pt>
                <c:pt idx="24">
                  <c:v>-4.8308298089556424E-2</c:v>
                </c:pt>
                <c:pt idx="25">
                  <c:v>-1.8229214138495524E-3</c:v>
                </c:pt>
                <c:pt idx="26">
                  <c:v>7.3882863736281723E-2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EE-42CD-B38F-9FC9B427EAF2}"/>
            </c:ext>
          </c:extLst>
        </c:ser>
        <c:ser>
          <c:idx val="2"/>
          <c:order val="2"/>
          <c:tx>
            <c:strRef>
              <c:f>'SATORI H1'!$AK$1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H1'!$AK$2:$AK$37</c:f>
              <c:numCache>
                <c:formatCode>0.00000</c:formatCode>
                <c:ptCount val="36"/>
                <c:pt idx="0">
                  <c:v>2.3409192688200083E-2</c:v>
                </c:pt>
                <c:pt idx="1">
                  <c:v>-4.6796476021899201E-2</c:v>
                </c:pt>
                <c:pt idx="2">
                  <c:v>-0.13004693881697937</c:v>
                </c:pt>
                <c:pt idx="3">
                  <c:v>-0.12886467180095518</c:v>
                </c:pt>
                <c:pt idx="4">
                  <c:v>0.10360483895542338</c:v>
                </c:pt>
                <c:pt idx="5">
                  <c:v>8.7429471864991129E-2</c:v>
                </c:pt>
                <c:pt idx="6">
                  <c:v>-5.8929315302324592E-2</c:v>
                </c:pt>
                <c:pt idx="7">
                  <c:v>1.7275369388041285E-2</c:v>
                </c:pt>
                <c:pt idx="8">
                  <c:v>0.20263321351839716</c:v>
                </c:pt>
                <c:pt idx="9">
                  <c:v>-4.3765903307894517E-2</c:v>
                </c:pt>
                <c:pt idx="10">
                  <c:v>0.12942938964360581</c:v>
                </c:pt>
                <c:pt idx="11">
                  <c:v>9.5889991737147476E-2</c:v>
                </c:pt>
                <c:pt idx="12">
                  <c:v>-3.3652179233547401E-2</c:v>
                </c:pt>
                <c:pt idx="13">
                  <c:v>-0.12222199588519743</c:v>
                </c:pt>
                <c:pt idx="14">
                  <c:v>0.14177452750323408</c:v>
                </c:pt>
                <c:pt idx="15">
                  <c:v>0.15118238929466302</c:v>
                </c:pt>
                <c:pt idx="16">
                  <c:v>3.5765379113015111E-2</c:v>
                </c:pt>
                <c:pt idx="17">
                  <c:v>-0.14489500214280923</c:v>
                </c:pt>
                <c:pt idx="18">
                  <c:v>-5.4051297741075394E-2</c:v>
                </c:pt>
                <c:pt idx="19">
                  <c:v>-2.3450722894019182E-2</c:v>
                </c:pt>
                <c:pt idx="20">
                  <c:v>5.3047150755928744E-2</c:v>
                </c:pt>
                <c:pt idx="21">
                  <c:v>8.3721310136397969E-2</c:v>
                </c:pt>
                <c:pt idx="22">
                  <c:v>-0.25866107252692588</c:v>
                </c:pt>
                <c:pt idx="23">
                  <c:v>3.055145374000829E-3</c:v>
                </c:pt>
                <c:pt idx="24">
                  <c:v>-0.29243625803439266</c:v>
                </c:pt>
                <c:pt idx="25">
                  <c:v>-5.9872947575650481E-2</c:v>
                </c:pt>
                <c:pt idx="26">
                  <c:v>-2.5363458358265419E-2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3EE-42CD-B38F-9FC9B427EAF2}"/>
            </c:ext>
          </c:extLst>
        </c:ser>
        <c:ser>
          <c:idx val="3"/>
          <c:order val="3"/>
          <c:tx>
            <c:strRef>
              <c:f>'SATORI H1'!$AL$1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H1'!$AL$2:$AL$37</c:f>
              <c:numCache>
                <c:formatCode>0.00000</c:formatCode>
                <c:ptCount val="36"/>
                <c:pt idx="0">
                  <c:v>1.5639118648786143E-2</c:v>
                </c:pt>
                <c:pt idx="1">
                  <c:v>-6.4252843622467914E-2</c:v>
                </c:pt>
                <c:pt idx="2">
                  <c:v>-6.4211585852622516E-2</c:v>
                </c:pt>
                <c:pt idx="3">
                  <c:v>-9.7090745171470053E-2</c:v>
                </c:pt>
                <c:pt idx="4">
                  <c:v>0.10413412475266998</c:v>
                </c:pt>
                <c:pt idx="5">
                  <c:v>2.0831163420478593E-2</c:v>
                </c:pt>
                <c:pt idx="6">
                  <c:v>-4.8582433979933198E-2</c:v>
                </c:pt>
                <c:pt idx="7">
                  <c:v>4.5132620469366572E-2</c:v>
                </c:pt>
                <c:pt idx="8">
                  <c:v>8.6801034668323677E-3</c:v>
                </c:pt>
                <c:pt idx="9">
                  <c:v>-1.3886237003344671E-2</c:v>
                </c:pt>
                <c:pt idx="10">
                  <c:v>-6.9426364662049812E-3</c:v>
                </c:pt>
                <c:pt idx="11">
                  <c:v>0.10250886093545251</c:v>
                </c:pt>
                <c:pt idx="12">
                  <c:v>-4.3417099390438418E-2</c:v>
                </c:pt>
                <c:pt idx="13">
                  <c:v>-5.7277744992526372E-2</c:v>
                </c:pt>
                <c:pt idx="14">
                  <c:v>4.1673901719051568E-2</c:v>
                </c:pt>
                <c:pt idx="15">
                  <c:v>5.3857780711951464E-2</c:v>
                </c:pt>
                <c:pt idx="16">
                  <c:v>-5.3828789720423938E-2</c:v>
                </c:pt>
                <c:pt idx="17">
                  <c:v>-4.6861169446516214E-2</c:v>
                </c:pt>
                <c:pt idx="18">
                  <c:v>-0.10749146136376583</c:v>
                </c:pt>
                <c:pt idx="19">
                  <c:v>-5.8912203489682902E-2</c:v>
                </c:pt>
                <c:pt idx="20">
                  <c:v>2.9464780920688344E-2</c:v>
                </c:pt>
                <c:pt idx="21">
                  <c:v>3.8145438152373333E-2</c:v>
                </c:pt>
                <c:pt idx="22">
                  <c:v>-0.23007594235991186</c:v>
                </c:pt>
                <c:pt idx="23">
                  <c:v>-5.1894135962592099E-3</c:v>
                </c:pt>
                <c:pt idx="24">
                  <c:v>-5.013917944639646E-2</c:v>
                </c:pt>
                <c:pt idx="25">
                  <c:v>-0.13467548388210768</c:v>
                </c:pt>
                <c:pt idx="26">
                  <c:v>6.5654209644246772E-2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3EE-42CD-B38F-9FC9B427EAF2}"/>
            </c:ext>
          </c:extLst>
        </c:ser>
        <c:ser>
          <c:idx val="4"/>
          <c:order val="4"/>
          <c:tx>
            <c:strRef>
              <c:f>'SATORI H1'!$AM$1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H1'!$AM$2:$AM$37</c:f>
              <c:numCache>
                <c:formatCode>0.00000</c:formatCode>
                <c:ptCount val="36"/>
                <c:pt idx="0">
                  <c:v>-2.5090817851566263E-2</c:v>
                </c:pt>
                <c:pt idx="1">
                  <c:v>-2.7265192165071377E-2</c:v>
                </c:pt>
                <c:pt idx="2">
                  <c:v>5.4560136182093898E-2</c:v>
                </c:pt>
                <c:pt idx="3">
                  <c:v>-5.5620385416554202E-2</c:v>
                </c:pt>
                <c:pt idx="4">
                  <c:v>2.1812391619700955E-3</c:v>
                </c:pt>
                <c:pt idx="5">
                  <c:v>7.6349199424124705E-3</c:v>
                </c:pt>
                <c:pt idx="6">
                  <c:v>-2.6170017882847514E-2</c:v>
                </c:pt>
                <c:pt idx="7">
                  <c:v>-0.13067909570065545</c:v>
                </c:pt>
                <c:pt idx="8">
                  <c:v>3.9219104061359047E-2</c:v>
                </c:pt>
                <c:pt idx="9">
                  <c:v>-3.267190869291433E-2</c:v>
                </c:pt>
                <c:pt idx="10">
                  <c:v>-1.5244566400966721E-2</c:v>
                </c:pt>
                <c:pt idx="11">
                  <c:v>1.7425397516874098E-2</c:v>
                </c:pt>
                <c:pt idx="12">
                  <c:v>-2.8308255122709531E-2</c:v>
                </c:pt>
                <c:pt idx="13">
                  <c:v>-7.3982200752867128E-2</c:v>
                </c:pt>
                <c:pt idx="14">
                  <c:v>5.2250016328121929E-2</c:v>
                </c:pt>
                <c:pt idx="15">
                  <c:v>7.6203747047120579E-3</c:v>
                </c:pt>
                <c:pt idx="16">
                  <c:v>0</c:v>
                </c:pt>
                <c:pt idx="17">
                  <c:v>-3.047221043237313E-2</c:v>
                </c:pt>
                <c:pt idx="18">
                  <c:v>-2.0673296629167136E-2</c:v>
                </c:pt>
                <c:pt idx="19">
                  <c:v>1.7412123190764822E-2</c:v>
                </c:pt>
                <c:pt idx="20">
                  <c:v>5.9890020144830448E-2</c:v>
                </c:pt>
                <c:pt idx="21">
                  <c:v>1.5247056773508129E-2</c:v>
                </c:pt>
                <c:pt idx="22">
                  <c:v>-5.4424138193777789E-2</c:v>
                </c:pt>
                <c:pt idx="23">
                  <c:v>-5.1132531169082271E-2</c:v>
                </c:pt>
                <c:pt idx="24">
                  <c:v>4.4624878914202845E-2</c:v>
                </c:pt>
                <c:pt idx="25">
                  <c:v>5.8808795182033365E-2</c:v>
                </c:pt>
                <c:pt idx="26">
                  <c:v>0.16034731009206021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3EE-42CD-B38F-9FC9B427EAF2}"/>
            </c:ext>
          </c:extLst>
        </c:ser>
        <c:ser>
          <c:idx val="5"/>
          <c:order val="5"/>
          <c:tx>
            <c:strRef>
              <c:f>'SATORI H1'!$AN$1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H1'!$AN$2:$AN$37</c:f>
              <c:numCache>
                <c:formatCode>0.00000</c:formatCode>
                <c:ptCount val="36"/>
                <c:pt idx="0">
                  <c:v>7.197739909675563E-3</c:v>
                </c:pt>
                <c:pt idx="1">
                  <c:v>-9.3483146067429385E-2</c:v>
                </c:pt>
                <c:pt idx="2">
                  <c:v>9.1769532515206836E-2</c:v>
                </c:pt>
                <c:pt idx="3">
                  <c:v>-9.0787332919842464E-2</c:v>
                </c:pt>
                <c:pt idx="4">
                  <c:v>7.0162182583587709E-2</c:v>
                </c:pt>
                <c:pt idx="5">
                  <c:v>-1.3490907128603825E-2</c:v>
                </c:pt>
                <c:pt idx="6">
                  <c:v>3.7788814510912601E-2</c:v>
                </c:pt>
                <c:pt idx="7">
                  <c:v>-3.2379924446835399E-2</c:v>
                </c:pt>
                <c:pt idx="8">
                  <c:v>8.9945043576965678E-4</c:v>
                </c:pt>
                <c:pt idx="9">
                  <c:v>-1.1691488596298608E-2</c:v>
                </c:pt>
                <c:pt idx="10">
                  <c:v>-1.7084640907815998E-2</c:v>
                </c:pt>
                <c:pt idx="11">
                  <c:v>-6.2939452246951483E-3</c:v>
                </c:pt>
                <c:pt idx="12">
                  <c:v>8.991431165957962E-4</c:v>
                </c:pt>
                <c:pt idx="13">
                  <c:v>-5.5715813405929501E-2</c:v>
                </c:pt>
                <c:pt idx="14">
                  <c:v>1.7973166062986042E-3</c:v>
                </c:pt>
                <c:pt idx="15">
                  <c:v>-8.0872706360120301E-3</c:v>
                </c:pt>
                <c:pt idx="16">
                  <c:v>-8.9857755174148931E-4</c:v>
                </c:pt>
                <c:pt idx="17">
                  <c:v>-1.1680143755612172E-2</c:v>
                </c:pt>
                <c:pt idx="18">
                  <c:v>4.7641734159116149E-2</c:v>
                </c:pt>
                <c:pt idx="19">
                  <c:v>3.5069419466235568E-2</c:v>
                </c:pt>
                <c:pt idx="20">
                  <c:v>4.1381047480245486E-2</c:v>
                </c:pt>
                <c:pt idx="21">
                  <c:v>1.079622132254791E-2</c:v>
                </c:pt>
                <c:pt idx="22">
                  <c:v>8.7345681791569374E-2</c:v>
                </c:pt>
                <c:pt idx="23">
                  <c:v>-5.9395782899403608E-2</c:v>
                </c:pt>
                <c:pt idx="24">
                  <c:v>8.7370070796771393E-2</c:v>
                </c:pt>
                <c:pt idx="25">
                  <c:v>3.423916961003811E-2</c:v>
                </c:pt>
                <c:pt idx="26">
                  <c:v>0.15702553921124923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3EE-42CD-B38F-9FC9B427EAF2}"/>
            </c:ext>
          </c:extLst>
        </c:ser>
        <c:ser>
          <c:idx val="6"/>
          <c:order val="6"/>
          <c:tx>
            <c:strRef>
              <c:f>'SATORI H1'!$AO$1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H1'!$AO$2:$AO$37</c:f>
              <c:numCache>
                <c:formatCode>0.00000</c:formatCode>
                <c:ptCount val="36"/>
                <c:pt idx="0">
                  <c:v>3.4407919114927479E-2</c:v>
                </c:pt>
                <c:pt idx="1">
                  <c:v>-9.9155197715468005E-2</c:v>
                </c:pt>
                <c:pt idx="2">
                  <c:v>8.0711318108444174E-2</c:v>
                </c:pt>
                <c:pt idx="3">
                  <c:v>-9.1873492184143715E-2</c:v>
                </c:pt>
                <c:pt idx="4">
                  <c:v>7.2710927791474643E-3</c:v>
                </c:pt>
                <c:pt idx="5">
                  <c:v>-3.5681719065930893E-2</c:v>
                </c:pt>
                <c:pt idx="6">
                  <c:v>-5.9465995361748505E-3</c:v>
                </c:pt>
                <c:pt idx="7">
                  <c:v>-4.8210276053354734E-2</c:v>
                </c:pt>
                <c:pt idx="8">
                  <c:v>3.1049130294039919E-2</c:v>
                </c:pt>
                <c:pt idx="9">
                  <c:v>-5.9452246634291708E-3</c:v>
                </c:pt>
                <c:pt idx="10">
                  <c:v>-2.5095760137369368E-2</c:v>
                </c:pt>
                <c:pt idx="11">
                  <c:v>-2.5749542780561897E-2</c:v>
                </c:pt>
                <c:pt idx="12">
                  <c:v>-5.9418491034359385E-3</c:v>
                </c:pt>
                <c:pt idx="13">
                  <c:v>-3.4978649824111474E-2</c:v>
                </c:pt>
                <c:pt idx="14">
                  <c:v>-3.2997637369234002E-3</c:v>
                </c:pt>
                <c:pt idx="15">
                  <c:v>-1.5176609545424415E-2</c:v>
                </c:pt>
                <c:pt idx="16">
                  <c:v>-2.7706130311171966E-2</c:v>
                </c:pt>
                <c:pt idx="17">
                  <c:v>1.3193569454334434E-3</c:v>
                </c:pt>
                <c:pt idx="18">
                  <c:v>3.0354420857440126E-2</c:v>
                </c:pt>
                <c:pt idx="19">
                  <c:v>4.3570971170547673E-2</c:v>
                </c:pt>
                <c:pt idx="20">
                  <c:v>-2.1780740545174673E-2</c:v>
                </c:pt>
                <c:pt idx="21">
                  <c:v>6.6006600660058739E-3</c:v>
                </c:pt>
                <c:pt idx="22">
                  <c:v>8.3898713773254294E-2</c:v>
                </c:pt>
                <c:pt idx="23">
                  <c:v>-4.5561997332317285E-2</c:v>
                </c:pt>
                <c:pt idx="24">
                  <c:v>7.2026590366941465E-2</c:v>
                </c:pt>
                <c:pt idx="25">
                  <c:v>0.11378596331065327</c:v>
                </c:pt>
                <c:pt idx="26">
                  <c:v>0.20217956196637835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3EE-42CD-B38F-9FC9B427EAF2}"/>
            </c:ext>
          </c:extLst>
        </c:ser>
        <c:ser>
          <c:idx val="7"/>
          <c:order val="7"/>
          <c:tx>
            <c:strRef>
              <c:f>'SATORI H1'!$AP$1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H1'!$AP$2:$AP$37</c:f>
              <c:numCache>
                <c:formatCode>0.00000</c:formatCode>
                <c:ptCount val="36"/>
                <c:pt idx="0">
                  <c:v>-7.0444859286333678E-3</c:v>
                </c:pt>
                <c:pt idx="1">
                  <c:v>-0.1242978927989377</c:v>
                </c:pt>
                <c:pt idx="2">
                  <c:v>-1.1724841421518481E-2</c:v>
                </c:pt>
                <c:pt idx="3">
                  <c:v>-1.9928258270227588E-2</c:v>
                </c:pt>
                <c:pt idx="4">
                  <c:v>-3.7497949330894439E-2</c:v>
                </c:pt>
                <c:pt idx="5">
                  <c:v>-0.11938202247191256</c:v>
                </c:pt>
                <c:pt idx="6">
                  <c:v>5.6211354693652328E-2</c:v>
                </c:pt>
                <c:pt idx="7">
                  <c:v>-9.367681498825409E-3</c:v>
                </c:pt>
                <c:pt idx="8">
                  <c:v>2.1081726827663672E-2</c:v>
                </c:pt>
                <c:pt idx="9">
                  <c:v>3.0460658887487464E-2</c:v>
                </c:pt>
                <c:pt idx="10">
                  <c:v>-1.0542962572486908E-2</c:v>
                </c:pt>
                <c:pt idx="11">
                  <c:v>-2.3428256820574697E-3</c:v>
                </c:pt>
                <c:pt idx="12">
                  <c:v>-1.4054978390471777E-2</c:v>
                </c:pt>
                <c:pt idx="13">
                  <c:v>1.1713853975108062E-2</c:v>
                </c:pt>
                <c:pt idx="14">
                  <c:v>-7.0278184480304547E-3</c:v>
                </c:pt>
                <c:pt idx="15">
                  <c:v>-2.4591315752499354E-2</c:v>
                </c:pt>
                <c:pt idx="16">
                  <c:v>1.5225513275485108E-2</c:v>
                </c:pt>
                <c:pt idx="17">
                  <c:v>-1.6394018525244327E-2</c:v>
                </c:pt>
                <c:pt idx="18">
                  <c:v>4.6862003116318045E-2</c:v>
                </c:pt>
                <c:pt idx="19">
                  <c:v>1.2888711831843848E-2</c:v>
                </c:pt>
                <c:pt idx="20">
                  <c:v>-2.2257365430799914E-2</c:v>
                </c:pt>
                <c:pt idx="21">
                  <c:v>3.5155563367899094E-2</c:v>
                </c:pt>
                <c:pt idx="22">
                  <c:v>9.501020479978517E-2</c:v>
                </c:pt>
                <c:pt idx="23">
                  <c:v>-2.2281378630987943E-2</c:v>
                </c:pt>
                <c:pt idx="24">
                  <c:v>5.8669607969673084E-2</c:v>
                </c:pt>
                <c:pt idx="25">
                  <c:v>3.6388393276367788E-2</c:v>
                </c:pt>
                <c:pt idx="26">
                  <c:v>7.0434108891202791E-3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3EE-42CD-B38F-9FC9B427EAF2}"/>
            </c:ext>
          </c:extLst>
        </c:ser>
        <c:ser>
          <c:idx val="8"/>
          <c:order val="8"/>
          <c:tx>
            <c:strRef>
              <c:f>'SATORI H1'!$AQ$1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H1'!$AQ$2:$AQ$37</c:f>
              <c:numCache>
                <c:formatCode>0.00000</c:formatCode>
                <c:ptCount val="36"/>
                <c:pt idx="0">
                  <c:v>4.9536778423040974E-2</c:v>
                </c:pt>
                <c:pt idx="1">
                  <c:v>-0.13472691485889965</c:v>
                </c:pt>
                <c:pt idx="2">
                  <c:v>-3.6825824372390362E-2</c:v>
                </c:pt>
                <c:pt idx="3">
                  <c:v>-0.13344681566476407</c:v>
                </c:pt>
                <c:pt idx="4">
                  <c:v>0.10834578082596159</c:v>
                </c:pt>
                <c:pt idx="5">
                  <c:v>-2.3136463065791476E-2</c:v>
                </c:pt>
                <c:pt idx="6">
                  <c:v>-2.6284524723232731E-2</c:v>
                </c:pt>
                <c:pt idx="7">
                  <c:v>0.12316308055076049</c:v>
                </c:pt>
                <c:pt idx="8">
                  <c:v>5.2636565569363931E-3</c:v>
                </c:pt>
                <c:pt idx="9">
                  <c:v>1.6846538562784837E-2</c:v>
                </c:pt>
                <c:pt idx="10">
                  <c:v>-2.2106193945012786E-2</c:v>
                </c:pt>
                <c:pt idx="11">
                  <c:v>6.0038551069641607E-2</c:v>
                </c:pt>
                <c:pt idx="12">
                  <c:v>-2.1061721374497307E-2</c:v>
                </c:pt>
                <c:pt idx="13">
                  <c:v>-2.0004632651762774E-2</c:v>
                </c:pt>
                <c:pt idx="14">
                  <c:v>-8.422293811728045E-3</c:v>
                </c:pt>
                <c:pt idx="15">
                  <c:v>2.843332385555792E-2</c:v>
                </c:pt>
                <c:pt idx="16">
                  <c:v>-7.7867688066246762E-2</c:v>
                </c:pt>
                <c:pt idx="17">
                  <c:v>-1.9989058620547014E-2</c:v>
                </c:pt>
                <c:pt idx="18">
                  <c:v>-5.572787971188891E-2</c:v>
                </c:pt>
                <c:pt idx="19">
                  <c:v>-3.3635704300124872E-2</c:v>
                </c:pt>
                <c:pt idx="20">
                  <c:v>-5.3578182123786552E-2</c:v>
                </c:pt>
                <c:pt idx="21">
                  <c:v>2.7321830142276009E-2</c:v>
                </c:pt>
                <c:pt idx="22">
                  <c:v>-8.9241655905174688E-2</c:v>
                </c:pt>
                <c:pt idx="23">
                  <c:v>0</c:v>
                </c:pt>
                <c:pt idx="24">
                  <c:v>-1.8894662257907729E-2</c:v>
                </c:pt>
                <c:pt idx="25">
                  <c:v>-8.4953747404188679E-2</c:v>
                </c:pt>
                <c:pt idx="26">
                  <c:v>0.10709336021166907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3EE-42CD-B38F-9FC9B427EAF2}"/>
            </c:ext>
          </c:extLst>
        </c:ser>
        <c:ser>
          <c:idx val="9"/>
          <c:order val="9"/>
          <c:tx>
            <c:strRef>
              <c:f>'SATORI H1'!$AR$1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H1'!$AR$2:$AR$37</c:f>
              <c:numCache>
                <c:formatCode>0.00000</c:formatCode>
                <c:ptCount val="36"/>
                <c:pt idx="0">
                  <c:v>8.7047246281983418E-2</c:v>
                </c:pt>
                <c:pt idx="1">
                  <c:v>-0.11900797908420095</c:v>
                </c:pt>
                <c:pt idx="2">
                  <c:v>-0.10410057717301191</c:v>
                </c:pt>
                <c:pt idx="3">
                  <c:v>-0.16849406888578741</c:v>
                </c:pt>
                <c:pt idx="4">
                  <c:v>0.1095795960329707</c:v>
                </c:pt>
                <c:pt idx="5">
                  <c:v>4.5576324946869001E-2</c:v>
                </c:pt>
                <c:pt idx="6">
                  <c:v>-3.8786416135141832E-2</c:v>
                </c:pt>
                <c:pt idx="7">
                  <c:v>9.921918812820929E-2</c:v>
                </c:pt>
                <c:pt idx="8">
                  <c:v>0.19697680737025983</c:v>
                </c:pt>
                <c:pt idx="9">
                  <c:v>-1.6669239080096813E-2</c:v>
                </c:pt>
                <c:pt idx="10">
                  <c:v>0.11682098574659917</c:v>
                </c:pt>
                <c:pt idx="11">
                  <c:v>5.318491032777535E-2</c:v>
                </c:pt>
                <c:pt idx="12">
                  <c:v>-1.1130486402256201E-2</c:v>
                </c:pt>
                <c:pt idx="13">
                  <c:v>-8.4026344730450953E-2</c:v>
                </c:pt>
                <c:pt idx="14">
                  <c:v>8.7191505939546957E-2</c:v>
                </c:pt>
                <c:pt idx="15">
                  <c:v>0.12940855954032296</c:v>
                </c:pt>
                <c:pt idx="16">
                  <c:v>6.191835445810758E-4</c:v>
                </c:pt>
                <c:pt idx="17">
                  <c:v>-0.10762198704825461</c:v>
                </c:pt>
                <c:pt idx="18">
                  <c:v>1.2370496366049964E-3</c:v>
                </c:pt>
                <c:pt idx="19">
                  <c:v>0</c:v>
                </c:pt>
                <c:pt idx="20">
                  <c:v>-2.7207687408395253E-2</c:v>
                </c:pt>
                <c:pt idx="21">
                  <c:v>7.2400094058235803E-2</c:v>
                </c:pt>
                <c:pt idx="22">
                  <c:v>-0.12299058720278853</c:v>
                </c:pt>
                <c:pt idx="23">
                  <c:v>1.1744198983803534E-2</c:v>
                </c:pt>
                <c:pt idx="24">
                  <c:v>-0.26447035034615535</c:v>
                </c:pt>
                <c:pt idx="25">
                  <c:v>-6.16443000597389E-3</c:v>
                </c:pt>
                <c:pt idx="26">
                  <c:v>1.6646731691687261E-2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3EE-42CD-B38F-9FC9B427EAF2}"/>
            </c:ext>
          </c:extLst>
        </c:ser>
        <c:ser>
          <c:idx val="10"/>
          <c:order val="10"/>
          <c:tx>
            <c:strRef>
              <c:f>'SATORI H1'!$AS$1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H1'!$AS$2:$AS$37</c:f>
              <c:numCache>
                <c:formatCode>0.00000</c:formatCode>
                <c:ptCount val="36"/>
                <c:pt idx="0">
                  <c:v>6.3688858695651884E-2</c:v>
                </c:pt>
                <c:pt idx="1">
                  <c:v>-7.2734325752792262E-2</c:v>
                </c:pt>
                <c:pt idx="2">
                  <c:v>2.6069928034868857E-2</c:v>
                </c:pt>
                <c:pt idx="3">
                  <c:v>-3.5757575757567786E-2</c:v>
                </c:pt>
                <c:pt idx="4">
                  <c:v>4.2426042316955565E-3</c:v>
                </c:pt>
                <c:pt idx="5">
                  <c:v>-4.3619180322906369E-2</c:v>
                </c:pt>
                <c:pt idx="6">
                  <c:v>2.1814347781293951E-2</c:v>
                </c:pt>
                <c:pt idx="7">
                  <c:v>8.1870777590449764E-2</c:v>
                </c:pt>
                <c:pt idx="8">
                  <c:v>-8.4895820700044249E-3</c:v>
                </c:pt>
                <c:pt idx="9">
                  <c:v>2.6688664596273046E-2</c:v>
                </c:pt>
                <c:pt idx="10">
                  <c:v>-1.0310466336327623E-2</c:v>
                </c:pt>
                <c:pt idx="11">
                  <c:v>-4.2436844881202473E-2</c:v>
                </c:pt>
                <c:pt idx="12">
                  <c:v>2.243593630619483E-2</c:v>
                </c:pt>
                <c:pt idx="13">
                  <c:v>3.8216328684698937E-2</c:v>
                </c:pt>
                <c:pt idx="14">
                  <c:v>-5.4564965654392956E-2</c:v>
                </c:pt>
                <c:pt idx="15">
                  <c:v>-2.3639228997447595E-2</c:v>
                </c:pt>
                <c:pt idx="16">
                  <c:v>-3.636672202500274E-3</c:v>
                </c:pt>
                <c:pt idx="17">
                  <c:v>1.6367703489971117E-2</c:v>
                </c:pt>
                <c:pt idx="18">
                  <c:v>4.1846079204309383E-2</c:v>
                </c:pt>
                <c:pt idx="19">
                  <c:v>2.7905170949511476E-2</c:v>
                </c:pt>
                <c:pt idx="20">
                  <c:v>-8.1828596366821493E-2</c:v>
                </c:pt>
                <c:pt idx="21">
                  <c:v>-8.485208463377655E-3</c:v>
                </c:pt>
                <c:pt idx="22">
                  <c:v>0.1365556418721999</c:v>
                </c:pt>
                <c:pt idx="23">
                  <c:v>6.0695080056803906E-3</c:v>
                </c:pt>
                <c:pt idx="24">
                  <c:v>2.853482766785281E-2</c:v>
                </c:pt>
                <c:pt idx="25">
                  <c:v>5.3455470985220285E-2</c:v>
                </c:pt>
                <c:pt idx="26">
                  <c:v>4.1931523998206023E-2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3EE-42CD-B38F-9FC9B427EAF2}"/>
            </c:ext>
          </c:extLst>
        </c:ser>
        <c:ser>
          <c:idx val="11"/>
          <c:order val="11"/>
          <c:tx>
            <c:strRef>
              <c:f>'SATORI H1'!$AT$1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H1'!$AT$2:$AT$37</c:f>
              <c:numCache>
                <c:formatCode>0.00000</c:formatCode>
                <c:ptCount val="36"/>
                <c:pt idx="0">
                  <c:v>4.1474960184039796E-2</c:v>
                </c:pt>
                <c:pt idx="1">
                  <c:v>-9.8889017794508635E-2</c:v>
                </c:pt>
                <c:pt idx="2">
                  <c:v>4.9723207478450798E-3</c:v>
                </c:pt>
                <c:pt idx="3">
                  <c:v>-6.239129834635869E-2</c:v>
                </c:pt>
                <c:pt idx="4">
                  <c:v>2.8719285552546679E-2</c:v>
                </c:pt>
                <c:pt idx="5">
                  <c:v>-3.5886224106711245E-2</c:v>
                </c:pt>
                <c:pt idx="6">
                  <c:v>4.9691087075305999E-3</c:v>
                </c:pt>
                <c:pt idx="7">
                  <c:v>8.509932859945829E-2</c:v>
                </c:pt>
                <c:pt idx="8">
                  <c:v>2.2661449006213742E-2</c:v>
                </c:pt>
                <c:pt idx="9">
                  <c:v>-4.9167739333642192E-2</c:v>
                </c:pt>
                <c:pt idx="10">
                  <c:v>7.2422905540624402E-2</c:v>
                </c:pt>
                <c:pt idx="11">
                  <c:v>-4.4225772568886046E-3</c:v>
                </c:pt>
                <c:pt idx="12">
                  <c:v>5.5312793849211228E-2</c:v>
                </c:pt>
                <c:pt idx="13">
                  <c:v>0.12793602091283371</c:v>
                </c:pt>
                <c:pt idx="14">
                  <c:v>-0.10346010423467397</c:v>
                </c:pt>
                <c:pt idx="15">
                  <c:v>-4.9791153771637561E-3</c:v>
                </c:pt>
                <c:pt idx="16">
                  <c:v>-1.4935115221647756E-2</c:v>
                </c:pt>
                <c:pt idx="17">
                  <c:v>-4.2021917747630401E-2</c:v>
                </c:pt>
                <c:pt idx="18">
                  <c:v>4.4253172399303785E-2</c:v>
                </c:pt>
                <c:pt idx="19">
                  <c:v>7.196315486470134E-2</c:v>
                </c:pt>
                <c:pt idx="20">
                  <c:v>-0.10838070381101733</c:v>
                </c:pt>
                <c:pt idx="21">
                  <c:v>-1.3269345600107148E-2</c:v>
                </c:pt>
                <c:pt idx="22">
                  <c:v>5.8087108534379012E-2</c:v>
                </c:pt>
                <c:pt idx="23">
                  <c:v>4.9259993136813125E-2</c:v>
                </c:pt>
                <c:pt idx="24">
                  <c:v>-1.8814883679748928E-2</c:v>
                </c:pt>
                <c:pt idx="25">
                  <c:v>5.0936794082475083E-2</c:v>
                </c:pt>
                <c:pt idx="26">
                  <c:v>0.11640411072802405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3EE-42CD-B38F-9FC9B427EAF2}"/>
            </c:ext>
          </c:extLst>
        </c:ser>
        <c:ser>
          <c:idx val="12"/>
          <c:order val="12"/>
          <c:tx>
            <c:strRef>
              <c:f>'SATORI H1'!$AU$1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H1'!$AU$2:$AU$37</c:f>
              <c:numCache>
                <c:formatCode>0.00000</c:formatCode>
                <c:ptCount val="36"/>
                <c:pt idx="0">
                  <c:v>-1.5326610060487249E-3</c:v>
                </c:pt>
                <c:pt idx="1">
                  <c:v>3.1429425608084371E-2</c:v>
                </c:pt>
                <c:pt idx="2">
                  <c:v>0.10205804263417589</c:v>
                </c:pt>
                <c:pt idx="3">
                  <c:v>-7.0546737213406319E-2</c:v>
                </c:pt>
                <c:pt idx="4">
                  <c:v>0.10593220338982565</c:v>
                </c:pt>
                <c:pt idx="5">
                  <c:v>0.10758306949866811</c:v>
                </c:pt>
                <c:pt idx="6">
                  <c:v>-1.8439411168138079E-2</c:v>
                </c:pt>
                <c:pt idx="7">
                  <c:v>-2.0740035181244284E-2</c:v>
                </c:pt>
                <c:pt idx="8">
                  <c:v>-1.9200049152115189E-2</c:v>
                </c:pt>
                <c:pt idx="9">
                  <c:v>-4.4524281086394377E-2</c:v>
                </c:pt>
                <c:pt idx="10">
                  <c:v>-3.8381527738411093E-3</c:v>
                </c:pt>
                <c:pt idx="11">
                  <c:v>-8.4432231620680132E-3</c:v>
                </c:pt>
                <c:pt idx="12">
                  <c:v>1.996069278959503E-2</c:v>
                </c:pt>
                <c:pt idx="13">
                  <c:v>-6.9046997989974601E-2</c:v>
                </c:pt>
                <c:pt idx="14">
                  <c:v>6.1378876459727795E-3</c:v>
                </c:pt>
                <c:pt idx="15">
                  <c:v>1.4579608499137689E-2</c:v>
                </c:pt>
                <c:pt idx="16">
                  <c:v>-1.5346720789365473E-3</c:v>
                </c:pt>
                <c:pt idx="17">
                  <c:v>-1.227586947681303E-2</c:v>
                </c:pt>
                <c:pt idx="18">
                  <c:v>6.1383115039521487E-3</c:v>
                </c:pt>
                <c:pt idx="19">
                  <c:v>2.2256331542603494E-2</c:v>
                </c:pt>
                <c:pt idx="20">
                  <c:v>6.066609840193566E-2</c:v>
                </c:pt>
                <c:pt idx="21">
                  <c:v>-2.3800018425806164E-2</c:v>
                </c:pt>
                <c:pt idx="22">
                  <c:v>-6.9092053646252916E-3</c:v>
                </c:pt>
                <c:pt idx="23">
                  <c:v>-3.2232565635470015E-2</c:v>
                </c:pt>
                <c:pt idx="24">
                  <c:v>2.7635548527249108E-2</c:v>
                </c:pt>
                <c:pt idx="25">
                  <c:v>-3.8381233112338422E-3</c:v>
                </c:pt>
                <c:pt idx="26">
                  <c:v>0.14837137431869937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3EE-42CD-B38F-9FC9B427EAF2}"/>
            </c:ext>
          </c:extLst>
        </c:ser>
        <c:ser>
          <c:idx val="13"/>
          <c:order val="13"/>
          <c:tx>
            <c:strRef>
              <c:f>'SATORI H1'!$AV$1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H1'!$AV$2:$AV$37</c:f>
              <c:numCache>
                <c:formatCode>0.00000</c:formatCode>
                <c:ptCount val="36"/>
                <c:pt idx="0">
                  <c:v>6.9745094595023011E-2</c:v>
                </c:pt>
                <c:pt idx="1">
                  <c:v>5.4275627141948619E-2</c:v>
                </c:pt>
                <c:pt idx="2">
                  <c:v>3.5162289478708295E-2</c:v>
                </c:pt>
                <c:pt idx="3">
                  <c:v>-1.4993433909972259E-2</c:v>
                </c:pt>
                <c:pt idx="4">
                  <c:v>3.9826006899723154E-2</c:v>
                </c:pt>
                <c:pt idx="5">
                  <c:v>7.9197465681099824E-2</c:v>
                </c:pt>
                <c:pt idx="6">
                  <c:v>-3.5186488388459551E-2</c:v>
                </c:pt>
                <c:pt idx="7">
                  <c:v>9.1672320656314213E-2</c:v>
                </c:pt>
                <c:pt idx="8">
                  <c:v>-2.84776372881031E-2</c:v>
                </c:pt>
                <c:pt idx="9">
                  <c:v>-3.1065548306901201E-3</c:v>
                </c:pt>
                <c:pt idx="10">
                  <c:v>0</c:v>
                </c:pt>
                <c:pt idx="11">
                  <c:v>-4.4507467939101514E-2</c:v>
                </c:pt>
                <c:pt idx="12">
                  <c:v>4.1937404540640426E-2</c:v>
                </c:pt>
                <c:pt idx="13">
                  <c:v>2.4339972449221144E-2</c:v>
                </c:pt>
                <c:pt idx="14">
                  <c:v>-4.9173624303158317E-2</c:v>
                </c:pt>
                <c:pt idx="15">
                  <c:v>-1.5528271806856506E-3</c:v>
                </c:pt>
                <c:pt idx="16">
                  <c:v>-4.1407010206869427E-3</c:v>
                </c:pt>
                <c:pt idx="17">
                  <c:v>1.5530040274569402E-2</c:v>
                </c:pt>
                <c:pt idx="18">
                  <c:v>0</c:v>
                </c:pt>
                <c:pt idx="19">
                  <c:v>1.3978990095626257E-2</c:v>
                </c:pt>
                <c:pt idx="20">
                  <c:v>-5.9504713808197392E-2</c:v>
                </c:pt>
                <c:pt idx="21">
                  <c:v>-4.4479384322572917E-2</c:v>
                </c:pt>
                <c:pt idx="22">
                  <c:v>4.2946213747968254E-2</c:v>
                </c:pt>
                <c:pt idx="23">
                  <c:v>3.1572845282706333E-2</c:v>
                </c:pt>
                <c:pt idx="24">
                  <c:v>-3.1562879983442392E-2</c:v>
                </c:pt>
                <c:pt idx="25">
                  <c:v>1.7077916701164479E-2</c:v>
                </c:pt>
                <c:pt idx="26">
                  <c:v>3.5203246981839985E-2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3EE-42CD-B38F-9FC9B427EAF2}"/>
            </c:ext>
          </c:extLst>
        </c:ser>
        <c:ser>
          <c:idx val="14"/>
          <c:order val="14"/>
          <c:tx>
            <c:strRef>
              <c:f>'SATORI H1'!$AW$1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H1'!$AW$2:$AW$37</c:f>
              <c:numCache>
                <c:formatCode>0.00000</c:formatCode>
                <c:ptCount val="36"/>
                <c:pt idx="0">
                  <c:v>4.8514422442870096E-2</c:v>
                </c:pt>
                <c:pt idx="1">
                  <c:v>2.732626619551486E-2</c:v>
                </c:pt>
                <c:pt idx="2">
                  <c:v>1.4607551632994903E-2</c:v>
                </c:pt>
                <c:pt idx="3">
                  <c:v>-4.1920229101119949E-2</c:v>
                </c:pt>
                <c:pt idx="4">
                  <c:v>6.4570558653145302E-2</c:v>
                </c:pt>
                <c:pt idx="5">
                  <c:v>8.6797775335283003E-2</c:v>
                </c:pt>
                <c:pt idx="6">
                  <c:v>-5.2805529493292654E-2</c:v>
                </c:pt>
                <c:pt idx="7">
                  <c:v>9.5801714048399988E-2</c:v>
                </c:pt>
                <c:pt idx="8">
                  <c:v>2.3597038099722719E-3</c:v>
                </c:pt>
                <c:pt idx="9">
                  <c:v>-7.8752039536345644E-2</c:v>
                </c:pt>
                <c:pt idx="10">
                  <c:v>8.3065102273906413E-2</c:v>
                </c:pt>
                <c:pt idx="11">
                  <c:v>-6.607014761960065E-3</c:v>
                </c:pt>
                <c:pt idx="12">
                  <c:v>7.4620521588006736E-2</c:v>
                </c:pt>
                <c:pt idx="13">
                  <c:v>0.11394960685020597</c:v>
                </c:pt>
                <c:pt idx="14">
                  <c:v>-9.8721812324635352E-2</c:v>
                </c:pt>
                <c:pt idx="15">
                  <c:v>1.7952642817989726E-2</c:v>
                </c:pt>
                <c:pt idx="16">
                  <c:v>-1.653259519232474E-2</c:v>
                </c:pt>
                <c:pt idx="17">
                  <c:v>-3.8246515317492222E-2</c:v>
                </c:pt>
                <c:pt idx="18">
                  <c:v>1.8887524790000023E-3</c:v>
                </c:pt>
                <c:pt idx="19">
                  <c:v>5.5276548097689039E-2</c:v>
                </c:pt>
                <c:pt idx="20">
                  <c:v>-8.6855136017978257E-2</c:v>
                </c:pt>
                <c:pt idx="21">
                  <c:v>-4.8596367067708722E-2</c:v>
                </c:pt>
                <c:pt idx="22">
                  <c:v>-3.5844660560501729E-2</c:v>
                </c:pt>
                <c:pt idx="23">
                  <c:v>7.5519432093862332E-2</c:v>
                </c:pt>
                <c:pt idx="24">
                  <c:v>-7.9703822482135922E-2</c:v>
                </c:pt>
                <c:pt idx="25">
                  <c:v>1.4622365615755105E-2</c:v>
                </c:pt>
                <c:pt idx="26">
                  <c:v>0.11002450760489968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3EE-42CD-B38F-9FC9B427EAF2}"/>
            </c:ext>
          </c:extLst>
        </c:ser>
        <c:ser>
          <c:idx val="15"/>
          <c:order val="15"/>
          <c:tx>
            <c:strRef>
              <c:f>'SATORI H1'!$AX$1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H1'!$AX$2:$AX$37</c:f>
              <c:numCache>
                <c:formatCode>0.00000</c:formatCode>
                <c:ptCount val="36"/>
                <c:pt idx="0">
                  <c:v>3.6069749878826711E-2</c:v>
                </c:pt>
                <c:pt idx="1">
                  <c:v>2.7059632665488591E-2</c:v>
                </c:pt>
                <c:pt idx="2">
                  <c:v>8.9715449677531089E-2</c:v>
                </c:pt>
                <c:pt idx="3">
                  <c:v>-7.0481302720012934E-2</c:v>
                </c:pt>
                <c:pt idx="4">
                  <c:v>4.2306672608405399E-2</c:v>
                </c:pt>
                <c:pt idx="5">
                  <c:v>8.8075383494899295E-2</c:v>
                </c:pt>
                <c:pt idx="6">
                  <c:v>-6.4885237762079065E-2</c:v>
                </c:pt>
                <c:pt idx="7">
                  <c:v>-3.7788418695688761E-2</c:v>
                </c:pt>
                <c:pt idx="8">
                  <c:v>1.1845534233596388E-2</c:v>
                </c:pt>
                <c:pt idx="9">
                  <c:v>-3.6087647874774392E-2</c:v>
                </c:pt>
                <c:pt idx="10">
                  <c:v>-1.4658457930221622E-2</c:v>
                </c:pt>
                <c:pt idx="11">
                  <c:v>-2.7617925724694452E-2</c:v>
                </c:pt>
                <c:pt idx="12">
                  <c:v>1.2965196901891483E-2</c:v>
                </c:pt>
                <c:pt idx="13">
                  <c:v>-4.9018226892421808E-2</c:v>
                </c:pt>
                <c:pt idx="14">
                  <c:v>2.2537623745662919E-3</c:v>
                </c:pt>
                <c:pt idx="15">
                  <c:v>7.325264272993637E-3</c:v>
                </c:pt>
                <c:pt idx="16">
                  <c:v>-2.929247408741854E-2</c:v>
                </c:pt>
                <c:pt idx="17">
                  <c:v>1.68997898792648E-3</c:v>
                </c:pt>
                <c:pt idx="18">
                  <c:v>-1.1265257382966817E-2</c:v>
                </c:pt>
                <c:pt idx="19">
                  <c:v>2.9861846701669977E-2</c:v>
                </c:pt>
                <c:pt idx="20">
                  <c:v>-1.1268494416534838E-3</c:v>
                </c:pt>
                <c:pt idx="21">
                  <c:v>-2.8726406326556628E-2</c:v>
                </c:pt>
                <c:pt idx="22">
                  <c:v>-9.574551967289022E-3</c:v>
                </c:pt>
                <c:pt idx="23">
                  <c:v>-1.9145437754803644E-2</c:v>
                </c:pt>
                <c:pt idx="24">
                  <c:v>1.2389759300760672E-2</c:v>
                </c:pt>
                <c:pt idx="25">
                  <c:v>7.6649946457759563E-2</c:v>
                </c:pt>
                <c:pt idx="26">
                  <c:v>0.19482169579580164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3EE-42CD-B38F-9FC9B427EAF2}"/>
            </c:ext>
          </c:extLst>
        </c:ser>
        <c:ser>
          <c:idx val="16"/>
          <c:order val="16"/>
          <c:tx>
            <c:strRef>
              <c:f>'SATORI H1'!$AY$1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H1'!$AY$2:$AY$37</c:f>
              <c:numCache>
                <c:formatCode>0.00000</c:formatCode>
                <c:ptCount val="36"/>
                <c:pt idx="0">
                  <c:v>8.61805842325504E-2</c:v>
                </c:pt>
                <c:pt idx="1">
                  <c:v>-8.0787770526956643E-3</c:v>
                </c:pt>
                <c:pt idx="2">
                  <c:v>-2.9613410388020161E-2</c:v>
                </c:pt>
                <c:pt idx="3">
                  <c:v>-0.11294168265180247</c:v>
                </c:pt>
                <c:pt idx="4">
                  <c:v>0.14542190305206057</c:v>
                </c:pt>
                <c:pt idx="5">
                  <c:v>9.9740315754492034E-2</c:v>
                </c:pt>
                <c:pt idx="6">
                  <c:v>-8.6187547694938443E-2</c:v>
                </c:pt>
                <c:pt idx="7">
                  <c:v>0.13845061178988743</c:v>
                </c:pt>
                <c:pt idx="8">
                  <c:v>-1.9774747647264251E-2</c:v>
                </c:pt>
                <c:pt idx="9">
                  <c:v>-1.5278152242293832E-2</c:v>
                </c:pt>
                <c:pt idx="10">
                  <c:v>-7.189201818875249E-3</c:v>
                </c:pt>
                <c:pt idx="11">
                  <c:v>5.7546711744941824E-2</c:v>
                </c:pt>
                <c:pt idx="12">
                  <c:v>-1.7983024025437907E-3</c:v>
                </c:pt>
                <c:pt idx="13">
                  <c:v>-3.4156075287184902E-2</c:v>
                </c:pt>
                <c:pt idx="14">
                  <c:v>-6.291512749302495E-3</c:v>
                </c:pt>
                <c:pt idx="15">
                  <c:v>5.2156866271595631E-2</c:v>
                </c:pt>
                <c:pt idx="16">
                  <c:v>-8.1765414128341721E-2</c:v>
                </c:pt>
                <c:pt idx="17">
                  <c:v>-1.4374270056593115E-2</c:v>
                </c:pt>
                <c:pt idx="18">
                  <c:v>-0.10051874854158155</c:v>
                </c:pt>
                <c:pt idx="19">
                  <c:v>-4.3957621264732662E-2</c:v>
                </c:pt>
                <c:pt idx="20">
                  <c:v>-3.2284968656668724E-2</c:v>
                </c:pt>
                <c:pt idx="21">
                  <c:v>-7.1739227906631392E-3</c:v>
                </c:pt>
                <c:pt idx="22">
                  <c:v>-0.1852813232845828</c:v>
                </c:pt>
                <c:pt idx="23">
                  <c:v>2.6859578125576499E-2</c:v>
                </c:pt>
                <c:pt idx="24">
                  <c:v>-8.3195419779048832E-2</c:v>
                </c:pt>
                <c:pt idx="25">
                  <c:v>-0.11705207477035655</c:v>
                </c:pt>
                <c:pt idx="26">
                  <c:v>0.10196597556393613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3EE-42CD-B38F-9FC9B427EAF2}"/>
            </c:ext>
          </c:extLst>
        </c:ser>
        <c:ser>
          <c:idx val="17"/>
          <c:order val="17"/>
          <c:tx>
            <c:strRef>
              <c:f>'SATORI H1'!$AZ$1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H1'!$AZ$2:$AZ$37</c:f>
              <c:numCache>
                <c:formatCode>0.00000</c:formatCode>
                <c:ptCount val="36"/>
                <c:pt idx="0">
                  <c:v>9.3068255311999984E-2</c:v>
                </c:pt>
                <c:pt idx="1">
                  <c:v>9.4654642021406062E-3</c:v>
                </c:pt>
                <c:pt idx="2">
                  <c:v>-9.5089994010912546E-2</c:v>
                </c:pt>
                <c:pt idx="3">
                  <c:v>-0.14636065573770302</c:v>
                </c:pt>
                <c:pt idx="4">
                  <c:v>0.14604905777343041</c:v>
                </c:pt>
                <c:pt idx="5">
                  <c:v>0.16628865816630051</c:v>
                </c:pt>
                <c:pt idx="6">
                  <c:v>-9.6207429526739732E-2</c:v>
                </c:pt>
                <c:pt idx="7">
                  <c:v>0.10999710533933485</c:v>
                </c:pt>
                <c:pt idx="8">
                  <c:v>0.17503809187390595</c:v>
                </c:pt>
                <c:pt idx="9">
                  <c:v>-4.5847386172000994E-2</c:v>
                </c:pt>
                <c:pt idx="10">
                  <c:v>0.12927736590771419</c:v>
                </c:pt>
                <c:pt idx="11">
                  <c:v>5.0681293851184521E-2</c:v>
                </c:pt>
                <c:pt idx="12">
                  <c:v>7.9195793119547532E-3</c:v>
                </c:pt>
                <c:pt idx="13">
                  <c:v>-9.7579500920413245E-2</c:v>
                </c:pt>
                <c:pt idx="14">
                  <c:v>9.2390214028536102E-2</c:v>
                </c:pt>
                <c:pt idx="15">
                  <c:v>0.1501612647385353</c:v>
                </c:pt>
                <c:pt idx="16">
                  <c:v>7.9316817809197346E-3</c:v>
                </c:pt>
                <c:pt idx="17">
                  <c:v>-0.11303075598561162</c:v>
                </c:pt>
                <c:pt idx="18">
                  <c:v>-4.6986030894634427E-2</c:v>
                </c:pt>
                <c:pt idx="19">
                  <c:v>-1.002971964294486E-2</c:v>
                </c:pt>
                <c:pt idx="20">
                  <c:v>-7.3897736089973574E-3</c:v>
                </c:pt>
                <c:pt idx="21">
                  <c:v>3.9603751267314038E-2</c:v>
                </c:pt>
                <c:pt idx="22">
                  <c:v>-0.21445545702195787</c:v>
                </c:pt>
                <c:pt idx="23">
                  <c:v>3.4261377412790422E-2</c:v>
                </c:pt>
                <c:pt idx="24">
                  <c:v>-0.3241652875193835</c:v>
                </c:pt>
                <c:pt idx="25">
                  <c:v>-4.2013496835850164E-2</c:v>
                </c:pt>
                <c:pt idx="26">
                  <c:v>9.9792012437264748E-3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3EE-42CD-B38F-9FC9B427EAF2}"/>
            </c:ext>
          </c:extLst>
        </c:ser>
        <c:ser>
          <c:idx val="18"/>
          <c:order val="18"/>
          <c:tx>
            <c:strRef>
              <c:f>'SATORI H1'!$BA$1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H1'!$BA$2:$BA$37</c:f>
              <c:numCache>
                <c:formatCode>0.00000</c:formatCode>
                <c:ptCount val="36"/>
                <c:pt idx="0">
                  <c:v>4.1307090306237526E-2</c:v>
                </c:pt>
                <c:pt idx="1">
                  <c:v>-2.1207250647385323E-2</c:v>
                </c:pt>
                <c:pt idx="2">
                  <c:v>-0.11037896778941449</c:v>
                </c:pt>
                <c:pt idx="3">
                  <c:v>-0.10469454808709037</c:v>
                </c:pt>
                <c:pt idx="4">
                  <c:v>8.8065458274801597E-2</c:v>
                </c:pt>
                <c:pt idx="5">
                  <c:v>7.3627844712184851E-2</c:v>
                </c:pt>
                <c:pt idx="6">
                  <c:v>-4.4603033006251395E-2</c:v>
                </c:pt>
                <c:pt idx="7">
                  <c:v>2.2306491188947394E-2</c:v>
                </c:pt>
                <c:pt idx="8">
                  <c:v>0.16757904144787339</c:v>
                </c:pt>
                <c:pt idx="9">
                  <c:v>3.3527045149755401E-2</c:v>
                </c:pt>
                <c:pt idx="10">
                  <c:v>4.8078535729067798E-2</c:v>
                </c:pt>
                <c:pt idx="11">
                  <c:v>5.2578588208968616E-2</c:v>
                </c:pt>
                <c:pt idx="12">
                  <c:v>-6.5959373497744528E-2</c:v>
                </c:pt>
                <c:pt idx="13">
                  <c:v>-0.21196131148272263</c:v>
                </c:pt>
                <c:pt idx="14">
                  <c:v>0.19672937415468064</c:v>
                </c:pt>
                <c:pt idx="15">
                  <c:v>0.12646894236149922</c:v>
                </c:pt>
                <c:pt idx="16">
                  <c:v>0.1120448179271645</c:v>
                </c:pt>
                <c:pt idx="17">
                  <c:v>-0.13986013986013987</c:v>
                </c:pt>
                <c:pt idx="18">
                  <c:v>-4.9206544470411132E-2</c:v>
                </c:pt>
                <c:pt idx="19">
                  <c:v>-7.8221904368142886E-2</c:v>
                </c:pt>
                <c:pt idx="20">
                  <c:v>7.1568353368752766E-2</c:v>
                </c:pt>
                <c:pt idx="21">
                  <c:v>9.5142153570622057E-2</c:v>
                </c:pt>
                <c:pt idx="22">
                  <c:v>-0.18657758611058531</c:v>
                </c:pt>
                <c:pt idx="23">
                  <c:v>-3.6855036855038249E-2</c:v>
                </c:pt>
                <c:pt idx="24">
                  <c:v>-0.24287528688249441</c:v>
                </c:pt>
                <c:pt idx="25">
                  <c:v>-6.0125595688774382E-2</c:v>
                </c:pt>
                <c:pt idx="26">
                  <c:v>-9.5663974726911086E-2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3EE-42CD-B38F-9FC9B427EAF2}"/>
            </c:ext>
          </c:extLst>
        </c:ser>
        <c:ser>
          <c:idx val="19"/>
          <c:order val="19"/>
          <c:tx>
            <c:strRef>
              <c:f>'SATORI H1'!$BB$1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H1'!$BB$2:$BB$37</c:f>
              <c:numCache>
                <c:formatCode>0.00000</c:formatCode>
                <c:ptCount val="36"/>
                <c:pt idx="0">
                  <c:v>3.4308586676845325E-2</c:v>
                </c:pt>
                <c:pt idx="1">
                  <c:v>-3.8106125559700672E-2</c:v>
                </c:pt>
                <c:pt idx="2">
                  <c:v>-4.3802849089653477E-2</c:v>
                </c:pt>
                <c:pt idx="3">
                  <c:v>-7.2317588398745275E-2</c:v>
                </c:pt>
                <c:pt idx="4">
                  <c:v>8.761904761905065E-2</c:v>
                </c:pt>
                <c:pt idx="5">
                  <c:v>7.619628162153308E-3</c:v>
                </c:pt>
                <c:pt idx="6">
                  <c:v>-3.4276573866029815E-2</c:v>
                </c:pt>
                <c:pt idx="7">
                  <c:v>4.9535131839665826E-2</c:v>
                </c:pt>
                <c:pt idx="8">
                  <c:v>-2.8569796011653329E-2</c:v>
                </c:pt>
                <c:pt idx="9">
                  <c:v>6.6707326370351719E-2</c:v>
                </c:pt>
                <c:pt idx="10">
                  <c:v>-8.9498238598490043E-2</c:v>
                </c:pt>
                <c:pt idx="11">
                  <c:v>5.9065619998481915E-2</c:v>
                </c:pt>
                <c:pt idx="12">
                  <c:v>-7.6155662173495342E-2</c:v>
                </c:pt>
                <c:pt idx="13">
                  <c:v>-0.14638504971387187</c:v>
                </c:pt>
                <c:pt idx="14">
                  <c:v>9.7050428163655653E-2</c:v>
                </c:pt>
                <c:pt idx="15">
                  <c:v>2.8552393642330538E-2</c:v>
                </c:pt>
                <c:pt idx="16">
                  <c:v>2.4751532691055837E-2</c:v>
                </c:pt>
                <c:pt idx="17">
                  <c:v>-4.5674266357100056E-2</c:v>
                </c:pt>
                <c:pt idx="18">
                  <c:v>-0.10266159695817204</c:v>
                </c:pt>
                <c:pt idx="19">
                  <c:v>-0.11204162631268719</c:v>
                </c:pt>
                <c:pt idx="20">
                  <c:v>4.9398666236018844E-2</c:v>
                </c:pt>
                <c:pt idx="21">
                  <c:v>4.7521289537707664E-2</c:v>
                </c:pt>
                <c:pt idx="22">
                  <c:v>-0.15752215748419984</c:v>
                </c:pt>
                <c:pt idx="23">
                  <c:v>-4.5527838376177174E-2</c:v>
                </c:pt>
                <c:pt idx="24">
                  <c:v>0</c:v>
                </c:pt>
                <c:pt idx="25">
                  <c:v>-0.13450536127003151</c:v>
                </c:pt>
                <c:pt idx="26">
                  <c:v>-5.6830021405926412E-3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3EE-42CD-B38F-9FC9B427EAF2}"/>
            </c:ext>
          </c:extLst>
        </c:ser>
        <c:ser>
          <c:idx val="20"/>
          <c:order val="20"/>
          <c:tx>
            <c:strRef>
              <c:f>'SATORI H1'!$BC$1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H1'!$BC$2:$BC$37</c:f>
              <c:numCache>
                <c:formatCode>0.00000</c:formatCode>
                <c:ptCount val="36"/>
                <c:pt idx="0">
                  <c:v>-4.2304625848114508E-2</c:v>
                </c:pt>
                <c:pt idx="1">
                  <c:v>1.6271274691585292E-3</c:v>
                </c:pt>
                <c:pt idx="2">
                  <c:v>8.6312189561115624E-2</c:v>
                </c:pt>
                <c:pt idx="3">
                  <c:v>-2.930498347525666E-2</c:v>
                </c:pt>
                <c:pt idx="4">
                  <c:v>4.8865505839440652E-2</c:v>
                </c:pt>
                <c:pt idx="5">
                  <c:v>1.6291155531660068E-2</c:v>
                </c:pt>
                <c:pt idx="6">
                  <c:v>3.0962779479829134E-2</c:v>
                </c:pt>
                <c:pt idx="7">
                  <c:v>-0.10906545555176693</c:v>
                </c:pt>
                <c:pt idx="8">
                  <c:v>-2.7665668532743697E-2</c:v>
                </c:pt>
                <c:pt idx="9">
                  <c:v>3.9072675175829963E-2</c:v>
                </c:pt>
                <c:pt idx="10">
                  <c:v>-8.7836299163926115E-2</c:v>
                </c:pt>
                <c:pt idx="11">
                  <c:v>-6.5059692267720633E-3</c:v>
                </c:pt>
                <c:pt idx="12">
                  <c:v>-5.36454523286908E-2</c:v>
                </c:pt>
                <c:pt idx="13">
                  <c:v>-0.1833582137989348</c:v>
                </c:pt>
                <c:pt idx="14">
                  <c:v>0.11046133853151623</c:v>
                </c:pt>
                <c:pt idx="15">
                  <c:v>-9.7456388266167985E-3</c:v>
                </c:pt>
                <c:pt idx="16">
                  <c:v>0.10243402760841251</c:v>
                </c:pt>
                <c:pt idx="17">
                  <c:v>-5.3627145085811956E-2</c:v>
                </c:pt>
                <c:pt idx="18">
                  <c:v>3.2502356420873015E-3</c:v>
                </c:pt>
                <c:pt idx="19">
                  <c:v>-3.086770750410597E-2</c:v>
                </c:pt>
                <c:pt idx="20">
                  <c:v>0.14154166531090967</c:v>
                </c:pt>
                <c:pt idx="21">
                  <c:v>3.0920956271261981E-2</c:v>
                </c:pt>
                <c:pt idx="22">
                  <c:v>2.1160920662819202E-2</c:v>
                </c:pt>
                <c:pt idx="23">
                  <c:v>-0.10406842498942631</c:v>
                </c:pt>
                <c:pt idx="24">
                  <c:v>0.10906545555174886</c:v>
                </c:pt>
                <c:pt idx="25">
                  <c:v>-1.9530296372248911E-2</c:v>
                </c:pt>
                <c:pt idx="26">
                  <c:v>4.3962485345836987E-2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3EE-42CD-B38F-9FC9B427EAF2}"/>
            </c:ext>
          </c:extLst>
        </c:ser>
        <c:ser>
          <c:idx val="21"/>
          <c:order val="21"/>
          <c:tx>
            <c:strRef>
              <c:f>'SATORI H1'!$BD$1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H1'!$BD$2:$BD$37</c:f>
              <c:numCache>
                <c:formatCode>0.00000</c:formatCode>
                <c:ptCount val="36"/>
                <c:pt idx="0">
                  <c:v>-5.9831514455287301E-3</c:v>
                </c:pt>
                <c:pt idx="1">
                  <c:v>-3.5897619987764287E-3</c:v>
                </c:pt>
                <c:pt idx="2">
                  <c:v>7.5441873832436224E-2</c:v>
                </c:pt>
                <c:pt idx="3">
                  <c:v>-2.8731504094228196E-2</c:v>
                </c:pt>
                <c:pt idx="4">
                  <c:v>-1.5560476389978395E-2</c:v>
                </c:pt>
                <c:pt idx="5">
                  <c:v>-4.787609666175416E-3</c:v>
                </c:pt>
                <c:pt idx="6">
                  <c:v>-1.1967591761521798E-2</c:v>
                </c:pt>
                <c:pt idx="7">
                  <c:v>-0.12669575091136676</c:v>
                </c:pt>
                <c:pt idx="8">
                  <c:v>3.5858573784961502E-3</c:v>
                </c:pt>
                <c:pt idx="9">
                  <c:v>4.4245142002987313E-2</c:v>
                </c:pt>
                <c:pt idx="10">
                  <c:v>-9.5573741114618235E-2</c:v>
                </c:pt>
                <c:pt idx="11">
                  <c:v>-2.6275872777001205E-2</c:v>
                </c:pt>
                <c:pt idx="12">
                  <c:v>-6.206806001504863E-2</c:v>
                </c:pt>
                <c:pt idx="13">
                  <c:v>-0.16206876005480747</c:v>
                </c:pt>
                <c:pt idx="14">
                  <c:v>0.10497810967826499</c:v>
                </c:pt>
                <c:pt idx="15">
                  <c:v>-1.4313147819035173E-2</c:v>
                </c:pt>
                <c:pt idx="16">
                  <c:v>7.281147795363932E-2</c:v>
                </c:pt>
                <c:pt idx="17">
                  <c:v>-3.5796105383743552E-2</c:v>
                </c:pt>
                <c:pt idx="18">
                  <c:v>-1.4316392269136002E-2</c:v>
                </c:pt>
                <c:pt idx="19">
                  <c:v>-2.7432224514874644E-2</c:v>
                </c:pt>
                <c:pt idx="20">
                  <c:v>8.116980005968534E-2</c:v>
                </c:pt>
                <c:pt idx="21">
                  <c:v>2.6267715783314983E-2</c:v>
                </c:pt>
                <c:pt idx="22">
                  <c:v>1.7913014402061608E-2</c:v>
                </c:pt>
                <c:pt idx="23">
                  <c:v>-9.1868997196198468E-2</c:v>
                </c:pt>
                <c:pt idx="24">
                  <c:v>9.5539499611860257E-2</c:v>
                </c:pt>
                <c:pt idx="25">
                  <c:v>5.8552207059722104E-2</c:v>
                </c:pt>
                <c:pt idx="26">
                  <c:v>8.8504042481949236E-2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3EE-42CD-B38F-9FC9B427EAF2}"/>
            </c:ext>
          </c:extLst>
        </c:ser>
        <c:ser>
          <c:idx val="22"/>
          <c:order val="22"/>
          <c:tx>
            <c:strRef>
              <c:f>'SATORI H1'!$BE$1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H1'!$BE$2:$BE$37</c:f>
              <c:numCache>
                <c:formatCode>0.00000</c:formatCode>
                <c:ptCount val="36"/>
                <c:pt idx="0">
                  <c:v>4.9448140096841169E-2</c:v>
                </c:pt>
                <c:pt idx="1">
                  <c:v>-1.8656194322916354E-2</c:v>
                </c:pt>
                <c:pt idx="2">
                  <c:v>-0.18528519021991963</c:v>
                </c:pt>
                <c:pt idx="3">
                  <c:v>-7.5360754724005719E-2</c:v>
                </c:pt>
                <c:pt idx="4">
                  <c:v>0.102446611345496</c:v>
                </c:pt>
                <c:pt idx="5">
                  <c:v>8.2024514144575733E-2</c:v>
                </c:pt>
                <c:pt idx="6">
                  <c:v>-3.4475689979693018E-2</c:v>
                </c:pt>
                <c:pt idx="7">
                  <c:v>0.14743757231906354</c:v>
                </c:pt>
                <c:pt idx="8">
                  <c:v>0.16544066101489593</c:v>
                </c:pt>
                <c:pt idx="9">
                  <c:v>-1.2149532710285261E-2</c:v>
                </c:pt>
                <c:pt idx="10">
                  <c:v>0.14694458223748535</c:v>
                </c:pt>
                <c:pt idx="11">
                  <c:v>7.5869691463257588E-2</c:v>
                </c:pt>
                <c:pt idx="12">
                  <c:v>-4.6830949637954172E-3</c:v>
                </c:pt>
                <c:pt idx="13">
                  <c:v>-4.8680478192088213E-2</c:v>
                </c:pt>
                <c:pt idx="14">
                  <c:v>9.1828224997890742E-2</c:v>
                </c:pt>
                <c:pt idx="15">
                  <c:v>0.14263059613959128</c:v>
                </c:pt>
                <c:pt idx="16">
                  <c:v>5.4454469491420548E-2</c:v>
                </c:pt>
                <c:pt idx="17">
                  <c:v>-0.12752351214756147</c:v>
                </c:pt>
                <c:pt idx="18">
                  <c:v>-4.1240591989949414E-2</c:v>
                </c:pt>
                <c:pt idx="19">
                  <c:v>-3.8413971442488488E-2</c:v>
                </c:pt>
                <c:pt idx="20">
                  <c:v>-8.4316242118776669E-3</c:v>
                </c:pt>
                <c:pt idx="21">
                  <c:v>6.8436644541936931E-2</c:v>
                </c:pt>
                <c:pt idx="22">
                  <c:v>-0.20302193946765096</c:v>
                </c:pt>
                <c:pt idx="23">
                  <c:v>5.2420222973173579E-2</c:v>
                </c:pt>
                <c:pt idx="24">
                  <c:v>-0.33678514786827524</c:v>
                </c:pt>
                <c:pt idx="25">
                  <c:v>-0.11834098977794325</c:v>
                </c:pt>
                <c:pt idx="26">
                  <c:v>-0.18508873097958653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3EE-42CD-B38F-9FC9B427EAF2}"/>
            </c:ext>
          </c:extLst>
        </c:ser>
        <c:ser>
          <c:idx val="23"/>
          <c:order val="23"/>
          <c:tx>
            <c:strRef>
              <c:f>'SATORI H1'!$BF$1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H1'!$BF$2:$BF$37</c:f>
              <c:numCache>
                <c:formatCode>0.00000</c:formatCode>
                <c:ptCount val="36"/>
                <c:pt idx="0">
                  <c:v>3.8229344207460776E-2</c:v>
                </c:pt>
                <c:pt idx="1">
                  <c:v>-3.662303748289282E-2</c:v>
                </c:pt>
                <c:pt idx="2">
                  <c:v>-0.11928050002386061</c:v>
                </c:pt>
                <c:pt idx="3">
                  <c:v>-4.2922548645553935E-2</c:v>
                </c:pt>
                <c:pt idx="4">
                  <c:v>0.10343894715066113</c:v>
                </c:pt>
                <c:pt idx="5">
                  <c:v>1.4324367340447956E-2</c:v>
                </c:pt>
                <c:pt idx="6">
                  <c:v>-2.3868247275039143E-2</c:v>
                </c:pt>
                <c:pt idx="7">
                  <c:v>0.17534071889694589</c:v>
                </c:pt>
                <c:pt idx="8">
                  <c:v>-2.8683887622913483E-2</c:v>
                </c:pt>
                <c:pt idx="9">
                  <c:v>1.9126249183151207E-2</c:v>
                </c:pt>
                <c:pt idx="10">
                  <c:v>9.5640392125703362E-3</c:v>
                </c:pt>
                <c:pt idx="11">
                  <c:v>8.2957101606490585E-2</c:v>
                </c:pt>
                <c:pt idx="12">
                  <c:v>-1.4355898679262824E-2</c:v>
                </c:pt>
                <c:pt idx="13">
                  <c:v>1.4357959893437534E-2</c:v>
                </c:pt>
                <c:pt idx="14">
                  <c:v>-7.9760081674314851E-3</c:v>
                </c:pt>
                <c:pt idx="15">
                  <c:v>4.6282257935813288E-2</c:v>
                </c:pt>
                <c:pt idx="16">
                  <c:v>-3.6693149548524852E-2</c:v>
                </c:pt>
                <c:pt idx="17">
                  <c:v>-2.7113670074483402E-2</c:v>
                </c:pt>
                <c:pt idx="18">
                  <c:v>-9.5603817779112782E-2</c:v>
                </c:pt>
                <c:pt idx="19">
                  <c:v>-7.3242576228009865E-2</c:v>
                </c:pt>
                <c:pt idx="20">
                  <c:v>-3.1834460803816633E-2</c:v>
                </c:pt>
                <c:pt idx="21">
                  <c:v>2.0696682162638265E-2</c:v>
                </c:pt>
                <c:pt idx="22">
                  <c:v>-0.17481961793966974</c:v>
                </c:pt>
                <c:pt idx="23">
                  <c:v>4.6110059943079908E-2</c:v>
                </c:pt>
                <c:pt idx="24">
                  <c:v>-9.5309198926190164E-2</c:v>
                </c:pt>
                <c:pt idx="25">
                  <c:v>-0.19183815835366924</c:v>
                </c:pt>
                <c:pt idx="26">
                  <c:v>-9.5035955269750838E-2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3EE-42CD-B38F-9FC9B427EAF2}"/>
            </c:ext>
          </c:extLst>
        </c:ser>
        <c:ser>
          <c:idx val="24"/>
          <c:order val="24"/>
          <c:tx>
            <c:strRef>
              <c:f>'SATORI H1'!$BG$1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H1'!$BG$2:$BG$37</c:f>
              <c:numCache>
                <c:formatCode>0.00000</c:formatCode>
                <c:ptCount val="36"/>
                <c:pt idx="0">
                  <c:v>8.7862653100593113E-3</c:v>
                </c:pt>
                <c:pt idx="1">
                  <c:v>1.9333520809907821E-2</c:v>
                </c:pt>
                <c:pt idx="2">
                  <c:v>-7.200941391363487E-2</c:v>
                </c:pt>
                <c:pt idx="3">
                  <c:v>-3.2774028923070679E-2</c:v>
                </c:pt>
                <c:pt idx="4">
                  <c:v>-5.8524709132475061E-4</c:v>
                </c:pt>
                <c:pt idx="5">
                  <c:v>7.0279007660414505E-2</c:v>
                </c:pt>
                <c:pt idx="6">
                  <c:v>-1.3468328931725022E-2</c:v>
                </c:pt>
                <c:pt idx="7">
                  <c:v>-2.3417695581678267E-2</c:v>
                </c:pt>
                <c:pt idx="8">
                  <c:v>0.19004381565750603</c:v>
                </c:pt>
                <c:pt idx="9">
                  <c:v>-3.0491559115505839E-2</c:v>
                </c:pt>
                <c:pt idx="10">
                  <c:v>0.13563661131596552</c:v>
                </c:pt>
                <c:pt idx="11">
                  <c:v>-5.2842640488116582E-3</c:v>
                </c:pt>
                <c:pt idx="12">
                  <c:v>8.8078824676250302E-3</c:v>
                </c:pt>
                <c:pt idx="13">
                  <c:v>-6.3376562408311771E-2</c:v>
                </c:pt>
                <c:pt idx="14">
                  <c:v>9.8683051185962559E-2</c:v>
                </c:pt>
                <c:pt idx="15">
                  <c:v>9.7603424351464532E-2</c:v>
                </c:pt>
                <c:pt idx="16">
                  <c:v>0.11891166393915384</c:v>
                </c:pt>
                <c:pt idx="17">
                  <c:v>-0.11935770268760794</c:v>
                </c:pt>
                <c:pt idx="18">
                  <c:v>4.6471134954533429E-2</c:v>
                </c:pt>
                <c:pt idx="19">
                  <c:v>3.9427767741011852E-2</c:v>
                </c:pt>
                <c:pt idx="20">
                  <c:v>2.0600838159830138E-2</c:v>
                </c:pt>
                <c:pt idx="21">
                  <c:v>5.0055650105104814E-2</c:v>
                </c:pt>
                <c:pt idx="22">
                  <c:v>-3.4732442455994286E-2</c:v>
                </c:pt>
                <c:pt idx="23">
                  <c:v>1.1186275029293591E-2</c:v>
                </c:pt>
                <c:pt idx="24">
                  <c:v>-0.24549389495445814</c:v>
                </c:pt>
                <c:pt idx="25">
                  <c:v>7.817275591292247E-2</c:v>
                </c:pt>
                <c:pt idx="26">
                  <c:v>-8.8673827127150315E-2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3EE-42CD-B38F-9FC9B427EAF2}"/>
            </c:ext>
          </c:extLst>
        </c:ser>
        <c:ser>
          <c:idx val="25"/>
          <c:order val="25"/>
          <c:tx>
            <c:strRef>
              <c:f>'SATORI H1'!$BH$1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H1'!$BH$2:$BH$37</c:f>
              <c:numCache>
                <c:formatCode>0.00000</c:formatCode>
                <c:ptCount val="36"/>
                <c:pt idx="0">
                  <c:v>3.529956831569845E-2</c:v>
                </c:pt>
                <c:pt idx="1">
                  <c:v>-5.1475887223695451E-3</c:v>
                </c:pt>
                <c:pt idx="2">
                  <c:v>-1.1029330666676896E-2</c:v>
                </c:pt>
                <c:pt idx="3">
                  <c:v>0</c:v>
                </c:pt>
                <c:pt idx="4">
                  <c:v>-6.3194867988866157E-2</c:v>
                </c:pt>
                <c:pt idx="5">
                  <c:v>-2.3508841528359449E-2</c:v>
                </c:pt>
                <c:pt idx="6">
                  <c:v>-4.1857596052181104E-2</c:v>
                </c:pt>
                <c:pt idx="7">
                  <c:v>-1.6887054971031538E-2</c:v>
                </c:pt>
                <c:pt idx="8">
                  <c:v>3.0112075676788839E-2</c:v>
                </c:pt>
                <c:pt idx="9">
                  <c:v>6.6104047771135648E-3</c:v>
                </c:pt>
                <c:pt idx="10">
                  <c:v>-8.8130962610364176E-3</c:v>
                </c:pt>
                <c:pt idx="11">
                  <c:v>-1.9825535289452263E-2</c:v>
                </c:pt>
                <c:pt idx="12">
                  <c:v>-8.8105726872334811E-3</c:v>
                </c:pt>
                <c:pt idx="13">
                  <c:v>2.2765827758155853E-2</c:v>
                </c:pt>
                <c:pt idx="14">
                  <c:v>-5.1404065327234237E-3</c:v>
                </c:pt>
                <c:pt idx="15">
                  <c:v>-5.8744052164614027E-3</c:v>
                </c:pt>
                <c:pt idx="16">
                  <c:v>-2.569391935046304E-2</c:v>
                </c:pt>
                <c:pt idx="17">
                  <c:v>1.1747171501357383E-2</c:v>
                </c:pt>
                <c:pt idx="18">
                  <c:v>-1.8351587045237504E-2</c:v>
                </c:pt>
                <c:pt idx="19">
                  <c:v>7.3411737068514431E-3</c:v>
                </c:pt>
                <c:pt idx="20">
                  <c:v>-6.2361063219446192E-2</c:v>
                </c:pt>
                <c:pt idx="21">
                  <c:v>-4.4017636399613369E-3</c:v>
                </c:pt>
                <c:pt idx="22">
                  <c:v>-4.4015698932744762E-3</c:v>
                </c:pt>
                <c:pt idx="23">
                  <c:v>1.3940247696200513E-2</c:v>
                </c:pt>
                <c:pt idx="24">
                  <c:v>-1.5405268601865026E-2</c:v>
                </c:pt>
                <c:pt idx="25">
                  <c:v>8.0759432334615772E-2</c:v>
                </c:pt>
                <c:pt idx="26">
                  <c:v>4.4070012559948725E-2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3EE-42CD-B38F-9FC9B427EAF2}"/>
            </c:ext>
          </c:extLst>
        </c:ser>
        <c:ser>
          <c:idx val="26"/>
          <c:order val="26"/>
          <c:tx>
            <c:strRef>
              <c:f>'SATORI H1'!$BI$1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H1'!$BI$2:$BI$37</c:f>
              <c:numCache>
                <c:formatCode>0.00000</c:formatCode>
                <c:ptCount val="36"/>
                <c:pt idx="0">
                  <c:v>7.2627596143703524E-2</c:v>
                </c:pt>
                <c:pt idx="1">
                  <c:v>-3.9812180185244544E-2</c:v>
                </c:pt>
                <c:pt idx="2">
                  <c:v>-0.12863842078796761</c:v>
                </c:pt>
                <c:pt idx="3">
                  <c:v>-4.325057277785354E-2</c:v>
                </c:pt>
                <c:pt idx="4">
                  <c:v>3.9759571532147597E-2</c:v>
                </c:pt>
                <c:pt idx="5">
                  <c:v>-1.0523484910495947E-2</c:v>
                </c:pt>
                <c:pt idx="6">
                  <c:v>-6.5436614122624109E-2</c:v>
                </c:pt>
                <c:pt idx="7">
                  <c:v>0.15917044111279191</c:v>
                </c:pt>
                <c:pt idx="8">
                  <c:v>0</c:v>
                </c:pt>
                <c:pt idx="9">
                  <c:v>2.692577850621207E-2</c:v>
                </c:pt>
                <c:pt idx="10">
                  <c:v>-1.1706723171193865E-3</c:v>
                </c:pt>
                <c:pt idx="11">
                  <c:v>6.5600656006560648E-2</c:v>
                </c:pt>
                <c:pt idx="12">
                  <c:v>-2.1081479919885456E-2</c:v>
                </c:pt>
                <c:pt idx="13">
                  <c:v>3.5148149449927592E-2</c:v>
                </c:pt>
                <c:pt idx="14">
                  <c:v>-1.5228545322489455E-2</c:v>
                </c:pt>
                <c:pt idx="15">
                  <c:v>3.8672026062594941E-2</c:v>
                </c:pt>
                <c:pt idx="16">
                  <c:v>-7.8454332552687175E-2</c:v>
                </c:pt>
                <c:pt idx="17">
                  <c:v>-3.5127571630943284E-3</c:v>
                </c:pt>
                <c:pt idx="18">
                  <c:v>-0.1052717766366851</c:v>
                </c:pt>
                <c:pt idx="19">
                  <c:v>-6.7795817699386904E-2</c:v>
                </c:pt>
                <c:pt idx="20">
                  <c:v>-9.2257386429984517E-2</c:v>
                </c:pt>
                <c:pt idx="21">
                  <c:v>1.4015744352811086E-2</c:v>
                </c:pt>
                <c:pt idx="22">
                  <c:v>-0.17605428534784134</c:v>
                </c:pt>
                <c:pt idx="23">
                  <c:v>5.9497421778377864E-2</c:v>
                </c:pt>
                <c:pt idx="24">
                  <c:v>-0.1095417890271688</c:v>
                </c:pt>
                <c:pt idx="25">
                  <c:v>-0.11756078823926011</c:v>
                </c:pt>
                <c:pt idx="26">
                  <c:v>-5.0025594490209116E-2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3EE-42CD-B38F-9FC9B427EAF2}"/>
            </c:ext>
          </c:extLst>
        </c:ser>
        <c:ser>
          <c:idx val="27"/>
          <c:order val="27"/>
          <c:tx>
            <c:strRef>
              <c:f>'SATORI H1'!$BJ$1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H1'!$AH$2:$AH$37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H1'!$BJ$2:$BJ$37</c:f>
              <c:numCache>
                <c:formatCode>0.00000</c:formatCode>
                <c:ptCount val="36"/>
                <c:pt idx="0">
                  <c:v>8.3021716010847249E-2</c:v>
                </c:pt>
                <c:pt idx="1">
                  <c:v>-2.263716061407554E-2</c:v>
                </c:pt>
                <c:pt idx="2">
                  <c:v>-0.1951212832818692</c:v>
                </c:pt>
                <c:pt idx="3">
                  <c:v>-7.6620489139745632E-2</c:v>
                </c:pt>
                <c:pt idx="4">
                  <c:v>3.9009567609751279E-2</c:v>
                </c:pt>
                <c:pt idx="5">
                  <c:v>5.7520851308601552E-2</c:v>
                </c:pt>
                <c:pt idx="6">
                  <c:v>-7.5951965513714748E-2</c:v>
                </c:pt>
                <c:pt idx="7">
                  <c:v>0.13223525542644982</c:v>
                </c:pt>
                <c:pt idx="8">
                  <c:v>0.19427606422779523</c:v>
                </c:pt>
                <c:pt idx="9">
                  <c:v>-4.1187575081518633E-3</c:v>
                </c:pt>
                <c:pt idx="10">
                  <c:v>0.13541566422414572</c:v>
                </c:pt>
                <c:pt idx="11">
                  <c:v>5.8462236833965842E-2</c:v>
                </c:pt>
                <c:pt idx="12">
                  <c:v>-1.1691080393367656E-2</c:v>
                </c:pt>
                <c:pt idx="13">
                  <c:v>-2.8188187087058059E-2</c:v>
                </c:pt>
                <c:pt idx="14">
                  <c:v>8.5324819200833443E-2</c:v>
                </c:pt>
                <c:pt idx="15">
                  <c:v>0.13643034817300989</c:v>
                </c:pt>
                <c:pt idx="16">
                  <c:v>1.102589016834545E-2</c:v>
                </c:pt>
                <c:pt idx="17">
                  <c:v>-0.10257328138122902</c:v>
                </c:pt>
                <c:pt idx="18">
                  <c:v>-5.2979585658356108E-2</c:v>
                </c:pt>
                <c:pt idx="19">
                  <c:v>-3.2327734444855108E-2</c:v>
                </c:pt>
                <c:pt idx="20">
                  <c:v>-6.9422010213970389E-2</c:v>
                </c:pt>
                <c:pt idx="21">
                  <c:v>6.1899488985332173E-2</c:v>
                </c:pt>
                <c:pt idx="22">
                  <c:v>-0.20590677913753294</c:v>
                </c:pt>
                <c:pt idx="23">
                  <c:v>6.7995439497788107E-2</c:v>
                </c:pt>
                <c:pt idx="24">
                  <c:v>-0.35110292859536713</c:v>
                </c:pt>
                <c:pt idx="25">
                  <c:v>-4.1047813861848297E-2</c:v>
                </c:pt>
                <c:pt idx="26">
                  <c:v>-0.14005028146691567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3EE-42CD-B38F-9FC9B427EA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 H4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H4'!$DY$1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H4'!$DX$2:$DX$37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H4'!$DY$2:$DY$37</c:f>
              <c:numCache>
                <c:formatCode>0.00000</c:formatCode>
                <c:ptCount val="36"/>
                <c:pt idx="0">
                  <c:v>18.300109639037757</c:v>
                </c:pt>
                <c:pt idx="1">
                  <c:v>18.605772913047549</c:v>
                </c:pt>
                <c:pt idx="2">
                  <c:v>17.62590563380402</c:v>
                </c:pt>
                <c:pt idx="3">
                  <c:v>18.171540044729586</c:v>
                </c:pt>
                <c:pt idx="4">
                  <c:v>20.813150274239334</c:v>
                </c:pt>
                <c:pt idx="5">
                  <c:v>19.601952581136928</c:v>
                </c:pt>
                <c:pt idx="6">
                  <c:v>18.473887438702242</c:v>
                </c:pt>
                <c:pt idx="7">
                  <c:v>18.415934475943942</c:v>
                </c:pt>
                <c:pt idx="8">
                  <c:v>17.328694844558452</c:v>
                </c:pt>
                <c:pt idx="9">
                  <c:v>15.054253860491052</c:v>
                </c:pt>
                <c:pt idx="10">
                  <c:v>14.820063194952521</c:v>
                </c:pt>
                <c:pt idx="11">
                  <c:v>14.465982131192664</c:v>
                </c:pt>
                <c:pt idx="12">
                  <c:v>11.818000351671031</c:v>
                </c:pt>
                <c:pt idx="13">
                  <c:v>9.1229833108745328</c:v>
                </c:pt>
                <c:pt idx="14">
                  <c:v>8.8894589263122086</c:v>
                </c:pt>
                <c:pt idx="15">
                  <c:v>10.035011721391726</c:v>
                </c:pt>
                <c:pt idx="16">
                  <c:v>6.7586676690723708</c:v>
                </c:pt>
                <c:pt idx="17">
                  <c:v>6.6192127040554922</c:v>
                </c:pt>
                <c:pt idx="18">
                  <c:v>4.8360335953952625</c:v>
                </c:pt>
                <c:pt idx="19">
                  <c:v>2.5192771352211927</c:v>
                </c:pt>
                <c:pt idx="20">
                  <c:v>1.8734608395435544</c:v>
                </c:pt>
                <c:pt idx="21">
                  <c:v>1.3197406314330269</c:v>
                </c:pt>
                <c:pt idx="22">
                  <c:v>-2.201090655948339</c:v>
                </c:pt>
                <c:pt idx="23">
                  <c:v>-2.7571702650658789</c:v>
                </c:pt>
                <c:pt idx="24">
                  <c:v>-0.56084701184624142</c:v>
                </c:pt>
                <c:pt idx="25">
                  <c:v>-2.4282928163731925</c:v>
                </c:pt>
                <c:pt idx="26">
                  <c:v>-0.73694836075372505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35-48E2-A95A-AFFA67A9B7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Performance-D1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(D)'!$DY$1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(D)'!$DX$2:$DX$37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(D)'!$DY$2:$DY$37</c:f>
              <c:numCache>
                <c:formatCode>0.00000</c:formatCode>
                <c:ptCount val="36"/>
                <c:pt idx="0">
                  <c:v>9.1797309499989623</c:v>
                </c:pt>
                <c:pt idx="1">
                  <c:v>10.483303799190079</c:v>
                </c:pt>
                <c:pt idx="2">
                  <c:v>5.3505454702061197</c:v>
                </c:pt>
                <c:pt idx="3">
                  <c:v>-2.5080924848480972</c:v>
                </c:pt>
                <c:pt idx="4">
                  <c:v>-11.8909478104756</c:v>
                </c:pt>
                <c:pt idx="5">
                  <c:v>-10.254688250161337</c:v>
                </c:pt>
                <c:pt idx="6">
                  <c:v>0.41742973734631583</c:v>
                </c:pt>
                <c:pt idx="7">
                  <c:v>-7.4302476348256441</c:v>
                </c:pt>
                <c:pt idx="8">
                  <c:v>-9.8568287192754802</c:v>
                </c:pt>
                <c:pt idx="9">
                  <c:v>-8.0646836189800908</c:v>
                </c:pt>
                <c:pt idx="10">
                  <c:v>-10.642661052795138</c:v>
                </c:pt>
                <c:pt idx="11">
                  <c:v>-16.083626381593056</c:v>
                </c:pt>
                <c:pt idx="12">
                  <c:v>-18.009284691533537</c:v>
                </c:pt>
                <c:pt idx="13">
                  <c:v>-15.49886878258285</c:v>
                </c:pt>
                <c:pt idx="14">
                  <c:v>-16.605302278245137</c:v>
                </c:pt>
                <c:pt idx="15">
                  <c:v>-16.48544415517512</c:v>
                </c:pt>
                <c:pt idx="16">
                  <c:v>-22.894809079273283</c:v>
                </c:pt>
                <c:pt idx="17">
                  <c:v>-26.581301827836935</c:v>
                </c:pt>
                <c:pt idx="18">
                  <c:v>-24.967995661727343</c:v>
                </c:pt>
                <c:pt idx="19">
                  <c:v>-25.082412191468471</c:v>
                </c:pt>
                <c:pt idx="20">
                  <c:v>-19.285862937197368</c:v>
                </c:pt>
                <c:pt idx="21">
                  <c:v>-15.785608047142702</c:v>
                </c:pt>
                <c:pt idx="22">
                  <c:v>-12.742163990545418</c:v>
                </c:pt>
                <c:pt idx="23">
                  <c:v>-8.7025598240699082</c:v>
                </c:pt>
                <c:pt idx="24">
                  <c:v>-3.9342794869118229</c:v>
                </c:pt>
                <c:pt idx="25">
                  <c:v>0.91725313724437063</c:v>
                </c:pt>
                <c:pt idx="26">
                  <c:v>-3.2711843454708722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61B-4BA4-90FD-02E7A3B04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EU H1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H1'!$DT$1</c:f>
              <c:strCache>
                <c:ptCount val="1"/>
                <c:pt idx="0">
                  <c:v>EU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'SATORI H1'!$DT$2:$DT$37</c:f>
              <c:numCache>
                <c:formatCode>0.00000</c:formatCode>
                <c:ptCount val="36"/>
                <c:pt idx="0">
                  <c:v>0.31039408997560036</c:v>
                </c:pt>
                <c:pt idx="1">
                  <c:v>0.30319635006592482</c:v>
                </c:pt>
                <c:pt idx="2">
                  <c:v>0.39667949613335418</c:v>
                </c:pt>
                <c:pt idx="3">
                  <c:v>0.30490996361814732</c:v>
                </c:pt>
                <c:pt idx="4">
                  <c:v>0.39569729653798985</c:v>
                </c:pt>
                <c:pt idx="5">
                  <c:v>0.3255351139544021</c:v>
                </c:pt>
                <c:pt idx="6">
                  <c:v>0.33902602108300595</c:v>
                </c:pt>
                <c:pt idx="7">
                  <c:v>0.30123720657209335</c:v>
                </c:pt>
                <c:pt idx="8">
                  <c:v>0.33361713101892876</c:v>
                </c:pt>
                <c:pt idx="9">
                  <c:v>0.33271768058315904</c:v>
                </c:pt>
                <c:pt idx="10">
                  <c:v>0.34440916917945769</c:v>
                </c:pt>
                <c:pt idx="11">
                  <c:v>0.36149381008727366</c:v>
                </c:pt>
                <c:pt idx="12">
                  <c:v>0.36778775531196883</c:v>
                </c:pt>
                <c:pt idx="13">
                  <c:v>0.366888612195373</c:v>
                </c:pt>
                <c:pt idx="14">
                  <c:v>0.42260442560130251</c:v>
                </c:pt>
                <c:pt idx="15">
                  <c:v>0.4208071089950039</c:v>
                </c:pt>
                <c:pt idx="16">
                  <c:v>0.4288943796310159</c:v>
                </c:pt>
                <c:pt idx="17">
                  <c:v>0.4297929571827574</c:v>
                </c:pt>
                <c:pt idx="18">
                  <c:v>0.44147310093836961</c:v>
                </c:pt>
                <c:pt idx="19">
                  <c:v>0.39383136677925346</c:v>
                </c:pt>
                <c:pt idx="20">
                  <c:v>0.35876194731301791</c:v>
                </c:pt>
                <c:pt idx="21">
                  <c:v>0.31738089983277246</c:v>
                </c:pt>
                <c:pt idx="22">
                  <c:v>0.30658467851022453</c:v>
                </c:pt>
                <c:pt idx="23">
                  <c:v>0.2192389967186551</c:v>
                </c:pt>
                <c:pt idx="24">
                  <c:v>0.27863477961805871</c:v>
                </c:pt>
                <c:pt idx="25">
                  <c:v>0.19126470882128735</c:v>
                </c:pt>
                <c:pt idx="26">
                  <c:v>0.15702553921124923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A3-4EA8-9A78-10CE8B310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780576"/>
        <c:axId val="1467783456"/>
      </c:lineChart>
      <c:catAx>
        <c:axId val="1467780576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3456"/>
        <c:crosses val="autoZero"/>
        <c:auto val="1"/>
        <c:lblAlgn val="ctr"/>
        <c:lblOffset val="100"/>
        <c:noMultiLvlLbl val="0"/>
      </c:catAx>
      <c:valAx>
        <c:axId val="146778345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7780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H4'!$DT$1</c:f>
              <c:strCache>
                <c:ptCount val="1"/>
                <c:pt idx="0">
                  <c:v>EU-H4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'SATORI H4'!$DT$2:$DT$37</c:f>
              <c:numCache>
                <c:formatCode>0.00000</c:formatCode>
                <c:ptCount val="36"/>
                <c:pt idx="0">
                  <c:v>0.93906994540947353</c:v>
                </c:pt>
                <c:pt idx="1">
                  <c:v>1.0253620802409407</c:v>
                </c:pt>
                <c:pt idx="2">
                  <c:v>0.96780087649226976</c:v>
                </c:pt>
                <c:pt idx="3">
                  <c:v>0.9731969481520969</c:v>
                </c:pt>
                <c:pt idx="4">
                  <c:v>1.0513788153507528</c:v>
                </c:pt>
                <c:pt idx="5">
                  <c:v>1.0702467398790589</c:v>
                </c:pt>
                <c:pt idx="6">
                  <c:v>0.93529397334733977</c:v>
                </c:pt>
                <c:pt idx="7">
                  <c:v>0.78572286399824498</c:v>
                </c:pt>
                <c:pt idx="8">
                  <c:v>0.61784979769741166</c:v>
                </c:pt>
                <c:pt idx="9">
                  <c:v>0.59437816226608187</c:v>
                </c:pt>
                <c:pt idx="10">
                  <c:v>0.64761236569290903</c:v>
                </c:pt>
                <c:pt idx="11">
                  <c:v>0.66565460256945508</c:v>
                </c:pt>
                <c:pt idx="12">
                  <c:v>0.56270798129561317</c:v>
                </c:pt>
                <c:pt idx="13">
                  <c:v>0.24836791426056815</c:v>
                </c:pt>
                <c:pt idx="14">
                  <c:v>0.23296559666477909</c:v>
                </c:pt>
                <c:pt idx="15">
                  <c:v>0.25561093444262484</c:v>
                </c:pt>
                <c:pt idx="16">
                  <c:v>0.18037184637664233</c:v>
                </c:pt>
                <c:pt idx="17">
                  <c:v>0.15407657771152397</c:v>
                </c:pt>
                <c:pt idx="18">
                  <c:v>-7.0389293479596715E-2</c:v>
                </c:pt>
                <c:pt idx="19">
                  <c:v>-0.16043841118016483</c:v>
                </c:pt>
                <c:pt idx="20">
                  <c:v>-0.27882471479548737</c:v>
                </c:pt>
                <c:pt idx="21">
                  <c:v>-0.26789794238195475</c:v>
                </c:pt>
                <c:pt idx="22">
                  <c:v>-0.3225616693548537</c:v>
                </c:pt>
                <c:pt idx="23">
                  <c:v>-0.36813553547705957</c:v>
                </c:pt>
                <c:pt idx="24">
                  <c:v>-0.30528312932300217</c:v>
                </c:pt>
                <c:pt idx="25">
                  <c:v>-0.50059741190808993</c:v>
                </c:pt>
                <c:pt idx="26">
                  <c:v>-4.9946421111902728E-2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BA-47B0-B6BE-3672792658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020432"/>
        <c:axId val="1465044432"/>
      </c:lineChart>
      <c:catAx>
        <c:axId val="1465020432"/>
        <c:scaling>
          <c:orientation val="maxMin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44432"/>
        <c:crosses val="autoZero"/>
        <c:auto val="1"/>
        <c:lblAlgn val="ctr"/>
        <c:lblOffset val="100"/>
        <c:noMultiLvlLbl val="0"/>
      </c:catAx>
      <c:valAx>
        <c:axId val="146504443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5020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(D)'!$DT$1</c:f>
              <c:strCache>
                <c:ptCount val="1"/>
                <c:pt idx="0">
                  <c:v>EU-D1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'SATORI (D)'!$DT$2:$DT$37</c:f>
              <c:numCache>
                <c:formatCode>0.00000</c:formatCode>
                <c:ptCount val="36"/>
                <c:pt idx="0">
                  <c:v>2.0247400259813526</c:v>
                </c:pt>
                <c:pt idx="1">
                  <c:v>2.1559170250828821</c:v>
                </c:pt>
                <c:pt idx="2">
                  <c:v>1.7508688072048406</c:v>
                </c:pt>
                <c:pt idx="3">
                  <c:v>1.2385644349363611</c:v>
                </c:pt>
                <c:pt idx="4">
                  <c:v>0.71537645185339338</c:v>
                </c:pt>
                <c:pt idx="5">
                  <c:v>1.0885954887484866</c:v>
                </c:pt>
                <c:pt idx="6">
                  <c:v>0.91120665241926213</c:v>
                </c:pt>
                <c:pt idx="7">
                  <c:v>0.35596109118216945</c:v>
                </c:pt>
                <c:pt idx="8">
                  <c:v>0.2048012832009381</c:v>
                </c:pt>
                <c:pt idx="9">
                  <c:v>0.2341085330818663</c:v>
                </c:pt>
                <c:pt idx="10">
                  <c:v>0.27713503557648533</c:v>
                </c:pt>
                <c:pt idx="11">
                  <c:v>0.3484897692312201</c:v>
                </c:pt>
                <c:pt idx="12">
                  <c:v>0.53020501504904427</c:v>
                </c:pt>
                <c:pt idx="13">
                  <c:v>0.15716986542253608</c:v>
                </c:pt>
                <c:pt idx="14">
                  <c:v>-0.94742364972393867</c:v>
                </c:pt>
                <c:pt idx="15">
                  <c:v>-0.62781973688528137</c:v>
                </c:pt>
                <c:pt idx="16">
                  <c:v>-0.73508511698385914</c:v>
                </c:pt>
                <c:pt idx="17">
                  <c:v>-0.67132139392171464</c:v>
                </c:pt>
                <c:pt idx="18">
                  <c:v>-0.35627082001379978</c:v>
                </c:pt>
                <c:pt idx="19">
                  <c:v>-0.45309052328446109</c:v>
                </c:pt>
                <c:pt idx="20">
                  <c:v>-0.50567743006724575</c:v>
                </c:pt>
                <c:pt idx="21">
                  <c:v>-0.3785236477029284</c:v>
                </c:pt>
                <c:pt idx="22">
                  <c:v>-3.4186840393792758E-2</c:v>
                </c:pt>
                <c:pt idx="23">
                  <c:v>-0.10861895095763691</c:v>
                </c:pt>
                <c:pt idx="24">
                  <c:v>1.5280864569300945E-2</c:v>
                </c:pt>
                <c:pt idx="25">
                  <c:v>0.41474702420950577</c:v>
                </c:pt>
                <c:pt idx="26">
                  <c:v>3.8551916581003723E-2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7D-4198-9FFA-CD262E2C36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0973008"/>
        <c:axId val="1270967728"/>
      </c:lineChart>
      <c:catAx>
        <c:axId val="1270973008"/>
        <c:scaling>
          <c:orientation val="maxMin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967728"/>
        <c:crosses val="autoZero"/>
        <c:auto val="1"/>
        <c:lblAlgn val="ctr"/>
        <c:lblOffset val="100"/>
        <c:noMultiLvlLbl val="0"/>
      </c:catAx>
      <c:valAx>
        <c:axId val="12709677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0973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'SATORI H4'!$CW$1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H4'!$CU$2:$CU$37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H4'!$CW$2:$CW$37</c:f>
              <c:numCache>
                <c:formatCode>0.00000</c:formatCode>
                <c:ptCount val="36"/>
                <c:pt idx="0">
                  <c:v>-9.5463651807000094</c:v>
                </c:pt>
                <c:pt idx="1">
                  <c:v>-9.8497895011756675</c:v>
                </c:pt>
                <c:pt idx="2">
                  <c:v>-8.9008708341199441</c:v>
                </c:pt>
                <c:pt idx="3">
                  <c:v>-9.5483806664290931</c:v>
                </c:pt>
                <c:pt idx="4">
                  <c:v>-10.322693048075637</c:v>
                </c:pt>
                <c:pt idx="5">
                  <c:v>-10.179873642338684</c:v>
                </c:pt>
                <c:pt idx="6">
                  <c:v>-9.2601926887076349</c:v>
                </c:pt>
                <c:pt idx="7">
                  <c:v>-8.3985955997553638</c:v>
                </c:pt>
                <c:pt idx="8">
                  <c:v>-7.3695742787350893</c:v>
                </c:pt>
                <c:pt idx="9">
                  <c:v>-6.1000156725724146</c:v>
                </c:pt>
                <c:pt idx="10">
                  <c:v>-6.7764822819956603</c:v>
                </c:pt>
                <c:pt idx="11">
                  <c:v>-6.5407797502492153</c:v>
                </c:pt>
                <c:pt idx="12">
                  <c:v>-5.7914428956662487</c:v>
                </c:pt>
                <c:pt idx="13">
                  <c:v>-4.3100717680151819</c:v>
                </c:pt>
                <c:pt idx="14">
                  <c:v>-4.4726523264614899</c:v>
                </c:pt>
                <c:pt idx="15">
                  <c:v>-4.5453809803309184</c:v>
                </c:pt>
                <c:pt idx="16">
                  <c:v>-2.4510065630175015</c:v>
                </c:pt>
                <c:pt idx="17">
                  <c:v>-2.3999001533476632</c:v>
                </c:pt>
                <c:pt idx="18">
                  <c:v>-0.87827882792954326</c:v>
                </c:pt>
                <c:pt idx="19">
                  <c:v>-4.8413582201806749E-2</c:v>
                </c:pt>
                <c:pt idx="20">
                  <c:v>1.0290865828245335</c:v>
                </c:pt>
                <c:pt idx="21">
                  <c:v>1.6791904398016204</c:v>
                </c:pt>
                <c:pt idx="22">
                  <c:v>2.618291650339557</c:v>
                </c:pt>
                <c:pt idx="23">
                  <c:v>3.1475597287292683</c:v>
                </c:pt>
                <c:pt idx="24">
                  <c:v>2.2922615574197294</c:v>
                </c:pt>
                <c:pt idx="25">
                  <c:v>3.3811112781009438</c:v>
                </c:pt>
                <c:pt idx="26">
                  <c:v>0.36330614712414749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1C84-4396-8670-6D4DFF7DB3A5}"/>
            </c:ext>
          </c:extLst>
        </c:ser>
        <c:ser>
          <c:idx val="3"/>
          <c:order val="3"/>
          <c:tx>
            <c:strRef>
              <c:f>'SATORI H4'!$CY$1</c:f>
              <c:strCache>
                <c:ptCount val="1"/>
                <c:pt idx="0">
                  <c:v>CHF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'SATORI H4'!$CU$2:$CU$37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H4'!$CY$2:$CY$37</c:f>
              <c:numCache>
                <c:formatCode>0.00000</c:formatCode>
                <c:ptCount val="36"/>
                <c:pt idx="0">
                  <c:v>0.23238547587741709</c:v>
                </c:pt>
                <c:pt idx="1">
                  <c:v>0.17745407531737539</c:v>
                </c:pt>
                <c:pt idx="2">
                  <c:v>2.9785130959103456E-2</c:v>
                </c:pt>
                <c:pt idx="3">
                  <c:v>0.20855440211381227</c:v>
                </c:pt>
                <c:pt idx="4">
                  <c:v>-3.5478939593201031E-2</c:v>
                </c:pt>
                <c:pt idx="5">
                  <c:v>-0.31851723335415005</c:v>
                </c:pt>
                <c:pt idx="6">
                  <c:v>-1.2423856836819269</c:v>
                </c:pt>
                <c:pt idx="7">
                  <c:v>-2.7027950004602861</c:v>
                </c:pt>
                <c:pt idx="8">
                  <c:v>-2.433607093724516</c:v>
                </c:pt>
                <c:pt idx="9">
                  <c:v>-2.8958506952431273</c:v>
                </c:pt>
                <c:pt idx="10">
                  <c:v>-3.4554988744805777</c:v>
                </c:pt>
                <c:pt idx="11">
                  <c:v>-3.9835710257441534</c:v>
                </c:pt>
                <c:pt idx="12">
                  <c:v>-3.485540057225025</c:v>
                </c:pt>
                <c:pt idx="13">
                  <c:v>-4.0737462891764249</c:v>
                </c:pt>
                <c:pt idx="14">
                  <c:v>-3.6186529816276014</c:v>
                </c:pt>
                <c:pt idx="15">
                  <c:v>-3.0787233837337125</c:v>
                </c:pt>
                <c:pt idx="16">
                  <c:v>-3.3022858954888452</c:v>
                </c:pt>
                <c:pt idx="17">
                  <c:v>-2.698292541096305</c:v>
                </c:pt>
                <c:pt idx="18">
                  <c:v>-3.274577750903874</c:v>
                </c:pt>
                <c:pt idx="19">
                  <c:v>-1.3816922808325671</c:v>
                </c:pt>
                <c:pt idx="20">
                  <c:v>-1.7519924854198305</c:v>
                </c:pt>
                <c:pt idx="21">
                  <c:v>-3.0980259070072549</c:v>
                </c:pt>
                <c:pt idx="22">
                  <c:v>-2.709021208803593</c:v>
                </c:pt>
                <c:pt idx="23">
                  <c:v>-2.7828876005113194</c:v>
                </c:pt>
                <c:pt idx="24">
                  <c:v>-3.2324307986985668</c:v>
                </c:pt>
                <c:pt idx="25">
                  <c:v>-2.9438572727762216</c:v>
                </c:pt>
                <c:pt idx="26">
                  <c:v>-0.27963234013516552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1C84-4396-8670-6D4DFF7DB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'SATORI H4'!$CV$1</c15:sqref>
                        </c15:formulaRef>
                      </c:ext>
                    </c:extLst>
                    <c:strCache>
                      <c:ptCount val="1"/>
                      <c:pt idx="0">
                        <c:v>EUR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H4'!$CV$2:$CV$37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-2.1075866693265084</c:v>
                      </c:pt>
                      <c:pt idx="1">
                        <c:v>-1.6413114517839364</c:v>
                      </c:pt>
                      <c:pt idx="2">
                        <c:v>-1.1543027497273708</c:v>
                      </c:pt>
                      <c:pt idx="3">
                        <c:v>-1.7634590921119642</c:v>
                      </c:pt>
                      <c:pt idx="4">
                        <c:v>-1.9092401289565077</c:v>
                      </c:pt>
                      <c:pt idx="5">
                        <c:v>-1.6135575616354034</c:v>
                      </c:pt>
                      <c:pt idx="6">
                        <c:v>-1.7845931632849268</c:v>
                      </c:pt>
                      <c:pt idx="7">
                        <c:v>-2.1160035154650583</c:v>
                      </c:pt>
                      <c:pt idx="8">
                        <c:v>-2.4336266954478316</c:v>
                      </c:pt>
                      <c:pt idx="9">
                        <c:v>-1.3508526280919537</c:v>
                      </c:pt>
                      <c:pt idx="10">
                        <c:v>-1.5923772709660771</c:v>
                      </c:pt>
                      <c:pt idx="11">
                        <c:v>-1.2307802654316569</c:v>
                      </c:pt>
                      <c:pt idx="12">
                        <c:v>-1.3001097913476751</c:v>
                      </c:pt>
                      <c:pt idx="13">
                        <c:v>-2.3206897185095254</c:v>
                      </c:pt>
                      <c:pt idx="14">
                        <c:v>-2.6013390643724517</c:v>
                      </c:pt>
                      <c:pt idx="15">
                        <c:v>-2.501621262706756</c:v>
                      </c:pt>
                      <c:pt idx="16">
                        <c:v>-1.0076327299462093</c:v>
                      </c:pt>
                      <c:pt idx="17">
                        <c:v>-1.2078026566805082</c:v>
                      </c:pt>
                      <c:pt idx="18">
                        <c:v>-1.4448412065198926</c:v>
                      </c:pt>
                      <c:pt idx="19">
                        <c:v>-1.3480087387054058</c:v>
                      </c:pt>
                      <c:pt idx="20">
                        <c:v>-1.2073724964378778</c:v>
                      </c:pt>
                      <c:pt idx="21">
                        <c:v>-0.46198371553446554</c:v>
                      </c:pt>
                      <c:pt idx="22">
                        <c:v>2.5685754023262355E-2</c:v>
                      </c:pt>
                      <c:pt idx="23">
                        <c:v>0.19245321171722379</c:v>
                      </c:pt>
                      <c:pt idx="24">
                        <c:v>-0.16605744980754714</c:v>
                      </c:pt>
                      <c:pt idx="25">
                        <c:v>-0.63328501821963923</c:v>
                      </c:pt>
                      <c:pt idx="26">
                        <c:v>-3.1846159008364468E-2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C84-4396-8670-6D4DFF7DB3A5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-3.2531731805971296</c:v>
                      </c:pt>
                      <c:pt idx="1">
                        <c:v>-3.3189621652657038</c:v>
                      </c:pt>
                      <c:pt idx="2">
                        <c:v>-3.1506477996201472</c:v>
                      </c:pt>
                      <c:pt idx="3">
                        <c:v>-3.9779995103220864</c:v>
                      </c:pt>
                      <c:pt idx="4">
                        <c:v>-4.8703960259543715</c:v>
                      </c:pt>
                      <c:pt idx="5">
                        <c:v>-4.9369476386517199</c:v>
                      </c:pt>
                      <c:pt idx="6">
                        <c:v>-4.630094057552478</c:v>
                      </c:pt>
                      <c:pt idx="7">
                        <c:v>-3.1726197776698388</c:v>
                      </c:pt>
                      <c:pt idx="8">
                        <c:v>-1.9141396658511201</c:v>
                      </c:pt>
                      <c:pt idx="9">
                        <c:v>-1.8145360238195922</c:v>
                      </c:pt>
                      <c:pt idx="10">
                        <c:v>-2.3804594252077473</c:v>
                      </c:pt>
                      <c:pt idx="11">
                        <c:v>-2.0734215520700023</c:v>
                      </c:pt>
                      <c:pt idx="12">
                        <c:v>-2.2499416498359373</c:v>
                      </c:pt>
                      <c:pt idx="13">
                        <c:v>-2.1174988485775188</c:v>
                      </c:pt>
                      <c:pt idx="14">
                        <c:v>-2.384464508842973</c:v>
                      </c:pt>
                      <c:pt idx="15">
                        <c:v>-1.9347718378751155</c:v>
                      </c:pt>
                      <c:pt idx="16">
                        <c:v>-0.1913544213250753</c:v>
                      </c:pt>
                      <c:pt idx="17">
                        <c:v>-0.59490856420699012</c:v>
                      </c:pt>
                      <c:pt idx="18">
                        <c:v>-4.427647029382753E-2</c:v>
                      </c:pt>
                      <c:pt idx="19">
                        <c:v>-0.99411582448346236</c:v>
                      </c:pt>
                      <c:pt idx="20">
                        <c:v>0.3069796275867811</c:v>
                      </c:pt>
                      <c:pt idx="21">
                        <c:v>0.7951386361047873</c:v>
                      </c:pt>
                      <c:pt idx="22">
                        <c:v>1.3516439655624939</c:v>
                      </c:pt>
                      <c:pt idx="23">
                        <c:v>2.0635999248546728</c:v>
                      </c:pt>
                      <c:pt idx="24">
                        <c:v>2.294649856418765</c:v>
                      </c:pt>
                      <c:pt idx="25">
                        <c:v>2.4629497128162408</c:v>
                      </c:pt>
                      <c:pt idx="26">
                        <c:v>0.42484959675553224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C84-4396-8670-6D4DFF7DB3A5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3.4488555055201524</c:v>
                      </c:pt>
                      <c:pt idx="1">
                        <c:v>2.8439365613163368</c:v>
                      </c:pt>
                      <c:pt idx="2">
                        <c:v>1.8244916633372941</c:v>
                      </c:pt>
                      <c:pt idx="3">
                        <c:v>2.0013815148380996</c:v>
                      </c:pt>
                      <c:pt idx="4">
                        <c:v>1.7342658767355208</c:v>
                      </c:pt>
                      <c:pt idx="5">
                        <c:v>1.8004401636406966</c:v>
                      </c:pt>
                      <c:pt idx="6">
                        <c:v>2.1960657907570411</c:v>
                      </c:pt>
                      <c:pt idx="7">
                        <c:v>3.1883634336775097</c:v>
                      </c:pt>
                      <c:pt idx="8">
                        <c:v>2.6028839765453164</c:v>
                      </c:pt>
                      <c:pt idx="9">
                        <c:v>2.5804674651938955</c:v>
                      </c:pt>
                      <c:pt idx="10">
                        <c:v>2.237267061535448</c:v>
                      </c:pt>
                      <c:pt idx="11">
                        <c:v>2.7993618390556203</c:v>
                      </c:pt>
                      <c:pt idx="12">
                        <c:v>3.0065617697079157</c:v>
                      </c:pt>
                      <c:pt idx="13">
                        <c:v>2.5775074718849993</c:v>
                      </c:pt>
                      <c:pt idx="14">
                        <c:v>3.7215961708773997</c:v>
                      </c:pt>
                      <c:pt idx="15">
                        <c:v>2.4946850972087717</c:v>
                      </c:pt>
                      <c:pt idx="16">
                        <c:v>4.1892299245990019</c:v>
                      </c:pt>
                      <c:pt idx="17">
                        <c:v>4.1205177780064792</c:v>
                      </c:pt>
                      <c:pt idx="18">
                        <c:v>4.1503484268868212</c:v>
                      </c:pt>
                      <c:pt idx="19">
                        <c:v>3.5111007197720405</c:v>
                      </c:pt>
                      <c:pt idx="20">
                        <c:v>3.8600110906009455</c:v>
                      </c:pt>
                      <c:pt idx="21">
                        <c:v>3.7325113827543497</c:v>
                      </c:pt>
                      <c:pt idx="22">
                        <c:v>4.0672066072532873</c:v>
                      </c:pt>
                      <c:pt idx="23">
                        <c:v>3.9673931437827865</c:v>
                      </c:pt>
                      <c:pt idx="24">
                        <c:v>3.0060267711194304</c:v>
                      </c:pt>
                      <c:pt idx="25">
                        <c:v>2.0000627014845049</c:v>
                      </c:pt>
                      <c:pt idx="26">
                        <c:v>0.59890911800119917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C84-4396-8670-6D4DFF7DB3A5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H4'!$DA$1</c15:sqref>
                        </c15:formulaRef>
                      </c:ext>
                    </c:extLst>
                    <c:strCache>
                      <c:ptCount val="1"/>
                      <c:pt idx="0">
                        <c:v>AUD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H4'!$DA$2:$DA$37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3.9782626816654063</c:v>
                      </c:pt>
                      <c:pt idx="1">
                        <c:v>4.3507788429990919</c:v>
                      </c:pt>
                      <c:pt idx="2">
                        <c:v>4.4448199017717638</c:v>
                      </c:pt>
                      <c:pt idx="3">
                        <c:v>4.8184052030666749</c:v>
                      </c:pt>
                      <c:pt idx="4">
                        <c:v>4.7262333266179146</c:v>
                      </c:pt>
                      <c:pt idx="5">
                        <c:v>4.4520019084765137</c:v>
                      </c:pt>
                      <c:pt idx="6">
                        <c:v>4.1489380051972526</c:v>
                      </c:pt>
                      <c:pt idx="7">
                        <c:v>5.6260390950865027</c:v>
                      </c:pt>
                      <c:pt idx="8">
                        <c:v>5.0636998247445666</c:v>
                      </c:pt>
                      <c:pt idx="9">
                        <c:v>5.1407439569429743</c:v>
                      </c:pt>
                      <c:pt idx="10">
                        <c:v>5.4351551449289772</c:v>
                      </c:pt>
                      <c:pt idx="11">
                        <c:v>6.3416436743464253</c:v>
                      </c:pt>
                      <c:pt idx="12">
                        <c:v>5.6675455584498815</c:v>
                      </c:pt>
                      <c:pt idx="13">
                        <c:v>4.3761735815031955</c:v>
                      </c:pt>
                      <c:pt idx="14">
                        <c:v>3.1921143882267855</c:v>
                      </c:pt>
                      <c:pt idx="15">
                        <c:v>2.9946659024803854</c:v>
                      </c:pt>
                      <c:pt idx="16">
                        <c:v>4.1702975416761285</c:v>
                      </c:pt>
                      <c:pt idx="17">
                        <c:v>3.0442289543874721</c:v>
                      </c:pt>
                      <c:pt idx="18">
                        <c:v>2.898083836912706</c:v>
                      </c:pt>
                      <c:pt idx="19">
                        <c:v>0.20666519338609246</c:v>
                      </c:pt>
                      <c:pt idx="20">
                        <c:v>1.9535568886339205</c:v>
                      </c:pt>
                      <c:pt idx="21">
                        <c:v>1.8689574565166636</c:v>
                      </c:pt>
                      <c:pt idx="22">
                        <c:v>1.3157694273691352</c:v>
                      </c:pt>
                      <c:pt idx="23">
                        <c:v>1.4194066614816019</c:v>
                      </c:pt>
                      <c:pt idx="24">
                        <c:v>2.1803630187529786</c:v>
                      </c:pt>
                      <c:pt idx="25">
                        <c:v>1.3238764595622139</c:v>
                      </c:pt>
                      <c:pt idx="26">
                        <c:v>-0.59541035072788562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1C84-4396-8670-6D4DFF7DB3A5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H4'!$DB$1</c15:sqref>
                        </c15:formulaRef>
                      </c:ext>
                    </c:extLst>
                    <c:strCache>
                      <c:ptCount val="1"/>
                      <c:pt idx="0">
                        <c:v>NZD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H4'!$DB$2:$DB$37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8.7537444583377457</c:v>
                      </c:pt>
                      <c:pt idx="1">
                        <c:v>8.7559834118718811</c:v>
                      </c:pt>
                      <c:pt idx="2">
                        <c:v>8.7250347996840762</c:v>
                      </c:pt>
                      <c:pt idx="3">
                        <c:v>8.6231593783004925</c:v>
                      </c:pt>
                      <c:pt idx="4">
                        <c:v>10.490457226163695</c:v>
                      </c:pt>
                      <c:pt idx="5">
                        <c:v>9.4220789387982418</c:v>
                      </c:pt>
                      <c:pt idx="6">
                        <c:v>9.2136947499946071</c:v>
                      </c:pt>
                      <c:pt idx="7">
                        <c:v>10.017338876188578</c:v>
                      </c:pt>
                      <c:pt idx="8">
                        <c:v>9.9591205658233619</c:v>
                      </c:pt>
                      <c:pt idx="9">
                        <c:v>8.9542381879186372</c:v>
                      </c:pt>
                      <c:pt idx="10">
                        <c:v>8.0435809129568607</c:v>
                      </c:pt>
                      <c:pt idx="11">
                        <c:v>7.9252023809434498</c:v>
                      </c:pt>
                      <c:pt idx="12">
                        <c:v>6.0265574560047837</c:v>
                      </c:pt>
                      <c:pt idx="13">
                        <c:v>4.812911542859351</c:v>
                      </c:pt>
                      <c:pt idx="14">
                        <c:v>4.4168065998507178</c:v>
                      </c:pt>
                      <c:pt idx="15">
                        <c:v>5.4896307410608083</c:v>
                      </c:pt>
                      <c:pt idx="16">
                        <c:v>4.3076611060548693</c:v>
                      </c:pt>
                      <c:pt idx="17">
                        <c:v>4.2193125507078291</c:v>
                      </c:pt>
                      <c:pt idx="18">
                        <c:v>3.9577547674657194</c:v>
                      </c:pt>
                      <c:pt idx="19">
                        <c:v>2.4708635530193859</c:v>
                      </c:pt>
                      <c:pt idx="20">
                        <c:v>2.9025474223680878</c:v>
                      </c:pt>
                      <c:pt idx="21">
                        <c:v>2.9989310712346473</c:v>
                      </c:pt>
                      <c:pt idx="22">
                        <c:v>0.41720099439121783</c:v>
                      </c:pt>
                      <c:pt idx="23">
                        <c:v>0.39038946366338911</c:v>
                      </c:pt>
                      <c:pt idx="24">
                        <c:v>1.731414545573488</c:v>
                      </c:pt>
                      <c:pt idx="25">
                        <c:v>0.9528184617277512</c:v>
                      </c:pt>
                      <c:pt idx="26">
                        <c:v>-0.37364221362957756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1C84-4396-8670-6D4DFF7DB3A5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H4'!$DC$1</c15:sqref>
                        </c15:formulaRef>
                      </c:ext>
                    </c:extLst>
                    <c:strCache>
                      <c:ptCount val="1"/>
                      <c:pt idx="0">
                        <c:v>JPY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H4'!$DC$2:$DC$37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-2.0035606874134038</c:v>
                      </c:pt>
                      <c:pt idx="1">
                        <c:v>-1.8171196758932138</c:v>
                      </c:pt>
                      <c:pt idx="2">
                        <c:v>-2.2727753165061335</c:v>
                      </c:pt>
                      <c:pt idx="3">
                        <c:v>-0.95797944845231386</c:v>
                      </c:pt>
                      <c:pt idx="4">
                        <c:v>-0.50199558080258022</c:v>
                      </c:pt>
                      <c:pt idx="5">
                        <c:v>0.71104651950474318</c:v>
                      </c:pt>
                      <c:pt idx="6">
                        <c:v>0.87514043128589747</c:v>
                      </c:pt>
                      <c:pt idx="7">
                        <c:v>-2.5097690243821207</c:v>
                      </c:pt>
                      <c:pt idx="8">
                        <c:v>-3.4003119198033076</c:v>
                      </c:pt>
                      <c:pt idx="9">
                        <c:v>-4.3574922204874804</c:v>
                      </c:pt>
                      <c:pt idx="10">
                        <c:v>-1.3560647999596391</c:v>
                      </c:pt>
                      <c:pt idx="11">
                        <c:v>-2.9703457242831721</c:v>
                      </c:pt>
                      <c:pt idx="12">
                        <c:v>-1.6964693213253579</c:v>
                      </c:pt>
                      <c:pt idx="13">
                        <c:v>1.3368487361014452</c:v>
                      </c:pt>
                      <c:pt idx="14">
                        <c:v>1.9236439476984164</c:v>
                      </c:pt>
                      <c:pt idx="15">
                        <c:v>1.2459139260568488</c:v>
                      </c:pt>
                      <c:pt idx="16">
                        <c:v>-5.2697492341850181</c:v>
                      </c:pt>
                      <c:pt idx="17">
                        <c:v>-4.1864831206445805</c:v>
                      </c:pt>
                      <c:pt idx="18">
                        <c:v>-4.9003771025883607</c:v>
                      </c:pt>
                      <c:pt idx="19">
                        <c:v>-2.3610950281282572</c:v>
                      </c:pt>
                      <c:pt idx="20">
                        <c:v>-6.7974052018547537</c:v>
                      </c:pt>
                      <c:pt idx="21">
                        <c:v>-6.9593425976135972</c:v>
                      </c:pt>
                      <c:pt idx="22">
                        <c:v>-6.5061980170487663</c:v>
                      </c:pt>
                      <c:pt idx="23">
                        <c:v>-7.7087679780490177</c:v>
                      </c:pt>
                      <c:pt idx="24">
                        <c:v>-7.3149118159050133</c:v>
                      </c:pt>
                      <c:pt idx="25">
                        <c:v>-5.7712261893254873</c:v>
                      </c:pt>
                      <c:pt idx="26">
                        <c:v>-5.1396285446552517E-3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1C84-4396-8670-6D4DFF7DB3A5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H4'!$BO$1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H4'!$BO$2:$BO$37</c:f>
              <c:numCache>
                <c:formatCode>0.00000</c:formatCode>
                <c:ptCount val="36"/>
                <c:pt idx="0">
                  <c:v>1.6938244435219778</c:v>
                </c:pt>
                <c:pt idx="1">
                  <c:v>1.776872299849187</c:v>
                </c:pt>
                <c:pt idx="2">
                  <c:v>1.6684961604151172</c:v>
                </c:pt>
                <c:pt idx="3">
                  <c:v>1.7960093565482182</c:v>
                </c:pt>
                <c:pt idx="4">
                  <c:v>1.8819327365962033</c:v>
                </c:pt>
                <c:pt idx="5">
                  <c:v>1.8300555225508242</c:v>
                </c:pt>
                <c:pt idx="6">
                  <c:v>1.6771548634450737</c:v>
                </c:pt>
                <c:pt idx="7">
                  <c:v>1.7542878882463027</c:v>
                </c:pt>
                <c:pt idx="8">
                  <c:v>1.5551261510803434</c:v>
                </c:pt>
                <c:pt idx="9">
                  <c:v>1.4062767568973775</c:v>
                </c:pt>
                <c:pt idx="10">
                  <c:v>1.5281844638431499</c:v>
                </c:pt>
                <c:pt idx="11">
                  <c:v>1.6113692529102928</c:v>
                </c:pt>
                <c:pt idx="12">
                  <c:v>1.4327978243388673</c:v>
                </c:pt>
                <c:pt idx="13">
                  <c:v>1.0863637065512688</c:v>
                </c:pt>
                <c:pt idx="14">
                  <c:v>0.95927610581565315</c:v>
                </c:pt>
                <c:pt idx="15">
                  <c:v>0.9428267697706636</c:v>
                </c:pt>
                <c:pt idx="16">
                  <c:v>0.82754868009330185</c:v>
                </c:pt>
                <c:pt idx="17">
                  <c:v>0.68662125771581861</c:v>
                </c:pt>
                <c:pt idx="18">
                  <c:v>0.47177105188030033</c:v>
                </c:pt>
                <c:pt idx="19">
                  <c:v>3.1122755619786335E-2</c:v>
                </c:pt>
                <c:pt idx="20">
                  <c:v>0.11706579197217681</c:v>
                </c:pt>
                <c:pt idx="21">
                  <c:v>2.5006995075011085E-2</c:v>
                </c:pt>
                <c:pt idx="22">
                  <c:v>-0.16096497305271282</c:v>
                </c:pt>
                <c:pt idx="23">
                  <c:v>-0.21391184464899632</c:v>
                </c:pt>
                <c:pt idx="24">
                  <c:v>-1.1611050542892909E-2</c:v>
                </c:pt>
                <c:pt idx="25">
                  <c:v>-0.25678327646455201</c:v>
                </c:pt>
                <c:pt idx="26">
                  <c:v>-0.11925248316880542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CC-4913-A265-C33880CFEBE6}"/>
            </c:ext>
          </c:extLst>
        </c:ser>
        <c:ser>
          <c:idx val="1"/>
          <c:order val="1"/>
          <c:tx>
            <c:strRef>
              <c:f>'SATORI H4'!$BP$1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H4'!$BP$2:$BP$37</c:f>
              <c:numCache>
                <c:formatCode>0.00000</c:formatCode>
                <c:ptCount val="36"/>
                <c:pt idx="0">
                  <c:v>-0.59790096858056596</c:v>
                </c:pt>
                <c:pt idx="1">
                  <c:v>-0.54777062969947055</c:v>
                </c:pt>
                <c:pt idx="2">
                  <c:v>-0.53136702819762327</c:v>
                </c:pt>
                <c:pt idx="3">
                  <c:v>-0.47398736610008629</c:v>
                </c:pt>
                <c:pt idx="4">
                  <c:v>-0.71776064781799875</c:v>
                </c:pt>
                <c:pt idx="5">
                  <c:v>-0.62745442763501025</c:v>
                </c:pt>
                <c:pt idx="6">
                  <c:v>-0.63475243254292579</c:v>
                </c:pt>
                <c:pt idx="7">
                  <c:v>-0.54816366538467753</c:v>
                </c:pt>
                <c:pt idx="8">
                  <c:v>-0.61018143165066197</c:v>
                </c:pt>
                <c:pt idx="9">
                  <c:v>-0.47629311454482814</c:v>
                </c:pt>
                <c:pt idx="10">
                  <c:v>-0.32623581994144057</c:v>
                </c:pt>
                <c:pt idx="11">
                  <c:v>-0.20633392149471624</c:v>
                </c:pt>
                <c:pt idx="12">
                  <c:v>-4.5814455108576367E-2</c:v>
                </c:pt>
                <c:pt idx="13">
                  <c:v>-5.3070098638816982E-2</c:v>
                </c:pt>
                <c:pt idx="14">
                  <c:v>-0.15111732471937633</c:v>
                </c:pt>
                <c:pt idx="15">
                  <c:v>-0.31115369662208003</c:v>
                </c:pt>
                <c:pt idx="16">
                  <c:v>-1.5598805913923264E-2</c:v>
                </c:pt>
                <c:pt idx="17">
                  <c:v>-0.15632111993349182</c:v>
                </c:pt>
                <c:pt idx="18">
                  <c:v>-0.13272165727510971</c:v>
                </c:pt>
                <c:pt idx="19">
                  <c:v>-0.28544337648533169</c:v>
                </c:pt>
                <c:pt idx="20">
                  <c:v>-0.12117419283963685</c:v>
                </c:pt>
                <c:pt idx="21">
                  <c:v>-0.13932877914199945</c:v>
                </c:pt>
                <c:pt idx="22">
                  <c:v>0.10877198236434926</c:v>
                </c:pt>
                <c:pt idx="23">
                  <c:v>0.12144705683041437</c:v>
                </c:pt>
                <c:pt idx="24">
                  <c:v>5.1685514466137963E-2</c:v>
                </c:pt>
                <c:pt idx="25">
                  <c:v>4.7155338967129576E-2</c:v>
                </c:pt>
                <c:pt idx="26">
                  <c:v>-2.6287402895231238E-2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CC-4913-A265-C33880CFEBE6}"/>
            </c:ext>
          </c:extLst>
        </c:ser>
        <c:ser>
          <c:idx val="2"/>
          <c:order val="2"/>
          <c:tx>
            <c:strRef>
              <c:f>'SATORI H4'!$BQ$1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H4'!$BQ$2:$BQ$37</c:f>
              <c:numCache>
                <c:formatCode>0.00000</c:formatCode>
                <c:ptCount val="36"/>
                <c:pt idx="0">
                  <c:v>0.75002672491396649</c:v>
                </c:pt>
                <c:pt idx="1">
                  <c:v>0.77342496292490892</c:v>
                </c:pt>
                <c:pt idx="2">
                  <c:v>0.84153862123832635</c:v>
                </c:pt>
                <c:pt idx="3">
                  <c:v>0.72449027518235198</c:v>
                </c:pt>
                <c:pt idx="4">
                  <c:v>0.65523114418074468</c:v>
                </c:pt>
                <c:pt idx="5">
                  <c:v>0.47156142315463634</c:v>
                </c:pt>
                <c:pt idx="6">
                  <c:v>0.41234391110694313</c:v>
                </c:pt>
                <c:pt idx="7">
                  <c:v>1.019191752636442</c:v>
                </c:pt>
                <c:pt idx="8">
                  <c:v>1.0597671112211657</c:v>
                </c:pt>
                <c:pt idx="9">
                  <c:v>1.1894398900682936</c:v>
                </c:pt>
                <c:pt idx="10">
                  <c:v>0.85094613644702211</c:v>
                </c:pt>
                <c:pt idx="11">
                  <c:v>1.1691109133770432</c:v>
                </c:pt>
                <c:pt idx="12">
                  <c:v>0.92329836068478188</c:v>
                </c:pt>
                <c:pt idx="13">
                  <c:v>0.38100787272547743</c:v>
                </c:pt>
                <c:pt idx="14">
                  <c:v>0.15890165068065398</c:v>
                </c:pt>
                <c:pt idx="15">
                  <c:v>0.22027581829350806</c:v>
                </c:pt>
                <c:pt idx="16">
                  <c:v>1.1816779052147908</c:v>
                </c:pt>
                <c:pt idx="17">
                  <c:v>0.90332445728924859</c:v>
                </c:pt>
                <c:pt idx="18">
                  <c:v>0.97641496770463476</c:v>
                </c:pt>
                <c:pt idx="19">
                  <c:v>0.32247292331831778</c:v>
                </c:pt>
                <c:pt idx="20">
                  <c:v>1.0940512623464027</c:v>
                </c:pt>
                <c:pt idx="21">
                  <c:v>1.1031755349391157</c:v>
                </c:pt>
                <c:pt idx="22">
                  <c:v>0.97832145180456309</c:v>
                </c:pt>
                <c:pt idx="23">
                  <c:v>1.1435051807005652</c:v>
                </c:pt>
                <c:pt idx="24">
                  <c:v>1.1870622759487961</c:v>
                </c:pt>
                <c:pt idx="25">
                  <c:v>0.88734472164403755</c:v>
                </c:pt>
                <c:pt idx="26">
                  <c:v>-7.482498129376236E-2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BCC-4913-A265-C33880CFEBE6}"/>
            </c:ext>
          </c:extLst>
        </c:ser>
        <c:ser>
          <c:idx val="3"/>
          <c:order val="3"/>
          <c:tx>
            <c:strRef>
              <c:f>'SATORI H4'!$BR$1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H4'!$BR$2:$BR$37</c:f>
              <c:numCache>
                <c:formatCode>0.00000</c:formatCode>
                <c:ptCount val="36"/>
                <c:pt idx="0">
                  <c:v>0.40938691625203161</c:v>
                </c:pt>
                <c:pt idx="1">
                  <c:v>0.45801068980416276</c:v>
                </c:pt>
                <c:pt idx="2">
                  <c:v>0.4944652257900049</c:v>
                </c:pt>
                <c:pt idx="3">
                  <c:v>0.50314412391709773</c:v>
                </c:pt>
                <c:pt idx="4">
                  <c:v>0.50835119164368769</c:v>
                </c:pt>
                <c:pt idx="5">
                  <c:v>0.51355798824885179</c:v>
                </c:pt>
                <c:pt idx="6">
                  <c:v>0.61238935073455947</c:v>
                </c:pt>
                <c:pt idx="7">
                  <c:v>1.031955281290343</c:v>
                </c:pt>
                <c:pt idx="8">
                  <c:v>0.94727981298316288</c:v>
                </c:pt>
                <c:pt idx="9">
                  <c:v>1.0249825740212826</c:v>
                </c:pt>
                <c:pt idx="10">
                  <c:v>1.1319252217142459</c:v>
                </c:pt>
                <c:pt idx="11">
                  <c:v>1.3247394486497064</c:v>
                </c:pt>
                <c:pt idx="12">
                  <c:v>1.1678320757274414</c:v>
                </c:pt>
                <c:pt idx="13">
                  <c:v>1.0919071723591371</c:v>
                </c:pt>
                <c:pt idx="14">
                  <c:v>0.87401210785527417</c:v>
                </c:pt>
                <c:pt idx="15">
                  <c:v>0.7805412223051833</c:v>
                </c:pt>
                <c:pt idx="16">
                  <c:v>0.98782374838823084</c:v>
                </c:pt>
                <c:pt idx="17">
                  <c:v>0.75235037765618085</c:v>
                </c:pt>
                <c:pt idx="18">
                  <c:v>0.83020370199314064</c:v>
                </c:pt>
                <c:pt idx="19">
                  <c:v>0.20522546307388606</c:v>
                </c:pt>
                <c:pt idx="20">
                  <c:v>0.50030287750142277</c:v>
                </c:pt>
                <c:pt idx="21">
                  <c:v>0.68741306461162388</c:v>
                </c:pt>
                <c:pt idx="22">
                  <c:v>0.57640987326985815</c:v>
                </c:pt>
                <c:pt idx="23">
                  <c:v>0.61108634181831656</c:v>
                </c:pt>
                <c:pt idx="24">
                  <c:v>0.77552870909599836</c:v>
                </c:pt>
                <c:pt idx="25">
                  <c:v>0.62991531266353484</c:v>
                </c:pt>
                <c:pt idx="26">
                  <c:v>-2.7910546697822624E-2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BCC-4913-A265-C33880CFEBE6}"/>
            </c:ext>
          </c:extLst>
        </c:ser>
        <c:ser>
          <c:idx val="4"/>
          <c:order val="4"/>
          <c:tx>
            <c:strRef>
              <c:f>'SATORI H4'!$BS$1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H4'!$BS$2:$BS$37</c:f>
              <c:numCache>
                <c:formatCode>0.00000</c:formatCode>
                <c:ptCount val="36"/>
                <c:pt idx="0">
                  <c:v>0.90582826259788529</c:v>
                </c:pt>
                <c:pt idx="1">
                  <c:v>0.95817743155482005</c:v>
                </c:pt>
                <c:pt idx="2">
                  <c:v>0.94945180876349666</c:v>
                </c:pt>
                <c:pt idx="3">
                  <c:v>1.0997425887508685</c:v>
                </c:pt>
                <c:pt idx="4">
                  <c:v>1.1998361544753418</c:v>
                </c:pt>
                <c:pt idx="5">
                  <c:v>1.1704522372726913</c:v>
                </c:pt>
                <c:pt idx="6">
                  <c:v>1.0985732553404544</c:v>
                </c:pt>
                <c:pt idx="7">
                  <c:v>1.100751358865717</c:v>
                </c:pt>
                <c:pt idx="8">
                  <c:v>0.87043218670487066</c:v>
                </c:pt>
                <c:pt idx="9">
                  <c:v>0.87043218670487077</c:v>
                </c:pt>
                <c:pt idx="10">
                  <c:v>0.97729076265078541</c:v>
                </c:pt>
                <c:pt idx="11">
                  <c:v>1.0481161508283856</c:v>
                </c:pt>
                <c:pt idx="12">
                  <c:v>0.99033284911233921</c:v>
                </c:pt>
                <c:pt idx="13">
                  <c:v>0.8123055661581764</c:v>
                </c:pt>
                <c:pt idx="14">
                  <c:v>0.69749374819504772</c:v>
                </c:pt>
                <c:pt idx="15">
                  <c:v>0.6165132272933106</c:v>
                </c:pt>
                <c:pt idx="16">
                  <c:v>0.54642693354413474</c:v>
                </c:pt>
                <c:pt idx="17">
                  <c:v>0.45106252091219468</c:v>
                </c:pt>
                <c:pt idx="18">
                  <c:v>0.36878417876593361</c:v>
                </c:pt>
                <c:pt idx="19">
                  <c:v>0.14999466746913329</c:v>
                </c:pt>
                <c:pt idx="20">
                  <c:v>0.20603492855082137</c:v>
                </c:pt>
                <c:pt idx="21">
                  <c:v>0.13456001624504854</c:v>
                </c:pt>
                <c:pt idx="22">
                  <c:v>-3.0809280819515811E-3</c:v>
                </c:pt>
                <c:pt idx="23">
                  <c:v>-8.3527904708248751E-2</c:v>
                </c:pt>
                <c:pt idx="24">
                  <c:v>-1.4149229290322696E-2</c:v>
                </c:pt>
                <c:pt idx="25">
                  <c:v>-0.14316156816273329</c:v>
                </c:pt>
                <c:pt idx="26">
                  <c:v>-0.12772657703784998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BCC-4913-A265-C33880CFEBE6}"/>
            </c:ext>
          </c:extLst>
        </c:ser>
        <c:ser>
          <c:idx val="5"/>
          <c:order val="5"/>
          <c:tx>
            <c:strRef>
              <c:f>'SATORI H4'!$BT$1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H4'!$BT$2:$BT$37</c:f>
              <c:numCache>
                <c:formatCode>0.00000</c:formatCode>
                <c:ptCount val="36"/>
                <c:pt idx="0">
                  <c:v>0.93906994540947353</c:v>
                </c:pt>
                <c:pt idx="1">
                  <c:v>1.0253620802409407</c:v>
                </c:pt>
                <c:pt idx="2">
                  <c:v>0.96780087649226976</c:v>
                </c:pt>
                <c:pt idx="3">
                  <c:v>0.9731969481520969</c:v>
                </c:pt>
                <c:pt idx="4">
                  <c:v>1.0513788153507528</c:v>
                </c:pt>
                <c:pt idx="5">
                  <c:v>1.0702467398790589</c:v>
                </c:pt>
                <c:pt idx="6">
                  <c:v>0.93529397334733977</c:v>
                </c:pt>
                <c:pt idx="7">
                  <c:v>0.78572286399824498</c:v>
                </c:pt>
                <c:pt idx="8">
                  <c:v>0.61784979769741166</c:v>
                </c:pt>
                <c:pt idx="9">
                  <c:v>0.59437816226608187</c:v>
                </c:pt>
                <c:pt idx="10">
                  <c:v>0.64761236569290903</c:v>
                </c:pt>
                <c:pt idx="11">
                  <c:v>0.66565460256945508</c:v>
                </c:pt>
                <c:pt idx="12">
                  <c:v>0.56270798129561317</c:v>
                </c:pt>
                <c:pt idx="13">
                  <c:v>0.24836791426056815</c:v>
                </c:pt>
                <c:pt idx="14">
                  <c:v>0.23296559666477909</c:v>
                </c:pt>
                <c:pt idx="15">
                  <c:v>0.25561093444262484</c:v>
                </c:pt>
                <c:pt idx="16">
                  <c:v>0.18037184637664233</c:v>
                </c:pt>
                <c:pt idx="17">
                  <c:v>0.15407657771152397</c:v>
                </c:pt>
                <c:pt idx="18">
                  <c:v>-7.0389293479596715E-2</c:v>
                </c:pt>
                <c:pt idx="19">
                  <c:v>-0.16043841118016483</c:v>
                </c:pt>
                <c:pt idx="20">
                  <c:v>-0.27882471479548737</c:v>
                </c:pt>
                <c:pt idx="21">
                  <c:v>-0.26789794238195475</c:v>
                </c:pt>
                <c:pt idx="22">
                  <c:v>-0.3225616693548537</c:v>
                </c:pt>
                <c:pt idx="23">
                  <c:v>-0.36813553547705957</c:v>
                </c:pt>
                <c:pt idx="24">
                  <c:v>-0.30528312932300217</c:v>
                </c:pt>
                <c:pt idx="25">
                  <c:v>-0.50059741190808993</c:v>
                </c:pt>
                <c:pt idx="26">
                  <c:v>-4.9946421111902728E-2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BCC-4913-A265-C33880CFEBE6}"/>
            </c:ext>
          </c:extLst>
        </c:ser>
        <c:ser>
          <c:idx val="6"/>
          <c:order val="6"/>
          <c:tx>
            <c:strRef>
              <c:f>'SATORI H4'!$BU$1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H4'!$BU$2:$BU$37</c:f>
              <c:numCache>
                <c:formatCode>0.00000</c:formatCode>
                <c:ptCount val="36"/>
                <c:pt idx="0">
                  <c:v>0.14529518320417717</c:v>
                </c:pt>
                <c:pt idx="1">
                  <c:v>0.21007657904494606</c:v>
                </c:pt>
                <c:pt idx="2">
                  <c:v>0.24972293356264372</c:v>
                </c:pt>
                <c:pt idx="3">
                  <c:v>0.27878847636165505</c:v>
                </c:pt>
                <c:pt idx="4">
                  <c:v>0.37052493533433878</c:v>
                </c:pt>
                <c:pt idx="5">
                  <c:v>0.41538307147878317</c:v>
                </c:pt>
                <c:pt idx="6">
                  <c:v>0.35663719689132056</c:v>
                </c:pt>
                <c:pt idx="7">
                  <c:v>0.13237300176162409</c:v>
                </c:pt>
                <c:pt idx="8">
                  <c:v>-6.4493049781482029E-2</c:v>
                </c:pt>
                <c:pt idx="9">
                  <c:v>5.930619683059183E-2</c:v>
                </c:pt>
                <c:pt idx="10">
                  <c:v>9.9673606434064671E-2</c:v>
                </c:pt>
                <c:pt idx="11">
                  <c:v>0.10629077666738534</c:v>
                </c:pt>
                <c:pt idx="12">
                  <c:v>0.12018490342152184</c:v>
                </c:pt>
                <c:pt idx="13">
                  <c:v>-2.4921242718266189E-2</c:v>
                </c:pt>
                <c:pt idx="14">
                  <c:v>-2.6909037657338576E-2</c:v>
                </c:pt>
                <c:pt idx="15">
                  <c:v>-6.9996485289520238E-2</c:v>
                </c:pt>
                <c:pt idx="16">
                  <c:v>-0.10182503549904587</c:v>
                </c:pt>
                <c:pt idx="17">
                  <c:v>-7.0669289915540473E-2</c:v>
                </c:pt>
                <c:pt idx="18">
                  <c:v>-0.17352264094408476</c:v>
                </c:pt>
                <c:pt idx="19">
                  <c:v>-4.2308178194406659E-2</c:v>
                </c:pt>
                <c:pt idx="20">
                  <c:v>-0.18831489450335551</c:v>
                </c:pt>
                <c:pt idx="21">
                  <c:v>-0.15713227715387998</c:v>
                </c:pt>
                <c:pt idx="22">
                  <c:v>-0.16376731679824114</c:v>
                </c:pt>
                <c:pt idx="23">
                  <c:v>-0.23348380308733185</c:v>
                </c:pt>
                <c:pt idx="24">
                  <c:v>-0.30657350408401629</c:v>
                </c:pt>
                <c:pt idx="25">
                  <c:v>-0.3877023926182433</c:v>
                </c:pt>
                <c:pt idx="26">
                  <c:v>-5.7630015301757806E-2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BCC-4913-A265-C33880CFEBE6}"/>
            </c:ext>
          </c:extLst>
        </c:ser>
        <c:ser>
          <c:idx val="7"/>
          <c:order val="7"/>
          <c:tx>
            <c:strRef>
              <c:f>'SATORI H4'!$BV$1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H4'!$BV$2:$BV$37</c:f>
              <c:numCache>
                <c:formatCode>0.00000</c:formatCode>
                <c:ptCount val="36"/>
                <c:pt idx="0">
                  <c:v>-0.69242556522357679</c:v>
                </c:pt>
                <c:pt idx="1">
                  <c:v>-0.56109194264357365</c:v>
                </c:pt>
                <c:pt idx="2">
                  <c:v>-0.37265561305555855</c:v>
                </c:pt>
                <c:pt idx="3">
                  <c:v>-0.4710669725382034</c:v>
                </c:pt>
                <c:pt idx="4">
                  <c:v>-0.45583896237058241</c:v>
                </c:pt>
                <c:pt idx="5">
                  <c:v>-0.4230509253200937</c:v>
                </c:pt>
                <c:pt idx="6">
                  <c:v>-0.49570575628042124</c:v>
                </c:pt>
                <c:pt idx="7">
                  <c:v>-0.66356189300687929</c:v>
                </c:pt>
                <c:pt idx="8">
                  <c:v>-0.62835971516548073</c:v>
                </c:pt>
                <c:pt idx="9">
                  <c:v>-0.49125944448033043</c:v>
                </c:pt>
                <c:pt idx="10">
                  <c:v>-0.47954284557466192</c:v>
                </c:pt>
                <c:pt idx="11">
                  <c:v>-0.5100152855966873</c:v>
                </c:pt>
                <c:pt idx="12">
                  <c:v>-0.53815160606937962</c:v>
                </c:pt>
                <c:pt idx="13">
                  <c:v>-0.61206403743640991</c:v>
                </c:pt>
                <c:pt idx="14">
                  <c:v>-0.79071102159323914</c:v>
                </c:pt>
                <c:pt idx="15">
                  <c:v>-0.62409520013030806</c:v>
                </c:pt>
                <c:pt idx="16">
                  <c:v>-0.65108955478918906</c:v>
                </c:pt>
                <c:pt idx="17">
                  <c:v>-0.68631198443238184</c:v>
                </c:pt>
                <c:pt idx="18">
                  <c:v>-0.70040294156064586</c:v>
                </c:pt>
                <c:pt idx="19">
                  <c:v>-0.60889553298006627</c:v>
                </c:pt>
                <c:pt idx="20">
                  <c:v>-0.63353821410376465</c:v>
                </c:pt>
                <c:pt idx="21">
                  <c:v>-0.52569622606016819</c:v>
                </c:pt>
                <c:pt idx="22">
                  <c:v>-0.50577287237376134</c:v>
                </c:pt>
                <c:pt idx="23">
                  <c:v>-0.47765369392242302</c:v>
                </c:pt>
                <c:pt idx="24">
                  <c:v>-0.3968763584038128</c:v>
                </c:pt>
                <c:pt idx="25">
                  <c:v>-0.32902264165798056</c:v>
                </c:pt>
                <c:pt idx="26">
                  <c:v>-7.929104477612102E-2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BCC-4913-A265-C33880CFEBE6}"/>
            </c:ext>
          </c:extLst>
        </c:ser>
        <c:ser>
          <c:idx val="8"/>
          <c:order val="8"/>
          <c:tx>
            <c:strRef>
              <c:f>'SATORI H4'!$BW$1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H4'!$BW$2:$BW$37</c:f>
              <c:numCache>
                <c:formatCode>0.00000</c:formatCode>
                <c:ptCount val="36"/>
                <c:pt idx="0">
                  <c:v>-0.37890411178100092</c:v>
                </c:pt>
                <c:pt idx="1">
                  <c:v>-0.29364723597185222</c:v>
                </c:pt>
                <c:pt idx="2">
                  <c:v>-0.20846298559325804</c:v>
                </c:pt>
                <c:pt idx="3">
                  <c:v>-0.32744166419288567</c:v>
                </c:pt>
                <c:pt idx="4">
                  <c:v>-0.32428303798471386</c:v>
                </c:pt>
                <c:pt idx="5">
                  <c:v>-0.24643091493626942</c:v>
                </c:pt>
                <c:pt idx="6">
                  <c:v>-0.1308385566419934</c:v>
                </c:pt>
                <c:pt idx="7">
                  <c:v>6.2142795486040493E-2</c:v>
                </c:pt>
                <c:pt idx="8">
                  <c:v>3.3748240304833366E-3</c:v>
                </c:pt>
                <c:pt idx="9">
                  <c:v>0.20655022514481169</c:v>
                </c:pt>
                <c:pt idx="10">
                  <c:v>0.24842451851610647</c:v>
                </c:pt>
                <c:pt idx="11">
                  <c:v>0.38015478511307854</c:v>
                </c:pt>
                <c:pt idx="12">
                  <c:v>0.29121008778664975</c:v>
                </c:pt>
                <c:pt idx="13">
                  <c:v>0.25038350654175295</c:v>
                </c:pt>
                <c:pt idx="14">
                  <c:v>0.14559026361005703</c:v>
                </c:pt>
                <c:pt idx="15">
                  <c:v>8.8969871880829943E-2</c:v>
                </c:pt>
                <c:pt idx="16">
                  <c:v>0.34102764645123596</c:v>
                </c:pt>
                <c:pt idx="17">
                  <c:v>0.22584801858614381</c:v>
                </c:pt>
                <c:pt idx="18">
                  <c:v>0.28340468574116373</c:v>
                </c:pt>
                <c:pt idx="19">
                  <c:v>9.5240808952608003E-3</c:v>
                </c:pt>
                <c:pt idx="20">
                  <c:v>0.103876560792942</c:v>
                </c:pt>
                <c:pt idx="21">
                  <c:v>0.39864289053403307</c:v>
                </c:pt>
                <c:pt idx="22">
                  <c:v>0.41222956305341651</c:v>
                </c:pt>
                <c:pt idx="23">
                  <c:v>0.46028237936630467</c:v>
                </c:pt>
                <c:pt idx="24">
                  <c:v>0.48221472330722642</c:v>
                </c:pt>
                <c:pt idx="25">
                  <c:v>0.38394489946111898</c:v>
                </c:pt>
                <c:pt idx="26">
                  <c:v>4.4076441142206962E-2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BCC-4913-A265-C33880CFEBE6}"/>
            </c:ext>
          </c:extLst>
        </c:ser>
        <c:ser>
          <c:idx val="9"/>
          <c:order val="9"/>
          <c:tx>
            <c:strRef>
              <c:f>'SATORI H4'!$BX$1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H4'!$BX$2:$BX$37</c:f>
              <c:numCache>
                <c:formatCode>0.00000</c:formatCode>
                <c:ptCount val="36"/>
                <c:pt idx="0">
                  <c:v>-1.2346820695257037E-2</c:v>
                </c:pt>
                <c:pt idx="1">
                  <c:v>1.9717505275609074E-2</c:v>
                </c:pt>
                <c:pt idx="2">
                  <c:v>0.13735369534120356</c:v>
                </c:pt>
                <c:pt idx="3">
                  <c:v>-0.10342420248254375</c:v>
                </c:pt>
                <c:pt idx="4">
                  <c:v>-0.17818293566181698</c:v>
                </c:pt>
                <c:pt idx="5">
                  <c:v>-0.2876604742109124</c:v>
                </c:pt>
                <c:pt idx="6">
                  <c:v>-0.33407079091490649</c:v>
                </c:pt>
                <c:pt idx="7">
                  <c:v>4.7507426455224142E-2</c:v>
                </c:pt>
                <c:pt idx="8">
                  <c:v>0.11773257814771459</c:v>
                </c:pt>
                <c:pt idx="9">
                  <c:v>0.37517632761008279</c:v>
                </c:pt>
                <c:pt idx="10">
                  <c:v>-2.9517129434407208E-2</c:v>
                </c:pt>
                <c:pt idx="11">
                  <c:v>0.22277814218298803</c:v>
                </c:pt>
                <c:pt idx="12">
                  <c:v>4.8329074530027327E-2</c:v>
                </c:pt>
                <c:pt idx="13">
                  <c:v>-0.45784162332881939</c:v>
                </c:pt>
                <c:pt idx="14">
                  <c:v>-0.56638019793822503</c:v>
                </c:pt>
                <c:pt idx="15">
                  <c:v>-0.47033836087474989</c:v>
                </c:pt>
                <c:pt idx="16">
                  <c:v>0.53258760662676252</c:v>
                </c:pt>
                <c:pt idx="17">
                  <c:v>0.38023005786313763</c:v>
                </c:pt>
                <c:pt idx="18">
                  <c:v>0.42996724900131422</c:v>
                </c:pt>
                <c:pt idx="19">
                  <c:v>0.12694441142648838</c:v>
                </c:pt>
                <c:pt idx="20">
                  <c:v>0.69951374742977213</c:v>
                </c:pt>
                <c:pt idx="21">
                  <c:v>0.81206367616853858</c:v>
                </c:pt>
                <c:pt idx="22">
                  <c:v>0.81756853267527041</c:v>
                </c:pt>
                <c:pt idx="23">
                  <c:v>0.99463316737262453</c:v>
                </c:pt>
                <c:pt idx="24">
                  <c:v>0.89501148529413066</c:v>
                </c:pt>
                <c:pt idx="25">
                  <c:v>0.64257133260459764</c:v>
                </c:pt>
                <c:pt idx="26">
                  <c:v>-2.4666235007496551E-3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BCC-4913-A265-C33880CFEBE6}"/>
            </c:ext>
          </c:extLst>
        </c:ser>
        <c:ser>
          <c:idx val="10"/>
          <c:order val="10"/>
          <c:tx>
            <c:strRef>
              <c:f>'SATORI H4'!$BY$1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H4'!$BY$2:$BY$37</c:f>
              <c:numCache>
                <c:formatCode>0.00000</c:formatCode>
                <c:ptCount val="36"/>
                <c:pt idx="0">
                  <c:v>-0.75502310320555932</c:v>
                </c:pt>
                <c:pt idx="1">
                  <c:v>-0.74593131248646705</c:v>
                </c:pt>
                <c:pt idx="2">
                  <c:v>-0.69685973462320239</c:v>
                </c:pt>
                <c:pt idx="3">
                  <c:v>-0.81877840698344129</c:v>
                </c:pt>
                <c:pt idx="4">
                  <c:v>-0.82666431607711899</c:v>
                </c:pt>
                <c:pt idx="5">
                  <c:v>-0.76119350211728842</c:v>
                </c:pt>
                <c:pt idx="6">
                  <c:v>-0.74058656727762828</c:v>
                </c:pt>
                <c:pt idx="7">
                  <c:v>-0.96534252482911342</c:v>
                </c:pt>
                <c:pt idx="8">
                  <c:v>-0.93497932017504481</c:v>
                </c:pt>
                <c:pt idx="9">
                  <c:v>-0.80822200282082024</c:v>
                </c:pt>
                <c:pt idx="10">
                  <c:v>-0.87558822624605559</c:v>
                </c:pt>
                <c:pt idx="11">
                  <c:v>-0.94846965423617335</c:v>
                </c:pt>
                <c:pt idx="12">
                  <c:v>-0.86836430356286443</c:v>
                </c:pt>
                <c:pt idx="13">
                  <c:v>-0.8349982107929903</c:v>
                </c:pt>
                <c:pt idx="14">
                  <c:v>-0.72168204657544521</c:v>
                </c:pt>
                <c:pt idx="15">
                  <c:v>-0.68473160862189364</c:v>
                </c:pt>
                <c:pt idx="16">
                  <c:v>-0.64597895951502271</c:v>
                </c:pt>
                <c:pt idx="17">
                  <c:v>-0.53287662912315414</c:v>
                </c:pt>
                <c:pt idx="18">
                  <c:v>-0.54073997624758641</c:v>
                </c:pt>
                <c:pt idx="19">
                  <c:v>-0.19474424393014697</c:v>
                </c:pt>
                <c:pt idx="20">
                  <c:v>-0.39526850615789844</c:v>
                </c:pt>
                <c:pt idx="21">
                  <c:v>-0.29149025373539028</c:v>
                </c:pt>
                <c:pt idx="22">
                  <c:v>-0.16073191563168715</c:v>
                </c:pt>
                <c:pt idx="23">
                  <c:v>-0.15591156410756082</c:v>
                </c:pt>
                <c:pt idx="24">
                  <c:v>-0.29408478143170091</c:v>
                </c:pt>
                <c:pt idx="25">
                  <c:v>-0.24463237635619295</c:v>
                </c:pt>
                <c:pt idx="26">
                  <c:v>6.9785769718981594E-2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BCC-4913-A265-C33880CFEBE6}"/>
            </c:ext>
          </c:extLst>
        </c:ser>
        <c:ser>
          <c:idx val="11"/>
          <c:order val="11"/>
          <c:tx>
            <c:strRef>
              <c:f>'SATORI H4'!$BZ$1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H4'!$BZ$2:$BZ$37</c:f>
              <c:numCache>
                <c:formatCode>0.00000</c:formatCode>
                <c:ptCount val="36"/>
                <c:pt idx="0">
                  <c:v>-1.3532521970347648</c:v>
                </c:pt>
                <c:pt idx="1">
                  <c:v>-1.2957971252435394</c:v>
                </c:pt>
                <c:pt idx="2">
                  <c:v>-1.2312019218514689</c:v>
                </c:pt>
                <c:pt idx="3">
                  <c:v>-1.2947332704286421</c:v>
                </c:pt>
                <c:pt idx="4">
                  <c:v>-1.5461746275473671</c:v>
                </c:pt>
                <c:pt idx="5">
                  <c:v>-1.3808515564086814</c:v>
                </c:pt>
                <c:pt idx="6">
                  <c:v>-1.3753226624086379</c:v>
                </c:pt>
                <c:pt idx="7">
                  <c:v>-1.5148451853301992</c:v>
                </c:pt>
                <c:pt idx="8">
                  <c:v>-1.5447518102014337</c:v>
                </c:pt>
                <c:pt idx="9">
                  <c:v>-1.2867820926423712</c:v>
                </c:pt>
                <c:pt idx="10">
                  <c:v>-1.2034395603540327</c:v>
                </c:pt>
                <c:pt idx="11">
                  <c:v>-1.1471736321317034</c:v>
                </c:pt>
                <c:pt idx="12">
                  <c:v>-0.91602592874924316</c:v>
                </c:pt>
                <c:pt idx="13">
                  <c:v>-0.88961602503536075</c:v>
                </c:pt>
                <c:pt idx="14">
                  <c:v>-0.87421262088303997</c:v>
                </c:pt>
                <c:pt idx="15">
                  <c:v>-0.99704041411373878</c:v>
                </c:pt>
                <c:pt idx="16">
                  <c:v>-0.66272627959759234</c:v>
                </c:pt>
                <c:pt idx="17">
                  <c:v>-0.678099407370237</c:v>
                </c:pt>
                <c:pt idx="18">
                  <c:v>-0.67315828903045682</c:v>
                </c:pt>
                <c:pt idx="19">
                  <c:v>-0.47809086474237039</c:v>
                </c:pt>
                <c:pt idx="20">
                  <c:v>-0.51481647510008588</c:v>
                </c:pt>
                <c:pt idx="21">
                  <c:v>-0.43047358290564403</c:v>
                </c:pt>
                <c:pt idx="22">
                  <c:v>-5.1278567546881246E-2</c:v>
                </c:pt>
                <c:pt idx="23">
                  <c:v>-2.7277738427330084E-2</c:v>
                </c:pt>
                <c:pt idx="24">
                  <c:v>-0.24046588516637216</c:v>
                </c:pt>
                <c:pt idx="25">
                  <c:v>-0.19784642774484917</c:v>
                </c:pt>
                <c:pt idx="26">
                  <c:v>4.3625734820978194E-2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BCC-4913-A265-C33880CFEBE6}"/>
            </c:ext>
          </c:extLst>
        </c:ser>
        <c:ser>
          <c:idx val="12"/>
          <c:order val="12"/>
          <c:tx>
            <c:strRef>
              <c:f>'SATORI H4'!$CA$1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H4'!$CA$2:$CA$37</c:f>
              <c:numCache>
                <c:formatCode>0.00000</c:formatCode>
                <c:ptCount val="36"/>
                <c:pt idx="0">
                  <c:v>1.6161959515072406</c:v>
                </c:pt>
                <c:pt idx="1">
                  <c:v>1.5862996686117554</c:v>
                </c:pt>
                <c:pt idx="2">
                  <c:v>1.3411639602540859</c:v>
                </c:pt>
                <c:pt idx="3">
                  <c:v>1.4440304027640194</c:v>
                </c:pt>
                <c:pt idx="4">
                  <c:v>1.5054055120884429</c:v>
                </c:pt>
                <c:pt idx="5">
                  <c:v>1.498500335507722</c:v>
                </c:pt>
                <c:pt idx="6">
                  <c:v>1.4332422204691799</c:v>
                </c:pt>
                <c:pt idx="7">
                  <c:v>1.448594713714098</c:v>
                </c:pt>
                <c:pt idx="8">
                  <c:v>1.2463010263539815</c:v>
                </c:pt>
                <c:pt idx="9">
                  <c:v>1.0837407403711425</c:v>
                </c:pt>
                <c:pt idx="10">
                  <c:v>1.1253265457495725</c:v>
                </c:pt>
                <c:pt idx="11">
                  <c:v>1.167664525996984</c:v>
                </c:pt>
                <c:pt idx="12">
                  <c:v>1.0991070070088576</c:v>
                </c:pt>
                <c:pt idx="13">
                  <c:v>0.85973955480514197</c:v>
                </c:pt>
                <c:pt idx="14">
                  <c:v>1.0223988414169767</c:v>
                </c:pt>
                <c:pt idx="15">
                  <c:v>0.87957919560968822</c:v>
                </c:pt>
                <c:pt idx="16">
                  <c:v>0.82860134780174466</c:v>
                </c:pt>
                <c:pt idx="17">
                  <c:v>0.81469636518296773</c:v>
                </c:pt>
                <c:pt idx="18">
                  <c:v>0.62817685028849257</c:v>
                </c:pt>
                <c:pt idx="19">
                  <c:v>0.44596958370764289</c:v>
                </c:pt>
                <c:pt idx="20">
                  <c:v>0.35361771532845498</c:v>
                </c:pt>
                <c:pt idx="21">
                  <c:v>0.25573767275840176</c:v>
                </c:pt>
                <c:pt idx="22">
                  <c:v>0.18110674601331517</c:v>
                </c:pt>
                <c:pt idx="23">
                  <c:v>0.10330571437164418</c:v>
                </c:pt>
                <c:pt idx="24">
                  <c:v>9.0855999547911903E-2</c:v>
                </c:pt>
                <c:pt idx="25">
                  <c:v>-0.17283774123645518</c:v>
                </c:pt>
                <c:pt idx="26">
                  <c:v>2.8815974953464649E-2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BCC-4913-A265-C33880CFEBE6}"/>
            </c:ext>
          </c:extLst>
        </c:ser>
        <c:ser>
          <c:idx val="13"/>
          <c:order val="13"/>
          <c:tx>
            <c:strRef>
              <c:f>'SATORI H4'!$CB$1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H4'!$CB$2:$CB$37</c:f>
              <c:numCache>
                <c:formatCode>0.00000</c:formatCode>
                <c:ptCount val="36"/>
                <c:pt idx="0">
                  <c:v>-6.2074199754551904E-2</c:v>
                </c:pt>
                <c:pt idx="1">
                  <c:v>-0.18613277607901563</c:v>
                </c:pt>
                <c:pt idx="2">
                  <c:v>-0.32537537913923986</c:v>
                </c:pt>
                <c:pt idx="3">
                  <c:v>-0.35022781778478368</c:v>
                </c:pt>
                <c:pt idx="4">
                  <c:v>-0.37197843146281706</c:v>
                </c:pt>
                <c:pt idx="5">
                  <c:v>-0.33263566276723217</c:v>
                </c:pt>
                <c:pt idx="6">
                  <c:v>-0.24264248983551967</c:v>
                </c:pt>
                <c:pt idx="7">
                  <c:v>-0.30267395460326257</c:v>
                </c:pt>
                <c:pt idx="8">
                  <c:v>-0.30629667423064072</c:v>
                </c:pt>
                <c:pt idx="9">
                  <c:v>-0.31768366097515854</c:v>
                </c:pt>
                <c:pt idx="10">
                  <c:v>-0.39745615396915884</c:v>
                </c:pt>
                <c:pt idx="11">
                  <c:v>-0.44617217583953994</c:v>
                </c:pt>
                <c:pt idx="12">
                  <c:v>-0.33073460013216371</c:v>
                </c:pt>
                <c:pt idx="13">
                  <c:v>-0.22266115155496236</c:v>
                </c:pt>
                <c:pt idx="14">
                  <c:v>6.8133946175912369E-2</c:v>
                </c:pt>
                <c:pt idx="15">
                  <c:v>-6.0930952817906336E-2</c:v>
                </c:pt>
                <c:pt idx="16">
                  <c:v>3.5598791654289502E-3</c:v>
                </c:pt>
                <c:pt idx="17">
                  <c:v>0.12568516837563298</c:v>
                </c:pt>
                <c:pt idx="18">
                  <c:v>0.15710838240377994</c:v>
                </c:pt>
                <c:pt idx="19">
                  <c:v>0.41145148353984629</c:v>
                </c:pt>
                <c:pt idx="20">
                  <c:v>0.23799228505516448</c:v>
                </c:pt>
                <c:pt idx="21">
                  <c:v>0.23335962894752604</c:v>
                </c:pt>
                <c:pt idx="22">
                  <c:v>0.34441989456665822</c:v>
                </c:pt>
                <c:pt idx="23">
                  <c:v>0.31510373261800989</c:v>
                </c:pt>
                <c:pt idx="24">
                  <c:v>0.10223798235643927</c:v>
                </c:pt>
                <c:pt idx="25">
                  <c:v>8.5226445441395737E-2</c:v>
                </c:pt>
                <c:pt idx="26">
                  <c:v>0.14962258991543242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BCC-4913-A265-C33880CFEBE6}"/>
            </c:ext>
          </c:extLst>
        </c:ser>
        <c:ser>
          <c:idx val="14"/>
          <c:order val="14"/>
          <c:tx>
            <c:strRef>
              <c:f>'SATORI H4'!$CC$1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H4'!$CC$2:$CC$37</c:f>
              <c:numCache>
                <c:formatCode>0.00000</c:formatCode>
                <c:ptCount val="36"/>
                <c:pt idx="0">
                  <c:v>-0.65941176724773709</c:v>
                </c:pt>
                <c:pt idx="1">
                  <c:v>-0.73526571306634192</c:v>
                </c:pt>
                <c:pt idx="2">
                  <c:v>-0.8593299245510041</c:v>
                </c:pt>
                <c:pt idx="3">
                  <c:v>-0.8258485185205896</c:v>
                </c:pt>
                <c:pt idx="4">
                  <c:v>-1.0911005079105049</c:v>
                </c:pt>
                <c:pt idx="5">
                  <c:v>-0.95558507709419449</c:v>
                </c:pt>
                <c:pt idx="6">
                  <c:v>-0.8772647185190694</c:v>
                </c:pt>
                <c:pt idx="7">
                  <c:v>-0.85179350099487272</c:v>
                </c:pt>
                <c:pt idx="8">
                  <c:v>-0.91598441231701777</c:v>
                </c:pt>
                <c:pt idx="9">
                  <c:v>-0.79577113982887293</c:v>
                </c:pt>
                <c:pt idx="10">
                  <c:v>-0.72510741905422849</c:v>
                </c:pt>
                <c:pt idx="11">
                  <c:v>-0.64743769894764935</c:v>
                </c:pt>
                <c:pt idx="12">
                  <c:v>-0.37750112230679056</c:v>
                </c:pt>
                <c:pt idx="13">
                  <c:v>-0.27713859786100037</c:v>
                </c:pt>
                <c:pt idx="14">
                  <c:v>-8.3822739407528712E-2</c:v>
                </c:pt>
                <c:pt idx="15">
                  <c:v>-0.37346282521985924</c:v>
                </c:pt>
                <c:pt idx="16">
                  <c:v>-1.3301360625610745E-2</c:v>
                </c:pt>
                <c:pt idx="17">
                  <c:v>-1.7979001036670855E-2</c:v>
                </c:pt>
                <c:pt idx="18">
                  <c:v>2.5036779208790771E-2</c:v>
                </c:pt>
                <c:pt idx="19">
                  <c:v>0.12872809669571905</c:v>
                </c:pt>
                <c:pt idx="20">
                  <c:v>0.11985282693423438</c:v>
                </c:pt>
                <c:pt idx="21">
                  <c:v>9.4154654307925523E-2</c:v>
                </c:pt>
                <c:pt idx="22">
                  <c:v>0.4535671173540835</c:v>
                </c:pt>
                <c:pt idx="23">
                  <c:v>0.44146108715419774</c:v>
                </c:pt>
                <c:pt idx="24">
                  <c:v>0.1570942586147912</c:v>
                </c:pt>
                <c:pt idx="25">
                  <c:v>0.13280745008826003</c:v>
                </c:pt>
                <c:pt idx="26">
                  <c:v>0.12299835378628732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BCC-4913-A265-C33880CFEBE6}"/>
            </c:ext>
          </c:extLst>
        </c:ser>
        <c:ser>
          <c:idx val="15"/>
          <c:order val="15"/>
          <c:tx>
            <c:strRef>
              <c:f>'SATORI H4'!$CD$1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H4'!$CD$2:$CD$37</c:f>
              <c:numCache>
                <c:formatCode>0.00000</c:formatCode>
                <c:ptCount val="36"/>
                <c:pt idx="0">
                  <c:v>0.83358981872298576</c:v>
                </c:pt>
                <c:pt idx="1">
                  <c:v>0.7704506758368499</c:v>
                </c:pt>
                <c:pt idx="2">
                  <c:v>0.62083544105384614</c:v>
                </c:pt>
                <c:pt idx="3">
                  <c:v>0.7477060781136099</c:v>
                </c:pt>
                <c:pt idx="4">
                  <c:v>0.82602255556240844</c:v>
                </c:pt>
                <c:pt idx="5">
                  <c:v>0.84404899810029921</c:v>
                </c:pt>
                <c:pt idx="6">
                  <c:v>0.85531425548326612</c:v>
                </c:pt>
                <c:pt idx="7">
                  <c:v>0.79500878290253552</c:v>
                </c:pt>
                <c:pt idx="8">
                  <c:v>0.56452895553644056</c:v>
                </c:pt>
                <c:pt idx="9">
                  <c:v>0.55040442235227027</c:v>
                </c:pt>
                <c:pt idx="10">
                  <c:v>0.57808084542875182</c:v>
                </c:pt>
                <c:pt idx="11">
                  <c:v>0.60913657069286964</c:v>
                </c:pt>
                <c:pt idx="12">
                  <c:v>0.65823696123850073</c:v>
                </c:pt>
                <c:pt idx="13">
                  <c:v>0.58764061982329951</c:v>
                </c:pt>
                <c:pt idx="14">
                  <c:v>0.76353913990786693</c:v>
                </c:pt>
                <c:pt idx="15">
                  <c:v>0.55450549679043881</c:v>
                </c:pt>
                <c:pt idx="16">
                  <c:v>0.54829059685033732</c:v>
                </c:pt>
                <c:pt idx="17">
                  <c:v>0.58838886584759753</c:v>
                </c:pt>
                <c:pt idx="18">
                  <c:v>0.52509522290286026</c:v>
                </c:pt>
                <c:pt idx="19">
                  <c:v>0.56463810716083362</c:v>
                </c:pt>
                <c:pt idx="20">
                  <c:v>0.4453023154724835</c:v>
                </c:pt>
                <c:pt idx="21">
                  <c:v>0.36775880337400479</c:v>
                </c:pt>
                <c:pt idx="22">
                  <c:v>0.34114920580170766</c:v>
                </c:pt>
                <c:pt idx="23">
                  <c:v>0.23800150055476785</c:v>
                </c:pt>
                <c:pt idx="24">
                  <c:v>8.9861761076378582E-2</c:v>
                </c:pt>
                <c:pt idx="25">
                  <c:v>-5.7928490451257392E-2</c:v>
                </c:pt>
                <c:pt idx="26">
                  <c:v>2.1587597357226276E-2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BCC-4913-A265-C33880CFEBE6}"/>
            </c:ext>
          </c:extLst>
        </c:ser>
        <c:ser>
          <c:idx val="16"/>
          <c:order val="16"/>
          <c:tx>
            <c:strRef>
              <c:f>'SATORI H4'!$CE$1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H4'!$CE$2:$CE$37</c:f>
              <c:numCache>
                <c:formatCode>0.00000</c:formatCode>
                <c:ptCount val="36"/>
                <c:pt idx="0">
                  <c:v>0.34434994683911568</c:v>
                </c:pt>
                <c:pt idx="1">
                  <c:v>0.26625510199652358</c:v>
                </c:pt>
                <c:pt idx="2">
                  <c:v>0.16381910203245337</c:v>
                </c:pt>
                <c:pt idx="3">
                  <c:v>0.14674352011460381</c:v>
                </c:pt>
                <c:pt idx="4">
                  <c:v>0.13236201473053327</c:v>
                </c:pt>
                <c:pt idx="5">
                  <c:v>0.1826719599286194</c:v>
                </c:pt>
                <c:pt idx="6">
                  <c:v>0.36650373143918802</c:v>
                </c:pt>
                <c:pt idx="7">
                  <c:v>0.72480817405685194</c:v>
                </c:pt>
                <c:pt idx="8">
                  <c:v>0.63627065292859553</c:v>
                </c:pt>
                <c:pt idx="9">
                  <c:v>0.70240644579843869</c:v>
                </c:pt>
                <c:pt idx="10">
                  <c:v>0.72831781105933069</c:v>
                </c:pt>
                <c:pt idx="11">
                  <c:v>0.88087243185851161</c:v>
                </c:pt>
                <c:pt idx="12">
                  <c:v>0.83178106836820043</c:v>
                </c:pt>
                <c:pt idx="13">
                  <c:v>0.86390327552073787</c:v>
                </c:pt>
                <c:pt idx="14">
                  <c:v>0.93701702982286184</c:v>
                </c:pt>
                <c:pt idx="15">
                  <c:v>0.71540246045213673</c:v>
                </c:pt>
                <c:pt idx="16">
                  <c:v>0.98898929976666605</c:v>
                </c:pt>
                <c:pt idx="17">
                  <c:v>0.88640049354354122</c:v>
                </c:pt>
                <c:pt idx="18">
                  <c:v>0.98443271940977872</c:v>
                </c:pt>
                <c:pt idx="19">
                  <c:v>0.6176998619346904</c:v>
                </c:pt>
                <c:pt idx="20">
                  <c:v>0.73741540351351675</c:v>
                </c:pt>
                <c:pt idx="21">
                  <c:v>0.91933735542903183</c:v>
                </c:pt>
                <c:pt idx="22">
                  <c:v>0.91933735542903183</c:v>
                </c:pt>
                <c:pt idx="23">
                  <c:v>0.92825430297954536</c:v>
                </c:pt>
                <c:pt idx="24">
                  <c:v>0.87829444929055489</c:v>
                </c:pt>
                <c:pt idx="25">
                  <c:v>0.7129756520965147</c:v>
                </c:pt>
                <c:pt idx="26">
                  <c:v>0.12149902800777254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BCC-4913-A265-C33880CFEBE6}"/>
            </c:ext>
          </c:extLst>
        </c:ser>
        <c:ser>
          <c:idx val="17"/>
          <c:order val="17"/>
          <c:tx>
            <c:strRef>
              <c:f>'SATORI H4'!$CF$1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H4'!$CF$2:$CF$37</c:f>
              <c:numCache>
                <c:formatCode>0.00000</c:formatCode>
                <c:ptCount val="36"/>
                <c:pt idx="0">
                  <c:v>0.68378019022952263</c:v>
                </c:pt>
                <c:pt idx="1">
                  <c:v>0.58123766137299204</c:v>
                </c:pt>
                <c:pt idx="2">
                  <c:v>0.51072285063159395</c:v>
                </c:pt>
                <c:pt idx="3">
                  <c:v>0.36791087761303626</c:v>
                </c:pt>
                <c:pt idx="4">
                  <c:v>0.27771577135687564</c:v>
                </c:pt>
                <c:pt idx="5">
                  <c:v>0.14038868464538889</c:v>
                </c:pt>
                <c:pt idx="6">
                  <c:v>0.16520703543957449</c:v>
                </c:pt>
                <c:pt idx="7">
                  <c:v>0.71085732559528048</c:v>
                </c:pt>
                <c:pt idx="8">
                  <c:v>0.74970471310847653</c:v>
                </c:pt>
                <c:pt idx="9">
                  <c:v>0.86611121299574489</c:v>
                </c:pt>
                <c:pt idx="10">
                  <c:v>0.44856258674651833</c:v>
                </c:pt>
                <c:pt idx="11">
                  <c:v>0.72528289969775706</c:v>
                </c:pt>
                <c:pt idx="12">
                  <c:v>0.58752084946193128</c:v>
                </c:pt>
                <c:pt idx="13">
                  <c:v>0.15395973371537294</c:v>
                </c:pt>
                <c:pt idx="14">
                  <c:v>0.22361893136807171</c:v>
                </c:pt>
                <c:pt idx="15">
                  <c:v>0.15549652226396549</c:v>
                </c:pt>
                <c:pt idx="16">
                  <c:v>1.1820006068512465</c:v>
                </c:pt>
                <c:pt idx="17">
                  <c:v>1.0370139016610285</c:v>
                </c:pt>
                <c:pt idx="18">
                  <c:v>1.130095531112473</c:v>
                </c:pt>
                <c:pt idx="19">
                  <c:v>0.73371805375324173</c:v>
                </c:pt>
                <c:pt idx="20">
                  <c:v>1.3322923301933267</c:v>
                </c:pt>
                <c:pt idx="21">
                  <c:v>1.3364670418772913</c:v>
                </c:pt>
                <c:pt idx="22">
                  <c:v>1.3218534157147295</c:v>
                </c:pt>
                <c:pt idx="23">
                  <c:v>1.4636131121821985</c:v>
                </c:pt>
                <c:pt idx="24">
                  <c:v>1.290805961829542</c:v>
                </c:pt>
                <c:pt idx="25">
                  <c:v>0.97079674388806625</c:v>
                </c:pt>
                <c:pt idx="26">
                  <c:v>7.5094529204894844E-2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BCC-4913-A265-C33880CFEBE6}"/>
            </c:ext>
          </c:extLst>
        </c:ser>
        <c:ser>
          <c:idx val="18"/>
          <c:order val="18"/>
          <c:tx>
            <c:strRef>
              <c:f>'SATORI H4'!$CG$1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H4'!$CG$2:$CG$37</c:f>
              <c:numCache>
                <c:formatCode>0.00000</c:formatCode>
                <c:ptCount val="36"/>
                <c:pt idx="0">
                  <c:v>1.3423312181686651</c:v>
                </c:pt>
                <c:pt idx="1">
                  <c:v>1.3222401386079892</c:v>
                </c:pt>
                <c:pt idx="2">
                  <c:v>1.3757876620350324</c:v>
                </c:pt>
                <c:pt idx="3">
                  <c:v>1.1969767545696812</c:v>
                </c:pt>
                <c:pt idx="4">
                  <c:v>1.3743549047052157</c:v>
                </c:pt>
                <c:pt idx="5">
                  <c:v>1.078970289320605</c:v>
                </c:pt>
                <c:pt idx="6">
                  <c:v>1.0397941084385849</c:v>
                </c:pt>
                <c:pt idx="7">
                  <c:v>1.5653363522367347</c:v>
                </c:pt>
                <c:pt idx="8">
                  <c:v>1.6698899971547694</c:v>
                </c:pt>
                <c:pt idx="9">
                  <c:v>1.6621034811757207</c:v>
                </c:pt>
                <c:pt idx="10">
                  <c:v>1.1736279273092776</c:v>
                </c:pt>
                <c:pt idx="11">
                  <c:v>1.3499278603599372</c:v>
                </c:pt>
                <c:pt idx="12">
                  <c:v>0.96235701106450544</c:v>
                </c:pt>
                <c:pt idx="13">
                  <c:v>0.43310157212031514</c:v>
                </c:pt>
                <c:pt idx="14">
                  <c:v>0.31133734374473543</c:v>
                </c:pt>
                <c:pt idx="15">
                  <c:v>0.52846207233882236</c:v>
                </c:pt>
                <c:pt idx="16">
                  <c:v>1.1978255624157084</c:v>
                </c:pt>
                <c:pt idx="17">
                  <c:v>1.046739420931925</c:v>
                </c:pt>
                <c:pt idx="18">
                  <c:v>1.107137376349288</c:v>
                </c:pt>
                <c:pt idx="19">
                  <c:v>0.60240480592279688</c:v>
                </c:pt>
                <c:pt idx="20">
                  <c:v>1.2102124526792906</c:v>
                </c:pt>
                <c:pt idx="21">
                  <c:v>1.2470695476700779</c:v>
                </c:pt>
                <c:pt idx="22">
                  <c:v>0.8625059096756349</c:v>
                </c:pt>
                <c:pt idx="23">
                  <c:v>1.0035748991290536</c:v>
                </c:pt>
                <c:pt idx="24">
                  <c:v>1.12769571005169</c:v>
                </c:pt>
                <c:pt idx="25">
                  <c:v>0.84061329721372302</c:v>
                </c:pt>
                <c:pt idx="26">
                  <c:v>-4.5233518036872387E-2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BCC-4913-A265-C33880CFEBE6}"/>
            </c:ext>
          </c:extLst>
        </c:ser>
        <c:ser>
          <c:idx val="19"/>
          <c:order val="19"/>
          <c:tx>
            <c:strRef>
              <c:f>'SATORI H4'!$CH$1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H4'!$CH$2:$CH$37</c:f>
              <c:numCache>
                <c:formatCode>0.00000</c:formatCode>
                <c:ptCount val="36"/>
                <c:pt idx="0">
                  <c:v>1.0055341919705969</c:v>
                </c:pt>
                <c:pt idx="1">
                  <c:v>1.0093448045265694</c:v>
                </c:pt>
                <c:pt idx="2">
                  <c:v>1.0302987819724589</c:v>
                </c:pt>
                <c:pt idx="3">
                  <c:v>0.97693292087618167</c:v>
                </c:pt>
                <c:pt idx="4">
                  <c:v>1.2297798249274248</c:v>
                </c:pt>
                <c:pt idx="5">
                  <c:v>1.1251096311924234</c:v>
                </c:pt>
                <c:pt idx="6">
                  <c:v>1.2429624292459425</c:v>
                </c:pt>
                <c:pt idx="7">
                  <c:v>1.5801730532750415</c:v>
                </c:pt>
                <c:pt idx="8">
                  <c:v>1.5593298510012483</c:v>
                </c:pt>
                <c:pt idx="9">
                  <c:v>1.5005553932430138</c:v>
                </c:pt>
                <c:pt idx="10">
                  <c:v>1.4550318727574263</c:v>
                </c:pt>
                <c:pt idx="11">
                  <c:v>1.5119039106721122</c:v>
                </c:pt>
                <c:pt idx="12">
                  <c:v>1.209570811852926</c:v>
                </c:pt>
                <c:pt idx="13">
                  <c:v>1.1467830345402541</c:v>
                </c:pt>
                <c:pt idx="14">
                  <c:v>1.0267716048802829</c:v>
                </c:pt>
                <c:pt idx="15">
                  <c:v>1.0914977561491073</c:v>
                </c:pt>
                <c:pt idx="16">
                  <c:v>1.0057573400222757</c:v>
                </c:pt>
                <c:pt idx="17">
                  <c:v>0.89703473525756294</c:v>
                </c:pt>
                <c:pt idx="18">
                  <c:v>0.96184478462757261</c:v>
                </c:pt>
                <c:pt idx="19">
                  <c:v>0.48686728860167133</c:v>
                </c:pt>
                <c:pt idx="20">
                  <c:v>0.61693366070626265</c:v>
                </c:pt>
                <c:pt idx="21">
                  <c:v>0.83070267565100908</c:v>
                </c:pt>
                <c:pt idx="22">
                  <c:v>0.46097087488472799</c:v>
                </c:pt>
                <c:pt idx="23">
                  <c:v>0.47246380673163235</c:v>
                </c:pt>
                <c:pt idx="24">
                  <c:v>0.71514051167879633</c:v>
                </c:pt>
                <c:pt idx="25">
                  <c:v>0.58311846973788706</c:v>
                </c:pt>
                <c:pt idx="26">
                  <c:v>1.9245203133031485E-3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BCC-4913-A265-C33880CFEBE6}"/>
            </c:ext>
          </c:extLst>
        </c:ser>
        <c:ser>
          <c:idx val="20"/>
          <c:order val="20"/>
          <c:tx>
            <c:strRef>
              <c:f>'SATORI H4'!$CI$1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H4'!$CI$2:$CI$37</c:f>
              <c:numCache>
                <c:formatCode>0.00000</c:formatCode>
                <c:ptCount val="36"/>
                <c:pt idx="0">
                  <c:v>2.2896721800071962</c:v>
                </c:pt>
                <c:pt idx="1">
                  <c:v>2.3303503667363401</c:v>
                </c:pt>
                <c:pt idx="2">
                  <c:v>2.2081667002488716</c:v>
                </c:pt>
                <c:pt idx="3">
                  <c:v>2.2749158536742464</c:v>
                </c:pt>
                <c:pt idx="4">
                  <c:v>2.6059342219484143</c:v>
                </c:pt>
                <c:pt idx="5">
                  <c:v>2.4564282417091992</c:v>
                </c:pt>
                <c:pt idx="6">
                  <c:v>2.3115879728596123</c:v>
                </c:pt>
                <c:pt idx="7">
                  <c:v>2.3050778740688744</c:v>
                </c:pt>
                <c:pt idx="8">
                  <c:v>2.1698105989710914</c:v>
                </c:pt>
                <c:pt idx="9">
                  <c:v>1.8837927841471918</c:v>
                </c:pt>
                <c:pt idx="10">
                  <c:v>1.8543651516002373</c:v>
                </c:pt>
                <c:pt idx="11">
                  <c:v>1.8118404954774987</c:v>
                </c:pt>
                <c:pt idx="12">
                  <c:v>1.4787150236865021</c:v>
                </c:pt>
                <c:pt idx="13">
                  <c:v>1.142824089448671</c:v>
                </c:pt>
                <c:pt idx="14">
                  <c:v>1.1148253411574176</c:v>
                </c:pt>
                <c:pt idx="15">
                  <c:v>1.256265730611881</c:v>
                </c:pt>
                <c:pt idx="16">
                  <c:v>0.84672068891426289</c:v>
                </c:pt>
                <c:pt idx="17">
                  <c:v>0.8235958644151582</c:v>
                </c:pt>
                <c:pt idx="18">
                  <c:v>0.60508537756717384</c:v>
                </c:pt>
                <c:pt idx="19">
                  <c:v>0.31288674890846779</c:v>
                </c:pt>
                <c:pt idx="20">
                  <c:v>0.23313265735741093</c:v>
                </c:pt>
                <c:pt idx="21">
                  <c:v>0.16662671338867607</c:v>
                </c:pt>
                <c:pt idx="22">
                  <c:v>-0.27760248215567096</c:v>
                </c:pt>
                <c:pt idx="23">
                  <c:v>-0.34110409476241998</c:v>
                </c:pt>
                <c:pt idx="24">
                  <c:v>-7.2779705575392817E-2</c:v>
                </c:pt>
                <c:pt idx="25">
                  <c:v>-0.30162794745294769</c:v>
                </c:pt>
                <c:pt idx="26">
                  <c:v>-9.1596442727232358E-2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BCC-4913-A265-C33880CFEBE6}"/>
            </c:ext>
          </c:extLst>
        </c:ser>
        <c:ser>
          <c:idx val="21"/>
          <c:order val="21"/>
          <c:tx>
            <c:strRef>
              <c:f>'SATORI H4'!$CJ$1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H4'!$CJ$2:$CJ$37</c:f>
              <c:numCache>
                <c:formatCode>0.00000</c:formatCode>
                <c:ptCount val="36"/>
                <c:pt idx="0">
                  <c:v>1.5056419353282202</c:v>
                </c:pt>
                <c:pt idx="1">
                  <c:v>1.5152146339916288</c:v>
                </c:pt>
                <c:pt idx="2">
                  <c:v>1.488882780827617</c:v>
                </c:pt>
                <c:pt idx="3">
                  <c:v>1.5797646941310663</c:v>
                </c:pt>
                <c:pt idx="4">
                  <c:v>1.9253524913067686</c:v>
                </c:pt>
                <c:pt idx="5">
                  <c:v>1.7976797154381274</c:v>
                </c:pt>
                <c:pt idx="6">
                  <c:v>1.7320104259798337</c:v>
                </c:pt>
                <c:pt idx="7">
                  <c:v>1.6519492448981776</c:v>
                </c:pt>
                <c:pt idx="8">
                  <c:v>1.4891724645271387</c:v>
                </c:pt>
                <c:pt idx="9">
                  <c:v>1.3489401823366378</c:v>
                </c:pt>
                <c:pt idx="10">
                  <c:v>1.3057731619402175</c:v>
                </c:pt>
                <c:pt idx="11">
                  <c:v>1.2505848618598325</c:v>
                </c:pt>
                <c:pt idx="12">
                  <c:v>1.0365731032362409</c:v>
                </c:pt>
                <c:pt idx="13">
                  <c:v>0.87037812521493207</c:v>
                </c:pt>
                <c:pt idx="14">
                  <c:v>0.85471962505833776</c:v>
                </c:pt>
                <c:pt idx="15">
                  <c:v>0.93174824600531903</c:v>
                </c:pt>
                <c:pt idx="16">
                  <c:v>0.56573106856549582</c:v>
                </c:pt>
                <c:pt idx="17">
                  <c:v>0.59954300176278341</c:v>
                </c:pt>
                <c:pt idx="18">
                  <c:v>0.5028440618249097</c:v>
                </c:pt>
                <c:pt idx="19">
                  <c:v>0.43389856505446678</c:v>
                </c:pt>
                <c:pt idx="20">
                  <c:v>0.32613081061963511</c:v>
                </c:pt>
                <c:pt idx="21">
                  <c:v>0.27888442678516684</c:v>
                </c:pt>
                <c:pt idx="22">
                  <c:v>-0.11761277584192259</c:v>
                </c:pt>
                <c:pt idx="23">
                  <c:v>-0.20891474187759468</c:v>
                </c:pt>
                <c:pt idx="24">
                  <c:v>-7.0328082667048722E-2</c:v>
                </c:pt>
                <c:pt idx="25">
                  <c:v>-0.18716899646037077</c:v>
                </c:pt>
                <c:pt idx="26">
                  <c:v>-9.840008746674167E-2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BCC-4913-A265-C33880CFEBE6}"/>
            </c:ext>
          </c:extLst>
        </c:ser>
        <c:ser>
          <c:idx val="22"/>
          <c:order val="22"/>
          <c:tx>
            <c:strRef>
              <c:f>'SATORI H4'!$CK$1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H4'!$CK$2:$CK$37</c:f>
              <c:numCache>
                <c:formatCode>0.00000</c:formatCode>
                <c:ptCount val="36"/>
                <c:pt idx="0">
                  <c:v>-0.15368740126533964</c:v>
                </c:pt>
                <c:pt idx="1">
                  <c:v>-0.18447012189815926</c:v>
                </c:pt>
                <c:pt idx="2">
                  <c:v>-0.10803818826345385</c:v>
                </c:pt>
                <c:pt idx="3">
                  <c:v>-0.37439332845036655</c:v>
                </c:pt>
                <c:pt idx="4">
                  <c:v>-0.54383883908049491</c:v>
                </c:pt>
                <c:pt idx="5">
                  <c:v>-0.70511857503180841</c:v>
                </c:pt>
                <c:pt idx="6">
                  <c:v>-0.68543132112248173</c:v>
                </c:pt>
                <c:pt idx="7">
                  <c:v>-8.0680908792667538E-2</c:v>
                </c:pt>
                <c:pt idx="8">
                  <c:v>0.18696464671126906</c:v>
                </c:pt>
                <c:pt idx="9">
                  <c:v>0.31968172730673344</c:v>
                </c:pt>
                <c:pt idx="10">
                  <c:v>-0.12685921182759191</c:v>
                </c:pt>
                <c:pt idx="11">
                  <c:v>0.11029714396273883</c:v>
                </c:pt>
                <c:pt idx="12">
                  <c:v>-6.7653719238701893E-2</c:v>
                </c:pt>
                <c:pt idx="13">
                  <c:v>-0.43045702935138147</c:v>
                </c:pt>
                <c:pt idx="14">
                  <c:v>-0.53716762833481324</c:v>
                </c:pt>
                <c:pt idx="15">
                  <c:v>-0.39602238894875175</c:v>
                </c:pt>
                <c:pt idx="16">
                  <c:v>0.63637414012671645</c:v>
                </c:pt>
                <c:pt idx="17">
                  <c:v>0.44729967815478705</c:v>
                </c:pt>
                <c:pt idx="18">
                  <c:v>0.60830941276632067</c:v>
                </c:pt>
                <c:pt idx="19">
                  <c:v>0.17149831962332673</c:v>
                </c:pt>
                <c:pt idx="20">
                  <c:v>0.88845333692436579</c:v>
                </c:pt>
                <c:pt idx="21">
                  <c:v>0.97050821227471118</c:v>
                </c:pt>
                <c:pt idx="22">
                  <c:v>0.98249231950482008</c:v>
                </c:pt>
                <c:pt idx="23">
                  <c:v>1.2216013624248847</c:v>
                </c:pt>
                <c:pt idx="24">
                  <c:v>1.2022849784519638</c:v>
                </c:pt>
                <c:pt idx="25">
                  <c:v>1.0290577928408882</c:v>
                </c:pt>
                <c:pt idx="26">
                  <c:v>5.3992664444906011E-2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BCC-4913-A265-C33880CFEBE6}"/>
            </c:ext>
          </c:extLst>
        </c:ser>
        <c:ser>
          <c:idx val="23"/>
          <c:order val="23"/>
          <c:tx>
            <c:strRef>
              <c:f>'SATORI H4'!$CL$1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H4'!$CL$2:$CL$37</c:f>
              <c:numCache>
                <c:formatCode>0.00000</c:formatCode>
                <c:ptCount val="36"/>
                <c:pt idx="0">
                  <c:v>-0.49743759663632897</c:v>
                </c:pt>
                <c:pt idx="1">
                  <c:v>-0.49902990261383834</c:v>
                </c:pt>
                <c:pt idx="2">
                  <c:v>-0.454465204221359</c:v>
                </c:pt>
                <c:pt idx="3">
                  <c:v>-0.59631821899637816</c:v>
                </c:pt>
                <c:pt idx="4">
                  <c:v>-0.68884729386516641</c:v>
                </c:pt>
                <c:pt idx="5">
                  <c:v>-0.66332854555976262</c:v>
                </c:pt>
                <c:pt idx="6">
                  <c:v>-0.48342661599216985</c:v>
                </c:pt>
                <c:pt idx="7">
                  <c:v>-6.8041512780076766E-2</c:v>
                </c:pt>
                <c:pt idx="8">
                  <c:v>7.4444713551379646E-2</c:v>
                </c:pt>
                <c:pt idx="9">
                  <c:v>0.15670236984093869</c:v>
                </c:pt>
                <c:pt idx="10">
                  <c:v>0.15512046681158398</c:v>
                </c:pt>
                <c:pt idx="11">
                  <c:v>0.26730957656729426</c:v>
                </c:pt>
                <c:pt idx="12">
                  <c:v>0.17716106876233789</c:v>
                </c:pt>
                <c:pt idx="13">
                  <c:v>0.28143470807033905</c:v>
                </c:pt>
                <c:pt idx="14">
                  <c:v>0.17705222534880408</c:v>
                </c:pt>
                <c:pt idx="15">
                  <c:v>0.16439820216031148</c:v>
                </c:pt>
                <c:pt idx="16">
                  <c:v>0.44515972836735018</c:v>
                </c:pt>
                <c:pt idx="17">
                  <c:v>0.29667224712573381</c:v>
                </c:pt>
                <c:pt idx="18">
                  <c:v>0.46383567302974893</c:v>
                </c:pt>
                <c:pt idx="19">
                  <c:v>5.5304011826018989E-2</c:v>
                </c:pt>
                <c:pt idx="20">
                  <c:v>0.29541142830180533</c:v>
                </c:pt>
                <c:pt idx="21">
                  <c:v>0.55537676625675103</c:v>
                </c:pt>
                <c:pt idx="22">
                  <c:v>0.58057917308659346</c:v>
                </c:pt>
                <c:pt idx="23">
                  <c:v>0.68914655566860406</c:v>
                </c:pt>
                <c:pt idx="24">
                  <c:v>0.79131568487326287</c:v>
                </c:pt>
                <c:pt idx="25">
                  <c:v>0.77245013337030588</c:v>
                </c:pt>
                <c:pt idx="26">
                  <c:v>0.10139416983523035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BCC-4913-A265-C33880CFEBE6}"/>
            </c:ext>
          </c:extLst>
        </c:ser>
        <c:ser>
          <c:idx val="24"/>
          <c:order val="24"/>
          <c:tx>
            <c:strRef>
              <c:f>'SATORI H4'!$CM$1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H4'!$CM$2:$CM$37</c:f>
              <c:numCache>
                <c:formatCode>0.00000</c:formatCode>
                <c:ptCount val="36"/>
                <c:pt idx="0">
                  <c:v>0.33228688548789798</c:v>
                </c:pt>
                <c:pt idx="1">
                  <c:v>0.30416540067349884</c:v>
                </c:pt>
                <c:pt idx="2">
                  <c:v>0.3393049045037061</c:v>
                </c:pt>
                <c:pt idx="3">
                  <c:v>0.21675229190482659</c:v>
                </c:pt>
                <c:pt idx="4">
                  <c:v>0.14105250902824018</c:v>
                </c:pt>
                <c:pt idx="5">
                  <c:v>-5.474116089773351E-2</c:v>
                </c:pt>
                <c:pt idx="6">
                  <c:v>-0.21138590122668222</c:v>
                </c:pt>
                <c:pt idx="7">
                  <c:v>-2.0362249559787132E-2</c:v>
                </c:pt>
                <c:pt idx="8">
                  <c:v>0.10877907801305972</c:v>
                </c:pt>
                <c:pt idx="9">
                  <c:v>0.15982253535658053</c:v>
                </c:pt>
                <c:pt idx="10">
                  <c:v>-0.28570363930618103</c:v>
                </c:pt>
                <c:pt idx="11">
                  <c:v>-0.16739039764108787</c:v>
                </c:pt>
                <c:pt idx="12">
                  <c:v>-0.24809684414213989</c:v>
                </c:pt>
                <c:pt idx="13">
                  <c:v>-0.71447113910613258</c:v>
                </c:pt>
                <c:pt idx="14">
                  <c:v>-0.71802233852373587</c:v>
                </c:pt>
                <c:pt idx="15">
                  <c:v>-0.56378342776956314</c:v>
                </c:pt>
                <c:pt idx="16">
                  <c:v>0.18404786149158286</c:v>
                </c:pt>
                <c:pt idx="17">
                  <c:v>0.14062547314287535</c:v>
                </c:pt>
                <c:pt idx="18">
                  <c:v>0.14355933222375333</c:v>
                </c:pt>
                <c:pt idx="19">
                  <c:v>0.11245075153807482</c:v>
                </c:pt>
                <c:pt idx="20">
                  <c:v>0.59202923651400707</c:v>
                </c:pt>
                <c:pt idx="21">
                  <c:v>0.40709981400879719</c:v>
                </c:pt>
                <c:pt idx="22">
                  <c:v>0.40007668450228889</c:v>
                </c:pt>
                <c:pt idx="23">
                  <c:v>0.51874363955498914</c:v>
                </c:pt>
                <c:pt idx="24">
                  <c:v>0.40931011895573127</c:v>
                </c:pt>
                <c:pt idx="25">
                  <c:v>0.25516369743852885</c:v>
                </c:pt>
                <c:pt idx="26">
                  <c:v>-4.759582331959647E-2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BCC-4913-A265-C33880CFEBE6}"/>
            </c:ext>
          </c:extLst>
        </c:ser>
        <c:ser>
          <c:idx val="25"/>
          <c:order val="25"/>
          <c:tx>
            <c:strRef>
              <c:f>'SATORI H4'!$CN$1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H4'!$CN$2:$CN$37</c:f>
              <c:numCache>
                <c:formatCode>0.00000</c:formatCode>
                <c:ptCount val="36"/>
                <c:pt idx="0">
                  <c:v>-0.78830701715780727</c:v>
                </c:pt>
                <c:pt idx="1">
                  <c:v>-0.81845717967453846</c:v>
                </c:pt>
                <c:pt idx="2">
                  <c:v>-0.72074855707226904</c:v>
                </c:pt>
                <c:pt idx="3">
                  <c:v>-0.69871387448185784</c:v>
                </c:pt>
                <c:pt idx="4">
                  <c:v>-0.68402624367014753</c:v>
                </c:pt>
                <c:pt idx="5">
                  <c:v>-0.65906350422975279</c:v>
                </c:pt>
                <c:pt idx="6">
                  <c:v>-0.58129901325704825</c:v>
                </c:pt>
                <c:pt idx="7">
                  <c:v>-0.65618503233095948</c:v>
                </c:pt>
                <c:pt idx="8">
                  <c:v>-0.68409153087319918</c:v>
                </c:pt>
                <c:pt idx="9">
                  <c:v>-0.53816286725710627</c:v>
                </c:pt>
                <c:pt idx="10">
                  <c:v>-0.55209769626207972</c:v>
                </c:pt>
                <c:pt idx="11">
                  <c:v>-0.56310008744843776</c:v>
                </c:pt>
                <c:pt idx="12">
                  <c:v>-0.44587881764902931</c:v>
                </c:pt>
                <c:pt idx="13">
                  <c:v>-0.27692654118166526</c:v>
                </c:pt>
                <c:pt idx="14">
                  <c:v>-0.26449436964695</c:v>
                </c:pt>
                <c:pt idx="15">
                  <c:v>-0.32962283371287304</c:v>
                </c:pt>
                <c:pt idx="16">
                  <c:v>-0.28573527364178003</c:v>
                </c:pt>
                <c:pt idx="17">
                  <c:v>-0.22944460911952422</c:v>
                </c:pt>
                <c:pt idx="18">
                  <c:v>-0.10677926645972149</c:v>
                </c:pt>
                <c:pt idx="19">
                  <c:v>0.11469499444278114</c:v>
                </c:pt>
                <c:pt idx="20">
                  <c:v>8.773197749980563E-2</c:v>
                </c:pt>
                <c:pt idx="21">
                  <c:v>0.10667537317633451</c:v>
                </c:pt>
                <c:pt idx="22">
                  <c:v>0.15473934194932729</c:v>
                </c:pt>
                <c:pt idx="23">
                  <c:v>0.13507294235722356</c:v>
                </c:pt>
                <c:pt idx="24">
                  <c:v>1.398618714712474E-4</c:v>
                </c:pt>
                <c:pt idx="25">
                  <c:v>0.11451966108755796</c:v>
                </c:pt>
                <c:pt idx="26">
                  <c:v>-7.2936800262726397E-3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BCC-4913-A265-C33880CFEBE6}"/>
            </c:ext>
          </c:extLst>
        </c:ser>
        <c:ser>
          <c:idx val="26"/>
          <c:order val="26"/>
          <c:tx>
            <c:strRef>
              <c:f>'SATORI H4'!$CO$1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H4'!$CO$2:$CO$37</c:f>
              <c:numCache>
                <c:formatCode>0.00000</c:formatCode>
                <c:ptCount val="36"/>
                <c:pt idx="0">
                  <c:v>-1.2804655336702624</c:v>
                </c:pt>
                <c:pt idx="1">
                  <c:v>-1.31325203499928</c:v>
                </c:pt>
                <c:pt idx="2">
                  <c:v>-1.1706003506570566</c:v>
                </c:pt>
                <c:pt idx="3">
                  <c:v>-1.2911810109239832</c:v>
                </c:pt>
                <c:pt idx="4">
                  <c:v>-1.3696785446954907</c:v>
                </c:pt>
                <c:pt idx="5">
                  <c:v>-1.3111325919772086</c:v>
                </c:pt>
                <c:pt idx="6">
                  <c:v>-1.0600171723224519</c:v>
                </c:pt>
                <c:pt idx="7">
                  <c:v>-0.71664655320777793</c:v>
                </c:pt>
                <c:pt idx="8">
                  <c:v>-0.6038689692059146</c:v>
                </c:pt>
                <c:pt idx="9">
                  <c:v>-0.37882140760783883</c:v>
                </c:pt>
                <c:pt idx="10">
                  <c:v>-0.39390418887271267</c:v>
                </c:pt>
                <c:pt idx="11">
                  <c:v>-0.28148994819034345</c:v>
                </c:pt>
                <c:pt idx="12">
                  <c:v>-0.2629508306523326</c:v>
                </c:pt>
                <c:pt idx="13">
                  <c:v>6.2981611084107353E-3</c:v>
                </c:pt>
                <c:pt idx="14">
                  <c:v>-8.2760363064610293E-2</c:v>
                </c:pt>
                <c:pt idx="15">
                  <c:v>-0.16147135482310784</c:v>
                </c:pt>
                <c:pt idx="16">
                  <c:v>0.16273572235201911</c:v>
                </c:pt>
                <c:pt idx="17">
                  <c:v>7.7284389195751479E-2</c:v>
                </c:pt>
                <c:pt idx="18">
                  <c:v>0.35825119135597144</c:v>
                </c:pt>
                <c:pt idx="19">
                  <c:v>0.17482633786513341</c:v>
                </c:pt>
                <c:pt idx="20">
                  <c:v>0.38549321941969356</c:v>
                </c:pt>
                <c:pt idx="21">
                  <c:v>0.6690297347903541</c:v>
                </c:pt>
                <c:pt idx="22">
                  <c:v>0.74015022666884756</c:v>
                </c:pt>
                <c:pt idx="23">
                  <c:v>0.82954440917050964</c:v>
                </c:pt>
                <c:pt idx="24">
                  <c:v>0.79056252428172191</c:v>
                </c:pt>
                <c:pt idx="25">
                  <c:v>0.88906663625569526</c:v>
                </c:pt>
                <c:pt idx="26">
                  <c:v>9.2447074050108963E-2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BCC-4913-A265-C33880CFEBE6}"/>
            </c:ext>
          </c:extLst>
        </c:ser>
        <c:ser>
          <c:idx val="27"/>
          <c:order val="27"/>
          <c:tx>
            <c:strRef>
              <c:f>'SATORI H4'!$CP$1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H4'!$CP$2:$CP$37</c:f>
              <c:numCache>
                <c:formatCode>0.00000</c:formatCode>
                <c:ptCount val="36"/>
                <c:pt idx="0">
                  <c:v>-0.93883010942605183</c:v>
                </c:pt>
                <c:pt idx="1">
                  <c:v>-0.9991958710636254</c:v>
                </c:pt>
                <c:pt idx="2">
                  <c:v>-0.82389422898027498</c:v>
                </c:pt>
                <c:pt idx="3">
                  <c:v>-1.070333219884672</c:v>
                </c:pt>
                <c:pt idx="4">
                  <c:v>-1.2243369737261842</c:v>
                </c:pt>
                <c:pt idx="5">
                  <c:v>-1.354446706484919</c:v>
                </c:pt>
                <c:pt idx="6">
                  <c:v>-1.2615974730069295</c:v>
                </c:pt>
                <c:pt idx="7">
                  <c:v>-0.73208067418910616</c:v>
                </c:pt>
                <c:pt idx="8">
                  <c:v>-0.49252620455314755</c:v>
                </c:pt>
                <c:pt idx="9">
                  <c:v>-0.21484295402567494</c:v>
                </c:pt>
                <c:pt idx="10">
                  <c:v>-0.67499186997499838</c:v>
                </c:pt>
                <c:pt idx="11">
                  <c:v>-0.43966083765620412</c:v>
                </c:pt>
                <c:pt idx="12">
                  <c:v>-0.50928541103504632</c:v>
                </c:pt>
                <c:pt idx="13">
                  <c:v>-0.70214812287627715</c:v>
                </c:pt>
                <c:pt idx="14">
                  <c:v>-0.79593170869510355</c:v>
                </c:pt>
                <c:pt idx="15">
                  <c:v>-0.72000416136008005</c:v>
                </c:pt>
                <c:pt idx="16">
                  <c:v>0.35523555145821095</c:v>
                </c:pt>
                <c:pt idx="17">
                  <c:v>0.23125013160157831</c:v>
                </c:pt>
                <c:pt idx="18">
                  <c:v>0.5048932334305769</c:v>
                </c:pt>
                <c:pt idx="19">
                  <c:v>0.29160576254601089</c:v>
                </c:pt>
                <c:pt idx="20">
                  <c:v>0.9808528357675893</c:v>
                </c:pt>
                <c:pt idx="21">
                  <c:v>1.0829587706750661</c:v>
                </c:pt>
                <c:pt idx="22">
                  <c:v>1.1433797031714599</c:v>
                </c:pt>
                <c:pt idx="23">
                  <c:v>1.3630966166847029</c:v>
                </c:pt>
                <c:pt idx="24">
                  <c:v>1.2027412853731601</c:v>
                </c:pt>
                <c:pt idx="25">
                  <c:v>1.1456786036956461</c:v>
                </c:pt>
                <c:pt idx="26">
                  <c:v>4.6173381045835266E-2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BCC-4913-A265-C33880CFE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H4'!$DY$1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H4'!$DX$2:$DX$37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H4'!$DY$2:$DY$37</c:f>
              <c:numCache>
                <c:formatCode>0.00000</c:formatCode>
                <c:ptCount val="36"/>
                <c:pt idx="0">
                  <c:v>18.300109639037757</c:v>
                </c:pt>
                <c:pt idx="1">
                  <c:v>18.605772913047549</c:v>
                </c:pt>
                <c:pt idx="2">
                  <c:v>17.62590563380402</c:v>
                </c:pt>
                <c:pt idx="3">
                  <c:v>18.171540044729586</c:v>
                </c:pt>
                <c:pt idx="4">
                  <c:v>20.813150274239334</c:v>
                </c:pt>
                <c:pt idx="5">
                  <c:v>19.601952581136928</c:v>
                </c:pt>
                <c:pt idx="6">
                  <c:v>18.473887438702242</c:v>
                </c:pt>
                <c:pt idx="7">
                  <c:v>18.415934475943942</c:v>
                </c:pt>
                <c:pt idx="8">
                  <c:v>17.328694844558452</c:v>
                </c:pt>
                <c:pt idx="9">
                  <c:v>15.054253860491052</c:v>
                </c:pt>
                <c:pt idx="10">
                  <c:v>14.820063194952521</c:v>
                </c:pt>
                <c:pt idx="11">
                  <c:v>14.465982131192664</c:v>
                </c:pt>
                <c:pt idx="12">
                  <c:v>11.818000351671031</c:v>
                </c:pt>
                <c:pt idx="13">
                  <c:v>9.1229833108745328</c:v>
                </c:pt>
                <c:pt idx="14">
                  <c:v>8.8894589263122086</c:v>
                </c:pt>
                <c:pt idx="15">
                  <c:v>10.035011721391726</c:v>
                </c:pt>
                <c:pt idx="16">
                  <c:v>6.7586676690723708</c:v>
                </c:pt>
                <c:pt idx="17">
                  <c:v>6.6192127040554922</c:v>
                </c:pt>
                <c:pt idx="18">
                  <c:v>4.8360335953952625</c:v>
                </c:pt>
                <c:pt idx="19">
                  <c:v>2.5192771352211927</c:v>
                </c:pt>
                <c:pt idx="20">
                  <c:v>1.8734608395435544</c:v>
                </c:pt>
                <c:pt idx="21">
                  <c:v>1.3197406314330269</c:v>
                </c:pt>
                <c:pt idx="22">
                  <c:v>-2.201090655948339</c:v>
                </c:pt>
                <c:pt idx="23">
                  <c:v>-2.7571702650658789</c:v>
                </c:pt>
                <c:pt idx="24">
                  <c:v>-0.56084701184624142</c:v>
                </c:pt>
                <c:pt idx="25">
                  <c:v>-2.4282928163731925</c:v>
                </c:pt>
                <c:pt idx="26">
                  <c:v>-0.73694836075372505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3F-4518-8A05-A899BFB252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H4'!$DH$1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H4'!$DG$2:$DG$37</c:f>
              <c:numCache>
                <c:formatCode>0.00000</c:formatCode>
                <c:ptCount val="36"/>
                <c:pt idx="0">
                  <c:v>-0.78830701715780727</c:v>
                </c:pt>
                <c:pt idx="1">
                  <c:v>-0.81845717967453846</c:v>
                </c:pt>
                <c:pt idx="2">
                  <c:v>-0.72074855707226904</c:v>
                </c:pt>
                <c:pt idx="3">
                  <c:v>-0.69871387448185784</c:v>
                </c:pt>
                <c:pt idx="4">
                  <c:v>-0.68402624367014753</c:v>
                </c:pt>
                <c:pt idx="5">
                  <c:v>-0.65906350422975279</c:v>
                </c:pt>
                <c:pt idx="6">
                  <c:v>-0.58129901325704825</c:v>
                </c:pt>
                <c:pt idx="7">
                  <c:v>-0.65618503233095948</c:v>
                </c:pt>
                <c:pt idx="8">
                  <c:v>-0.68409153087319918</c:v>
                </c:pt>
                <c:pt idx="9">
                  <c:v>-0.53816286725710627</c:v>
                </c:pt>
                <c:pt idx="10">
                  <c:v>-0.55209769626207972</c:v>
                </c:pt>
                <c:pt idx="11">
                  <c:v>-0.56310008744843776</c:v>
                </c:pt>
                <c:pt idx="12">
                  <c:v>-0.44587881764902931</c:v>
                </c:pt>
                <c:pt idx="13">
                  <c:v>-0.27692654118166526</c:v>
                </c:pt>
                <c:pt idx="14">
                  <c:v>-0.26449436964695</c:v>
                </c:pt>
                <c:pt idx="15">
                  <c:v>-0.32962283371287304</c:v>
                </c:pt>
                <c:pt idx="16">
                  <c:v>-0.28573527364178003</c:v>
                </c:pt>
                <c:pt idx="17">
                  <c:v>-0.22944460911952422</c:v>
                </c:pt>
                <c:pt idx="18">
                  <c:v>-0.10677926645972149</c:v>
                </c:pt>
                <c:pt idx="19">
                  <c:v>0.11469499444278114</c:v>
                </c:pt>
                <c:pt idx="20">
                  <c:v>8.773197749980563E-2</c:v>
                </c:pt>
                <c:pt idx="21">
                  <c:v>0.10667537317633451</c:v>
                </c:pt>
                <c:pt idx="22">
                  <c:v>0.15473934194932729</c:v>
                </c:pt>
                <c:pt idx="23">
                  <c:v>0.13507294235722356</c:v>
                </c:pt>
                <c:pt idx="24">
                  <c:v>1.398618714712474E-4</c:v>
                </c:pt>
                <c:pt idx="25">
                  <c:v>0.11451966108755796</c:v>
                </c:pt>
                <c:pt idx="26">
                  <c:v>-7.2936800262726397E-3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H4'!$DH$2:$DH$37</c:f>
              <c:numCache>
                <c:formatCode>0.00000</c:formatCode>
                <c:ptCount val="36"/>
                <c:pt idx="0">
                  <c:v>0.14529518320417717</c:v>
                </c:pt>
                <c:pt idx="1">
                  <c:v>0.21007657904494606</c:v>
                </c:pt>
                <c:pt idx="2">
                  <c:v>0.24972293356264372</c:v>
                </c:pt>
                <c:pt idx="3">
                  <c:v>0.27878847636165505</c:v>
                </c:pt>
                <c:pt idx="4">
                  <c:v>0.37052493533433878</c:v>
                </c:pt>
                <c:pt idx="5">
                  <c:v>0.41538307147878317</c:v>
                </c:pt>
                <c:pt idx="6">
                  <c:v>0.35663719689132056</c:v>
                </c:pt>
                <c:pt idx="7">
                  <c:v>0.13237300176162409</c:v>
                </c:pt>
                <c:pt idx="8">
                  <c:v>-6.4493049781482029E-2</c:v>
                </c:pt>
                <c:pt idx="9">
                  <c:v>5.930619683059183E-2</c:v>
                </c:pt>
                <c:pt idx="10">
                  <c:v>9.9673606434064671E-2</c:v>
                </c:pt>
                <c:pt idx="11">
                  <c:v>0.10629077666738534</c:v>
                </c:pt>
                <c:pt idx="12">
                  <c:v>0.12018490342152184</c:v>
                </c:pt>
                <c:pt idx="13">
                  <c:v>-2.4921242718266189E-2</c:v>
                </c:pt>
                <c:pt idx="14">
                  <c:v>-2.6909037657338576E-2</c:v>
                </c:pt>
                <c:pt idx="15">
                  <c:v>-6.9996485289520238E-2</c:v>
                </c:pt>
                <c:pt idx="16">
                  <c:v>-0.10182503549904587</c:v>
                </c:pt>
                <c:pt idx="17">
                  <c:v>-7.0669289915540473E-2</c:v>
                </c:pt>
                <c:pt idx="18">
                  <c:v>-0.17352264094408476</c:v>
                </c:pt>
                <c:pt idx="19">
                  <c:v>-4.2308178194406659E-2</c:v>
                </c:pt>
                <c:pt idx="20">
                  <c:v>-0.18831489450335551</c:v>
                </c:pt>
                <c:pt idx="21">
                  <c:v>-0.15713227715387998</c:v>
                </c:pt>
                <c:pt idx="22">
                  <c:v>-0.16376731679824114</c:v>
                </c:pt>
                <c:pt idx="23">
                  <c:v>-0.23348380308733185</c:v>
                </c:pt>
                <c:pt idx="24">
                  <c:v>-0.30657350408401629</c:v>
                </c:pt>
                <c:pt idx="25">
                  <c:v>-0.3877023926182433</c:v>
                </c:pt>
                <c:pt idx="26">
                  <c:v>-5.7630015301757806E-2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A4F-42BC-8C49-95F165453A19}"/>
            </c:ext>
          </c:extLst>
        </c:ser>
        <c:ser>
          <c:idx val="1"/>
          <c:order val="1"/>
          <c:tx>
            <c:strRef>
              <c:f>'SATORI H4'!$DJ$1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H4'!$DI$2:$DI$37</c:f>
              <c:numCache>
                <c:formatCode>0.00000</c:formatCode>
                <c:ptCount val="36"/>
                <c:pt idx="0">
                  <c:v>-1.2804655336702624</c:v>
                </c:pt>
                <c:pt idx="1">
                  <c:v>-1.31325203499928</c:v>
                </c:pt>
                <c:pt idx="2">
                  <c:v>-1.1706003506570566</c:v>
                </c:pt>
                <c:pt idx="3">
                  <c:v>-1.2911810109239832</c:v>
                </c:pt>
                <c:pt idx="4">
                  <c:v>-1.3696785446954907</c:v>
                </c:pt>
                <c:pt idx="5">
                  <c:v>-1.3111325919772086</c:v>
                </c:pt>
                <c:pt idx="6">
                  <c:v>-1.0600171723224519</c:v>
                </c:pt>
                <c:pt idx="7">
                  <c:v>-0.71664655320777793</c:v>
                </c:pt>
                <c:pt idx="8">
                  <c:v>-0.6038689692059146</c:v>
                </c:pt>
                <c:pt idx="9">
                  <c:v>-0.37882140760783883</c:v>
                </c:pt>
                <c:pt idx="10">
                  <c:v>-0.39390418887271267</c:v>
                </c:pt>
                <c:pt idx="11">
                  <c:v>-0.28148994819034345</c:v>
                </c:pt>
                <c:pt idx="12">
                  <c:v>-0.2629508306523326</c:v>
                </c:pt>
                <c:pt idx="13">
                  <c:v>6.2981611084107353E-3</c:v>
                </c:pt>
                <c:pt idx="14">
                  <c:v>-8.2760363064610293E-2</c:v>
                </c:pt>
                <c:pt idx="15">
                  <c:v>-0.16147135482310784</c:v>
                </c:pt>
                <c:pt idx="16">
                  <c:v>0.16273572235201911</c:v>
                </c:pt>
                <c:pt idx="17">
                  <c:v>7.7284389195751479E-2</c:v>
                </c:pt>
                <c:pt idx="18">
                  <c:v>0.35825119135597144</c:v>
                </c:pt>
                <c:pt idx="19">
                  <c:v>0.17482633786513341</c:v>
                </c:pt>
                <c:pt idx="20">
                  <c:v>0.38549321941969356</c:v>
                </c:pt>
                <c:pt idx="21">
                  <c:v>0.6690297347903541</c:v>
                </c:pt>
                <c:pt idx="22">
                  <c:v>0.74015022666884756</c:v>
                </c:pt>
                <c:pt idx="23">
                  <c:v>0.82954440917050964</c:v>
                </c:pt>
                <c:pt idx="24">
                  <c:v>0.79056252428172191</c:v>
                </c:pt>
                <c:pt idx="25">
                  <c:v>0.88906663625569526</c:v>
                </c:pt>
                <c:pt idx="26">
                  <c:v>9.2447074050108963E-2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H4'!$DJ$2:$DJ$37</c:f>
              <c:numCache>
                <c:formatCode>0.00000</c:formatCode>
                <c:ptCount val="36"/>
                <c:pt idx="0">
                  <c:v>-0.37890411178100092</c:v>
                </c:pt>
                <c:pt idx="1">
                  <c:v>-0.29364723597185222</c:v>
                </c:pt>
                <c:pt idx="2">
                  <c:v>-0.20846298559325804</c:v>
                </c:pt>
                <c:pt idx="3">
                  <c:v>-0.32744166419288567</c:v>
                </c:pt>
                <c:pt idx="4">
                  <c:v>-0.32428303798471386</c:v>
                </c:pt>
                <c:pt idx="5">
                  <c:v>-0.24643091493626942</c:v>
                </c:pt>
                <c:pt idx="6">
                  <c:v>-0.1308385566419934</c:v>
                </c:pt>
                <c:pt idx="7">
                  <c:v>6.2142795486040493E-2</c:v>
                </c:pt>
                <c:pt idx="8">
                  <c:v>3.3748240304833366E-3</c:v>
                </c:pt>
                <c:pt idx="9">
                  <c:v>0.20655022514481169</c:v>
                </c:pt>
                <c:pt idx="10">
                  <c:v>0.24842451851610647</c:v>
                </c:pt>
                <c:pt idx="11">
                  <c:v>0.38015478511307854</c:v>
                </c:pt>
                <c:pt idx="12">
                  <c:v>0.29121008778664975</c:v>
                </c:pt>
                <c:pt idx="13">
                  <c:v>0.25038350654175295</c:v>
                </c:pt>
                <c:pt idx="14">
                  <c:v>0.14559026361005703</c:v>
                </c:pt>
                <c:pt idx="15">
                  <c:v>8.8969871880829943E-2</c:v>
                </c:pt>
                <c:pt idx="16">
                  <c:v>0.34102764645123596</c:v>
                </c:pt>
                <c:pt idx="17">
                  <c:v>0.22584801858614381</c:v>
                </c:pt>
                <c:pt idx="18">
                  <c:v>0.28340468574116373</c:v>
                </c:pt>
                <c:pt idx="19">
                  <c:v>9.5240808952608003E-3</c:v>
                </c:pt>
                <c:pt idx="20">
                  <c:v>0.103876560792942</c:v>
                </c:pt>
                <c:pt idx="21">
                  <c:v>0.39864289053403307</c:v>
                </c:pt>
                <c:pt idx="22">
                  <c:v>0.41222956305341651</c:v>
                </c:pt>
                <c:pt idx="23">
                  <c:v>0.46028237936630467</c:v>
                </c:pt>
                <c:pt idx="24">
                  <c:v>0.48221472330722642</c:v>
                </c:pt>
                <c:pt idx="25">
                  <c:v>0.38394489946111898</c:v>
                </c:pt>
                <c:pt idx="26">
                  <c:v>4.4076441142206962E-2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A4F-42BC-8C49-95F165453A19}"/>
            </c:ext>
          </c:extLst>
        </c:ser>
        <c:ser>
          <c:idx val="2"/>
          <c:order val="2"/>
          <c:tx>
            <c:strRef>
              <c:f>'SATORI H4'!$DL$1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H4'!$DK$2:$DK$37</c:f>
              <c:numCache>
                <c:formatCode>0.00000</c:formatCode>
                <c:ptCount val="36"/>
                <c:pt idx="0">
                  <c:v>-1.6161959515072406</c:v>
                </c:pt>
                <c:pt idx="1">
                  <c:v>-1.5862996686117554</c:v>
                </c:pt>
                <c:pt idx="2">
                  <c:v>-1.3411639602540859</c:v>
                </c:pt>
                <c:pt idx="3">
                  <c:v>-1.4440304027640194</c:v>
                </c:pt>
                <c:pt idx="4">
                  <c:v>-1.5054055120884429</c:v>
                </c:pt>
                <c:pt idx="5">
                  <c:v>-1.498500335507722</c:v>
                </c:pt>
                <c:pt idx="6">
                  <c:v>-1.4332422204691799</c:v>
                </c:pt>
                <c:pt idx="7">
                  <c:v>-1.448594713714098</c:v>
                </c:pt>
                <c:pt idx="8">
                  <c:v>-1.2463010263539815</c:v>
                </c:pt>
                <c:pt idx="9">
                  <c:v>-1.0837407403711425</c:v>
                </c:pt>
                <c:pt idx="10">
                  <c:v>-1.1253265457495725</c:v>
                </c:pt>
                <c:pt idx="11">
                  <c:v>-1.167664525996984</c:v>
                </c:pt>
                <c:pt idx="12">
                  <c:v>-1.0991070070088576</c:v>
                </c:pt>
                <c:pt idx="13">
                  <c:v>-0.85973955480514197</c:v>
                </c:pt>
                <c:pt idx="14">
                  <c:v>-1.0223988414169767</c:v>
                </c:pt>
                <c:pt idx="15">
                  <c:v>-0.87957919560968822</c:v>
                </c:pt>
                <c:pt idx="16">
                  <c:v>-0.82860134780174466</c:v>
                </c:pt>
                <c:pt idx="17">
                  <c:v>-0.81469636518296773</c:v>
                </c:pt>
                <c:pt idx="18">
                  <c:v>-0.62817685028849257</c:v>
                </c:pt>
                <c:pt idx="19">
                  <c:v>-0.44596958370764289</c:v>
                </c:pt>
                <c:pt idx="20">
                  <c:v>-0.35361771532845498</c:v>
                </c:pt>
                <c:pt idx="21">
                  <c:v>-0.25573767275840176</c:v>
                </c:pt>
                <c:pt idx="22">
                  <c:v>-0.18110674601331517</c:v>
                </c:pt>
                <c:pt idx="23">
                  <c:v>-0.10330571437164418</c:v>
                </c:pt>
                <c:pt idx="24">
                  <c:v>-9.0855999547911903E-2</c:v>
                </c:pt>
                <c:pt idx="25">
                  <c:v>0.17283774123645518</c:v>
                </c:pt>
                <c:pt idx="26">
                  <c:v>-2.8815974953464649E-2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H4'!$DL$2:$DL$37</c:f>
              <c:numCache>
                <c:formatCode>0.00000</c:formatCode>
                <c:ptCount val="36"/>
                <c:pt idx="0">
                  <c:v>-0.69242556522357679</c:v>
                </c:pt>
                <c:pt idx="1">
                  <c:v>-0.56109194264357365</c:v>
                </c:pt>
                <c:pt idx="2">
                  <c:v>-0.37265561305555855</c:v>
                </c:pt>
                <c:pt idx="3">
                  <c:v>-0.4710669725382034</c:v>
                </c:pt>
                <c:pt idx="4">
                  <c:v>-0.45583896237058241</c:v>
                </c:pt>
                <c:pt idx="5">
                  <c:v>-0.4230509253200937</c:v>
                </c:pt>
                <c:pt idx="6">
                  <c:v>-0.49570575628042124</c:v>
                </c:pt>
                <c:pt idx="7">
                  <c:v>-0.66356189300687929</c:v>
                </c:pt>
                <c:pt idx="8">
                  <c:v>-0.62835971516548073</c:v>
                </c:pt>
                <c:pt idx="9">
                  <c:v>-0.49125944448033043</c:v>
                </c:pt>
                <c:pt idx="10">
                  <c:v>-0.47954284557466192</c:v>
                </c:pt>
                <c:pt idx="11">
                  <c:v>-0.5100152855966873</c:v>
                </c:pt>
                <c:pt idx="12">
                  <c:v>-0.53815160606937962</c:v>
                </c:pt>
                <c:pt idx="13">
                  <c:v>-0.61206403743640991</c:v>
                </c:pt>
                <c:pt idx="14">
                  <c:v>-0.79071102159323914</c:v>
                </c:pt>
                <c:pt idx="15">
                  <c:v>-0.62409520013030806</c:v>
                </c:pt>
                <c:pt idx="16">
                  <c:v>-0.65108955478918906</c:v>
                </c:pt>
                <c:pt idx="17">
                  <c:v>-0.68631198443238184</c:v>
                </c:pt>
                <c:pt idx="18">
                  <c:v>-0.70040294156064586</c:v>
                </c:pt>
                <c:pt idx="19">
                  <c:v>-0.60889553298006627</c:v>
                </c:pt>
                <c:pt idx="20">
                  <c:v>-0.63353821410376465</c:v>
                </c:pt>
                <c:pt idx="21">
                  <c:v>-0.52569622606016819</c:v>
                </c:pt>
                <c:pt idx="22">
                  <c:v>-0.50577287237376134</c:v>
                </c:pt>
                <c:pt idx="23">
                  <c:v>-0.47765369392242302</c:v>
                </c:pt>
                <c:pt idx="24">
                  <c:v>-0.3968763584038128</c:v>
                </c:pt>
                <c:pt idx="25">
                  <c:v>-0.32902264165798056</c:v>
                </c:pt>
                <c:pt idx="26">
                  <c:v>-7.929104477612102E-2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A4F-42BC-8C49-95F165453A19}"/>
            </c:ext>
          </c:extLst>
        </c:ser>
        <c:ser>
          <c:idx val="3"/>
          <c:order val="3"/>
          <c:tx>
            <c:strRef>
              <c:f>'SATORI H4'!$DN$1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H4'!$DM$2:$DM$37</c:f>
              <c:numCache>
                <c:formatCode>0.00000</c:formatCode>
                <c:ptCount val="36"/>
                <c:pt idx="0">
                  <c:v>-1.6938244435219778</c:v>
                </c:pt>
                <c:pt idx="1">
                  <c:v>-1.776872299849187</c:v>
                </c:pt>
                <c:pt idx="2">
                  <c:v>-1.6684961604151172</c:v>
                </c:pt>
                <c:pt idx="3">
                  <c:v>-1.7960093565482182</c:v>
                </c:pt>
                <c:pt idx="4">
                  <c:v>-1.8819327365962033</c:v>
                </c:pt>
                <c:pt idx="5">
                  <c:v>-1.8300555225508242</c:v>
                </c:pt>
                <c:pt idx="6">
                  <c:v>-1.6771548634450737</c:v>
                </c:pt>
                <c:pt idx="7">
                  <c:v>-1.7542878882463027</c:v>
                </c:pt>
                <c:pt idx="8">
                  <c:v>-1.5551261510803434</c:v>
                </c:pt>
                <c:pt idx="9">
                  <c:v>-1.4062767568973775</c:v>
                </c:pt>
                <c:pt idx="10">
                  <c:v>-1.5281844638431499</c:v>
                </c:pt>
                <c:pt idx="11">
                  <c:v>-1.6113692529102928</c:v>
                </c:pt>
                <c:pt idx="12">
                  <c:v>-1.4327978243388673</c:v>
                </c:pt>
                <c:pt idx="13">
                  <c:v>-1.0863637065512688</c:v>
                </c:pt>
                <c:pt idx="14">
                  <c:v>-0.95927610581565315</c:v>
                </c:pt>
                <c:pt idx="15">
                  <c:v>-0.9428267697706636</c:v>
                </c:pt>
                <c:pt idx="16">
                  <c:v>-0.82754868009330185</c:v>
                </c:pt>
                <c:pt idx="17">
                  <c:v>-0.68662125771581861</c:v>
                </c:pt>
                <c:pt idx="18">
                  <c:v>-0.47177105188030033</c:v>
                </c:pt>
                <c:pt idx="19">
                  <c:v>-3.1122755619786335E-2</c:v>
                </c:pt>
                <c:pt idx="20">
                  <c:v>-0.11706579197217681</c:v>
                </c:pt>
                <c:pt idx="21">
                  <c:v>-2.5006995075011085E-2</c:v>
                </c:pt>
                <c:pt idx="22">
                  <c:v>0.16096497305271282</c:v>
                </c:pt>
                <c:pt idx="23">
                  <c:v>0.21391184464899632</c:v>
                </c:pt>
                <c:pt idx="24">
                  <c:v>1.1611050542892909E-2</c:v>
                </c:pt>
                <c:pt idx="25">
                  <c:v>0.25678327646455201</c:v>
                </c:pt>
                <c:pt idx="26">
                  <c:v>0.11925248316880542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H4'!$DN$2:$DN$37</c:f>
              <c:numCache>
                <c:formatCode>0.00000</c:formatCode>
                <c:ptCount val="36"/>
                <c:pt idx="0">
                  <c:v>-0.75502310320555932</c:v>
                </c:pt>
                <c:pt idx="1">
                  <c:v>-0.74593131248646705</c:v>
                </c:pt>
                <c:pt idx="2">
                  <c:v>-0.69685973462320239</c:v>
                </c:pt>
                <c:pt idx="3">
                  <c:v>-0.81877840698344129</c:v>
                </c:pt>
                <c:pt idx="4">
                  <c:v>-0.82666431607711899</c:v>
                </c:pt>
                <c:pt idx="5">
                  <c:v>-0.76119350211728842</c:v>
                </c:pt>
                <c:pt idx="6">
                  <c:v>-0.74058656727762828</c:v>
                </c:pt>
                <c:pt idx="7">
                  <c:v>-0.96534252482911342</c:v>
                </c:pt>
                <c:pt idx="8">
                  <c:v>-0.93497932017504481</c:v>
                </c:pt>
                <c:pt idx="9">
                  <c:v>-0.80822200282082024</c:v>
                </c:pt>
                <c:pt idx="10">
                  <c:v>-0.87558822624605559</c:v>
                </c:pt>
                <c:pt idx="11">
                  <c:v>-0.94846965423617335</c:v>
                </c:pt>
                <c:pt idx="12">
                  <c:v>-0.86836430356286443</c:v>
                </c:pt>
                <c:pt idx="13">
                  <c:v>-0.8349982107929903</c:v>
                </c:pt>
                <c:pt idx="14">
                  <c:v>-0.72168204657544521</c:v>
                </c:pt>
                <c:pt idx="15">
                  <c:v>-0.68473160862189364</c:v>
                </c:pt>
                <c:pt idx="16">
                  <c:v>-0.64597895951502271</c:v>
                </c:pt>
                <c:pt idx="17">
                  <c:v>-0.53287662912315414</c:v>
                </c:pt>
                <c:pt idx="18">
                  <c:v>-0.54073997624758641</c:v>
                </c:pt>
                <c:pt idx="19">
                  <c:v>-0.19474424393014697</c:v>
                </c:pt>
                <c:pt idx="20">
                  <c:v>-0.39526850615789844</c:v>
                </c:pt>
                <c:pt idx="21">
                  <c:v>-0.29149025373539028</c:v>
                </c:pt>
                <c:pt idx="22">
                  <c:v>-0.16073191563168715</c:v>
                </c:pt>
                <c:pt idx="23">
                  <c:v>-0.15591156410756082</c:v>
                </c:pt>
                <c:pt idx="24">
                  <c:v>-0.29408478143170091</c:v>
                </c:pt>
                <c:pt idx="25">
                  <c:v>-0.24463237635619295</c:v>
                </c:pt>
                <c:pt idx="26">
                  <c:v>6.9785769718981594E-2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A4F-42BC-8C49-95F165453A19}"/>
            </c:ext>
          </c:extLst>
        </c:ser>
        <c:ser>
          <c:idx val="4"/>
          <c:order val="4"/>
          <c:tx>
            <c:strRef>
              <c:f>'SATORI H4'!$DP$1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H4'!$DO$2:$DO$37</c:f>
              <c:numCache>
                <c:formatCode>0.00000</c:formatCode>
                <c:ptCount val="36"/>
                <c:pt idx="0">
                  <c:v>-2.2896721800071962</c:v>
                </c:pt>
                <c:pt idx="1">
                  <c:v>-2.3303503667363401</c:v>
                </c:pt>
                <c:pt idx="2">
                  <c:v>-2.2081667002488716</c:v>
                </c:pt>
                <c:pt idx="3">
                  <c:v>-2.2749158536742464</c:v>
                </c:pt>
                <c:pt idx="4">
                  <c:v>-2.6059342219484143</c:v>
                </c:pt>
                <c:pt idx="5">
                  <c:v>-2.4564282417091992</c:v>
                </c:pt>
                <c:pt idx="6">
                  <c:v>-2.3115879728596123</c:v>
                </c:pt>
                <c:pt idx="7">
                  <c:v>-2.3050778740688744</c:v>
                </c:pt>
                <c:pt idx="8">
                  <c:v>-2.1698105989710914</c:v>
                </c:pt>
                <c:pt idx="9">
                  <c:v>-1.8837927841471918</c:v>
                </c:pt>
                <c:pt idx="10">
                  <c:v>-1.8543651516002373</c:v>
                </c:pt>
                <c:pt idx="11">
                  <c:v>-1.8118404954774987</c:v>
                </c:pt>
                <c:pt idx="12">
                  <c:v>-1.4787150236865021</c:v>
                </c:pt>
                <c:pt idx="13">
                  <c:v>-1.142824089448671</c:v>
                </c:pt>
                <c:pt idx="14">
                  <c:v>-1.1148253411574176</c:v>
                </c:pt>
                <c:pt idx="15">
                  <c:v>-1.256265730611881</c:v>
                </c:pt>
                <c:pt idx="16">
                  <c:v>-0.84672068891426289</c:v>
                </c:pt>
                <c:pt idx="17">
                  <c:v>-0.8235958644151582</c:v>
                </c:pt>
                <c:pt idx="18">
                  <c:v>-0.60508537756717384</c:v>
                </c:pt>
                <c:pt idx="19">
                  <c:v>-0.31288674890846779</c:v>
                </c:pt>
                <c:pt idx="20">
                  <c:v>-0.23313265735741093</c:v>
                </c:pt>
                <c:pt idx="21">
                  <c:v>-0.16662671338867607</c:v>
                </c:pt>
                <c:pt idx="22">
                  <c:v>0.27760248215567096</c:v>
                </c:pt>
                <c:pt idx="23">
                  <c:v>0.34110409476241998</c:v>
                </c:pt>
                <c:pt idx="24">
                  <c:v>7.2779705575392817E-2</c:v>
                </c:pt>
                <c:pt idx="25">
                  <c:v>0.30162794745294769</c:v>
                </c:pt>
                <c:pt idx="26">
                  <c:v>9.1596442727232358E-2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H4'!$DP$2:$DP$37</c:f>
              <c:numCache>
                <c:formatCode>0.00000</c:formatCode>
                <c:ptCount val="36"/>
                <c:pt idx="0">
                  <c:v>-1.3532521970347648</c:v>
                </c:pt>
                <c:pt idx="1">
                  <c:v>-1.2957971252435394</c:v>
                </c:pt>
                <c:pt idx="2">
                  <c:v>-1.2312019218514689</c:v>
                </c:pt>
                <c:pt idx="3">
                  <c:v>-1.2947332704286421</c:v>
                </c:pt>
                <c:pt idx="4">
                  <c:v>-1.5461746275473671</c:v>
                </c:pt>
                <c:pt idx="5">
                  <c:v>-1.3808515564086814</c:v>
                </c:pt>
                <c:pt idx="6">
                  <c:v>-1.3753226624086379</c:v>
                </c:pt>
                <c:pt idx="7">
                  <c:v>-1.5148451853301992</c:v>
                </c:pt>
                <c:pt idx="8">
                  <c:v>-1.5447518102014337</c:v>
                </c:pt>
                <c:pt idx="9">
                  <c:v>-1.2867820926423712</c:v>
                </c:pt>
                <c:pt idx="10">
                  <c:v>-1.2034395603540327</c:v>
                </c:pt>
                <c:pt idx="11">
                  <c:v>-1.1471736321317034</c:v>
                </c:pt>
                <c:pt idx="12">
                  <c:v>-0.91602592874924316</c:v>
                </c:pt>
                <c:pt idx="13">
                  <c:v>-0.88961602503536075</c:v>
                </c:pt>
                <c:pt idx="14">
                  <c:v>-0.87421262088303997</c:v>
                </c:pt>
                <c:pt idx="15">
                  <c:v>-0.99704041411373878</c:v>
                </c:pt>
                <c:pt idx="16">
                  <c:v>-0.66272627959759234</c:v>
                </c:pt>
                <c:pt idx="17">
                  <c:v>-0.678099407370237</c:v>
                </c:pt>
                <c:pt idx="18">
                  <c:v>-0.67315828903045682</c:v>
                </c:pt>
                <c:pt idx="19">
                  <c:v>-0.47809086474237039</c:v>
                </c:pt>
                <c:pt idx="20">
                  <c:v>-0.51481647510008588</c:v>
                </c:pt>
                <c:pt idx="21">
                  <c:v>-0.43047358290564403</c:v>
                </c:pt>
                <c:pt idx="22">
                  <c:v>-5.1278567546881246E-2</c:v>
                </c:pt>
                <c:pt idx="23">
                  <c:v>-2.7277738427330084E-2</c:v>
                </c:pt>
                <c:pt idx="24">
                  <c:v>-0.24046588516637216</c:v>
                </c:pt>
                <c:pt idx="25">
                  <c:v>-0.19784642774484917</c:v>
                </c:pt>
                <c:pt idx="26">
                  <c:v>4.3625734820978194E-2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A4F-42BC-8C49-95F165453A19}"/>
            </c:ext>
          </c:extLst>
        </c:ser>
        <c:ser>
          <c:idx val="5"/>
          <c:order val="5"/>
          <c:tx>
            <c:strRef>
              <c:f>'SATORI H4'!$DR$1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H4'!$DQ$2:$DQ$37</c:f>
              <c:numCache>
                <c:formatCode>0.00000</c:formatCode>
                <c:ptCount val="36"/>
                <c:pt idx="0">
                  <c:v>-0.93883010942605183</c:v>
                </c:pt>
                <c:pt idx="1">
                  <c:v>-0.9991958710636254</c:v>
                </c:pt>
                <c:pt idx="2">
                  <c:v>-0.82389422898027498</c:v>
                </c:pt>
                <c:pt idx="3">
                  <c:v>-1.070333219884672</c:v>
                </c:pt>
                <c:pt idx="4">
                  <c:v>-1.2243369737261842</c:v>
                </c:pt>
                <c:pt idx="5">
                  <c:v>-1.354446706484919</c:v>
                </c:pt>
                <c:pt idx="6">
                  <c:v>-1.2615974730069295</c:v>
                </c:pt>
                <c:pt idx="7">
                  <c:v>-0.73208067418910616</c:v>
                </c:pt>
                <c:pt idx="8">
                  <c:v>-0.49252620455314755</c:v>
                </c:pt>
                <c:pt idx="9">
                  <c:v>-0.21484295402567494</c:v>
                </c:pt>
                <c:pt idx="10">
                  <c:v>-0.67499186997499838</c:v>
                </c:pt>
                <c:pt idx="11">
                  <c:v>-0.43966083765620412</c:v>
                </c:pt>
                <c:pt idx="12">
                  <c:v>-0.50928541103504632</c:v>
                </c:pt>
                <c:pt idx="13">
                  <c:v>-0.70214812287627715</c:v>
                </c:pt>
                <c:pt idx="14">
                  <c:v>-0.79593170869510355</c:v>
                </c:pt>
                <c:pt idx="15">
                  <c:v>-0.72000416136008005</c:v>
                </c:pt>
                <c:pt idx="16">
                  <c:v>0.35523555145821095</c:v>
                </c:pt>
                <c:pt idx="17">
                  <c:v>0.23125013160157831</c:v>
                </c:pt>
                <c:pt idx="18">
                  <c:v>0.5048932334305769</c:v>
                </c:pt>
                <c:pt idx="19">
                  <c:v>0.29160576254601089</c:v>
                </c:pt>
                <c:pt idx="20">
                  <c:v>0.9808528357675893</c:v>
                </c:pt>
                <c:pt idx="21">
                  <c:v>1.0829587706750661</c:v>
                </c:pt>
                <c:pt idx="22">
                  <c:v>1.1433797031714599</c:v>
                </c:pt>
                <c:pt idx="23">
                  <c:v>1.3630966166847029</c:v>
                </c:pt>
                <c:pt idx="24">
                  <c:v>1.2027412853731601</c:v>
                </c:pt>
                <c:pt idx="25">
                  <c:v>1.1456786036956461</c:v>
                </c:pt>
                <c:pt idx="26">
                  <c:v>4.6173381045835266E-2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H4'!$DR$2:$DR$37</c:f>
              <c:numCache>
                <c:formatCode>0.00000</c:formatCode>
                <c:ptCount val="36"/>
                <c:pt idx="0">
                  <c:v>-1.2346820695257037E-2</c:v>
                </c:pt>
                <c:pt idx="1">
                  <c:v>1.9717505275609074E-2</c:v>
                </c:pt>
                <c:pt idx="2">
                  <c:v>0.13735369534120356</c:v>
                </c:pt>
                <c:pt idx="3">
                  <c:v>-0.10342420248254375</c:v>
                </c:pt>
                <c:pt idx="4">
                  <c:v>-0.17818293566181698</c:v>
                </c:pt>
                <c:pt idx="5">
                  <c:v>-0.2876604742109124</c:v>
                </c:pt>
                <c:pt idx="6">
                  <c:v>-0.33407079091490649</c:v>
                </c:pt>
                <c:pt idx="7">
                  <c:v>4.7507426455224142E-2</c:v>
                </c:pt>
                <c:pt idx="8">
                  <c:v>0.11773257814771459</c:v>
                </c:pt>
                <c:pt idx="9">
                  <c:v>0.37517632761008279</c:v>
                </c:pt>
                <c:pt idx="10">
                  <c:v>-2.9517129434407208E-2</c:v>
                </c:pt>
                <c:pt idx="11">
                  <c:v>0.22277814218298803</c:v>
                </c:pt>
                <c:pt idx="12">
                  <c:v>4.8329074530027327E-2</c:v>
                </c:pt>
                <c:pt idx="13">
                  <c:v>-0.45784162332881939</c:v>
                </c:pt>
                <c:pt idx="14">
                  <c:v>-0.56638019793822503</c:v>
                </c:pt>
                <c:pt idx="15">
                  <c:v>-0.47033836087474989</c:v>
                </c:pt>
                <c:pt idx="16">
                  <c:v>0.53258760662676252</c:v>
                </c:pt>
                <c:pt idx="17">
                  <c:v>0.38023005786313763</c:v>
                </c:pt>
                <c:pt idx="18">
                  <c:v>0.42996724900131422</c:v>
                </c:pt>
                <c:pt idx="19">
                  <c:v>0.12694441142648838</c:v>
                </c:pt>
                <c:pt idx="20">
                  <c:v>0.69951374742977213</c:v>
                </c:pt>
                <c:pt idx="21">
                  <c:v>0.81206367616853858</c:v>
                </c:pt>
                <c:pt idx="22">
                  <c:v>0.81756853267527041</c:v>
                </c:pt>
                <c:pt idx="23">
                  <c:v>0.99463316737262453</c:v>
                </c:pt>
                <c:pt idx="24">
                  <c:v>0.89501148529413066</c:v>
                </c:pt>
                <c:pt idx="25">
                  <c:v>0.64257133260459764</c:v>
                </c:pt>
                <c:pt idx="26">
                  <c:v>-2.4666235007496551E-3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A4F-42BC-8C49-95F165453A19}"/>
            </c:ext>
          </c:extLst>
        </c:ser>
        <c:ser>
          <c:idx val="6"/>
          <c:order val="6"/>
          <c:tx>
            <c:strRef>
              <c:f>'SATORI H4'!$DT$1</c:f>
              <c:strCache>
                <c:ptCount val="1"/>
                <c:pt idx="0">
                  <c:v>EU-H4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H4'!$DS$2:$DS$37</c:f>
              <c:numCache>
                <c:formatCode>0.00000</c:formatCode>
                <c:ptCount val="36"/>
                <c:pt idx="0">
                  <c:v>-0.93906994540947353</c:v>
                </c:pt>
                <c:pt idx="1">
                  <c:v>-1.0253620802409407</c:v>
                </c:pt>
                <c:pt idx="2">
                  <c:v>-0.96780087649226976</c:v>
                </c:pt>
                <c:pt idx="3">
                  <c:v>-0.9731969481520969</c:v>
                </c:pt>
                <c:pt idx="4">
                  <c:v>-1.0513788153507528</c:v>
                </c:pt>
                <c:pt idx="5">
                  <c:v>-1.0702467398790589</c:v>
                </c:pt>
                <c:pt idx="6">
                  <c:v>-0.93529397334733977</c:v>
                </c:pt>
                <c:pt idx="7">
                  <c:v>-0.78572286399824498</c:v>
                </c:pt>
                <c:pt idx="8">
                  <c:v>-0.61784979769741166</c:v>
                </c:pt>
                <c:pt idx="9">
                  <c:v>-0.59437816226608187</c:v>
                </c:pt>
                <c:pt idx="10">
                  <c:v>-0.64761236569290903</c:v>
                </c:pt>
                <c:pt idx="11">
                  <c:v>-0.66565460256945508</c:v>
                </c:pt>
                <c:pt idx="12">
                  <c:v>-0.56270798129561317</c:v>
                </c:pt>
                <c:pt idx="13">
                  <c:v>-0.24836791426056815</c:v>
                </c:pt>
                <c:pt idx="14">
                  <c:v>-0.23296559666477909</c:v>
                </c:pt>
                <c:pt idx="15">
                  <c:v>-0.25561093444262484</c:v>
                </c:pt>
                <c:pt idx="16">
                  <c:v>-0.18037184637664233</c:v>
                </c:pt>
                <c:pt idx="17">
                  <c:v>-0.15407657771152397</c:v>
                </c:pt>
                <c:pt idx="18">
                  <c:v>7.0389293479596715E-2</c:v>
                </c:pt>
                <c:pt idx="19">
                  <c:v>0.16043841118016483</c:v>
                </c:pt>
                <c:pt idx="20">
                  <c:v>0.27882471479548737</c:v>
                </c:pt>
                <c:pt idx="21">
                  <c:v>0.26789794238195475</c:v>
                </c:pt>
                <c:pt idx="22">
                  <c:v>0.3225616693548537</c:v>
                </c:pt>
                <c:pt idx="23">
                  <c:v>0.36813553547705957</c:v>
                </c:pt>
                <c:pt idx="24">
                  <c:v>0.30528312932300217</c:v>
                </c:pt>
                <c:pt idx="25">
                  <c:v>0.50059741190808993</c:v>
                </c:pt>
                <c:pt idx="26">
                  <c:v>4.9946421111902728E-2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H4'!$DT$2:$DT$37</c:f>
              <c:numCache>
                <c:formatCode>0.00000</c:formatCode>
                <c:ptCount val="36"/>
                <c:pt idx="0">
                  <c:v>0.93906994540947353</c:v>
                </c:pt>
                <c:pt idx="1">
                  <c:v>1.0253620802409407</c:v>
                </c:pt>
                <c:pt idx="2">
                  <c:v>0.96780087649226976</c:v>
                </c:pt>
                <c:pt idx="3">
                  <c:v>0.9731969481520969</c:v>
                </c:pt>
                <c:pt idx="4">
                  <c:v>1.0513788153507528</c:v>
                </c:pt>
                <c:pt idx="5">
                  <c:v>1.0702467398790589</c:v>
                </c:pt>
                <c:pt idx="6">
                  <c:v>0.93529397334733977</c:v>
                </c:pt>
                <c:pt idx="7">
                  <c:v>0.78572286399824498</c:v>
                </c:pt>
                <c:pt idx="8">
                  <c:v>0.61784979769741166</c:v>
                </c:pt>
                <c:pt idx="9">
                  <c:v>0.59437816226608187</c:v>
                </c:pt>
                <c:pt idx="10">
                  <c:v>0.64761236569290903</c:v>
                </c:pt>
                <c:pt idx="11">
                  <c:v>0.66565460256945508</c:v>
                </c:pt>
                <c:pt idx="12">
                  <c:v>0.56270798129561317</c:v>
                </c:pt>
                <c:pt idx="13">
                  <c:v>0.24836791426056815</c:v>
                </c:pt>
                <c:pt idx="14">
                  <c:v>0.23296559666477909</c:v>
                </c:pt>
                <c:pt idx="15">
                  <c:v>0.25561093444262484</c:v>
                </c:pt>
                <c:pt idx="16">
                  <c:v>0.18037184637664233</c:v>
                </c:pt>
                <c:pt idx="17">
                  <c:v>0.15407657771152397</c:v>
                </c:pt>
                <c:pt idx="18">
                  <c:v>-7.0389293479596715E-2</c:v>
                </c:pt>
                <c:pt idx="19">
                  <c:v>-0.16043841118016483</c:v>
                </c:pt>
                <c:pt idx="20">
                  <c:v>-0.27882471479548737</c:v>
                </c:pt>
                <c:pt idx="21">
                  <c:v>-0.26789794238195475</c:v>
                </c:pt>
                <c:pt idx="22">
                  <c:v>-0.3225616693548537</c:v>
                </c:pt>
                <c:pt idx="23">
                  <c:v>-0.36813553547705957</c:v>
                </c:pt>
                <c:pt idx="24">
                  <c:v>-0.30528312932300217</c:v>
                </c:pt>
                <c:pt idx="25">
                  <c:v>-0.50059741190808993</c:v>
                </c:pt>
                <c:pt idx="26">
                  <c:v>-4.9946421111902728E-2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A4F-42BC-8C49-95F165453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H4'!$AI$1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H4'!$AI$2:$AI$37</c:f>
              <c:numCache>
                <c:formatCode>0.00000</c:formatCode>
                <c:ptCount val="36"/>
                <c:pt idx="0">
                  <c:v>-8.3047856327209291E-2</c:v>
                </c:pt>
                <c:pt idx="1">
                  <c:v>0.10837613943406997</c:v>
                </c:pt>
                <c:pt idx="2">
                  <c:v>-0.12751319613310047</c:v>
                </c:pt>
                <c:pt idx="3">
                  <c:v>-8.5923380047985831E-2</c:v>
                </c:pt>
                <c:pt idx="4">
                  <c:v>5.1877214045379441E-2</c:v>
                </c:pt>
                <c:pt idx="5">
                  <c:v>0.15290065910575015</c:v>
                </c:pt>
                <c:pt idx="6">
                  <c:v>-7.7133024801228925E-2</c:v>
                </c:pt>
                <c:pt idx="7">
                  <c:v>0.19916173716595939</c:v>
                </c:pt>
                <c:pt idx="8">
                  <c:v>0.14884939418296581</c:v>
                </c:pt>
                <c:pt idx="9">
                  <c:v>-0.12190770694577231</c:v>
                </c:pt>
                <c:pt idx="10">
                  <c:v>-8.3184789067142745E-2</c:v>
                </c:pt>
                <c:pt idx="11">
                  <c:v>0.17857142857142541</c:v>
                </c:pt>
                <c:pt idx="12">
                  <c:v>0.34643411778759836</c:v>
                </c:pt>
                <c:pt idx="13">
                  <c:v>0.12708760073561554</c:v>
                </c:pt>
                <c:pt idx="14">
                  <c:v>1.6449336044989608E-2</c:v>
                </c:pt>
                <c:pt idx="15">
                  <c:v>0.11527808967736168</c:v>
                </c:pt>
                <c:pt idx="16">
                  <c:v>0.14092742237748337</c:v>
                </c:pt>
                <c:pt idx="17">
                  <c:v>0.21485020583551825</c:v>
                </c:pt>
                <c:pt idx="18">
                  <c:v>0.44064829626051405</c:v>
                </c:pt>
                <c:pt idx="19">
                  <c:v>-8.5943036352390492E-2</c:v>
                </c:pt>
                <c:pt idx="20">
                  <c:v>9.2058796897165715E-2</c:v>
                </c:pt>
                <c:pt idx="21">
                  <c:v>0.18597196812772393</c:v>
                </c:pt>
                <c:pt idx="22">
                  <c:v>5.2946871596283508E-2</c:v>
                </c:pt>
                <c:pt idx="23">
                  <c:v>-0.20230079410610344</c:v>
                </c:pt>
                <c:pt idx="24">
                  <c:v>0.2451722259216591</c:v>
                </c:pt>
                <c:pt idx="25">
                  <c:v>-0.13753079329574658</c:v>
                </c:pt>
                <c:pt idx="26">
                  <c:v>-0.11925248316880542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AE-4173-96A3-1ECE812B4A92}"/>
            </c:ext>
          </c:extLst>
        </c:ser>
        <c:ser>
          <c:idx val="1"/>
          <c:order val="1"/>
          <c:tx>
            <c:strRef>
              <c:f>'SATORI H4'!$AJ$1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H4'!$AJ$2:$AJ$37</c:f>
              <c:numCache>
                <c:formatCode>0.00000</c:formatCode>
                <c:ptCount val="36"/>
                <c:pt idx="0">
                  <c:v>-5.0130338881095436E-2</c:v>
                </c:pt>
                <c:pt idx="1">
                  <c:v>-1.6403601501847134E-2</c:v>
                </c:pt>
                <c:pt idx="2">
                  <c:v>-5.7379662097537087E-2</c:v>
                </c:pt>
                <c:pt idx="3">
                  <c:v>0.24377328171791232</c:v>
                </c:pt>
                <c:pt idx="4">
                  <c:v>-9.0306220182988339E-2</c:v>
                </c:pt>
                <c:pt idx="5">
                  <c:v>7.2980049079155989E-3</c:v>
                </c:pt>
                <c:pt idx="6">
                  <c:v>-8.6588767158248384E-2</c:v>
                </c:pt>
                <c:pt idx="7">
                  <c:v>6.2017766265984528E-2</c:v>
                </c:pt>
                <c:pt idx="8">
                  <c:v>-0.1338883171058339</c:v>
                </c:pt>
                <c:pt idx="9">
                  <c:v>-0.1500572946033876</c:v>
                </c:pt>
                <c:pt idx="10">
                  <c:v>-0.1199018984467243</c:v>
                </c:pt>
                <c:pt idx="11">
                  <c:v>-0.16051946638613993</c:v>
                </c:pt>
                <c:pt idx="12">
                  <c:v>7.2556435302406162E-3</c:v>
                </c:pt>
                <c:pt idx="13">
                  <c:v>9.8047226080559408E-2</c:v>
                </c:pt>
                <c:pt idx="14">
                  <c:v>0.1600363719027037</c:v>
                </c:pt>
                <c:pt idx="15">
                  <c:v>-0.29555489070815683</c:v>
                </c:pt>
                <c:pt idx="16">
                  <c:v>0.14072231401956858</c:v>
                </c:pt>
                <c:pt idx="17">
                  <c:v>-2.3599462658382069E-2</c:v>
                </c:pt>
                <c:pt idx="18">
                  <c:v>0.15272171921022198</c:v>
                </c:pt>
                <c:pt idx="19">
                  <c:v>-0.1642691836456949</c:v>
                </c:pt>
                <c:pt idx="20">
                  <c:v>1.8154586302362635E-2</c:v>
                </c:pt>
                <c:pt idx="21">
                  <c:v>-0.24810076150634872</c:v>
                </c:pt>
                <c:pt idx="22">
                  <c:v>-1.2675074466065113E-2</c:v>
                </c:pt>
                <c:pt idx="23">
                  <c:v>6.976154236427641E-2</c:v>
                </c:pt>
                <c:pt idx="24">
                  <c:v>4.530175499008391E-3</c:v>
                </c:pt>
                <c:pt idx="25">
                  <c:v>7.3442741862360814E-2</c:v>
                </c:pt>
                <c:pt idx="26">
                  <c:v>-2.6287402895231238E-2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AE-4173-96A3-1ECE812B4A92}"/>
            </c:ext>
          </c:extLst>
        </c:ser>
        <c:ser>
          <c:idx val="2"/>
          <c:order val="2"/>
          <c:tx>
            <c:strRef>
              <c:f>'SATORI H4'!$AK$1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H4'!$AK$2:$AK$37</c:f>
              <c:numCache>
                <c:formatCode>0.00000</c:formatCode>
                <c:ptCount val="36"/>
                <c:pt idx="0">
                  <c:v>-2.3398238010942374E-2</c:v>
                </c:pt>
                <c:pt idx="1">
                  <c:v>-6.8113658313417438E-2</c:v>
                </c:pt>
                <c:pt idx="2">
                  <c:v>0.11704834605597443</c:v>
                </c:pt>
                <c:pt idx="3">
                  <c:v>6.9259131001607049E-2</c:v>
                </c:pt>
                <c:pt idx="4">
                  <c:v>0.18366972102610848</c:v>
                </c:pt>
                <c:pt idx="5">
                  <c:v>5.9217512047693294E-2</c:v>
                </c:pt>
                <c:pt idx="6">
                  <c:v>-0.60684784152949911</c:v>
                </c:pt>
                <c:pt idx="7">
                  <c:v>-4.0575358584723421E-2</c:v>
                </c:pt>
                <c:pt idx="8">
                  <c:v>-0.12967277884712808</c:v>
                </c:pt>
                <c:pt idx="9">
                  <c:v>0.33849375362127165</c:v>
                </c:pt>
                <c:pt idx="10">
                  <c:v>-0.31816477693002115</c:v>
                </c:pt>
                <c:pt idx="11">
                  <c:v>0.2458125526922614</c:v>
                </c:pt>
                <c:pt idx="12">
                  <c:v>0.54229048795930435</c:v>
                </c:pt>
                <c:pt idx="13">
                  <c:v>0.22210622204482347</c:v>
                </c:pt>
                <c:pt idx="14">
                  <c:v>-6.137416761285408E-2</c:v>
                </c:pt>
                <c:pt idx="15">
                  <c:v>-0.96140208692128271</c:v>
                </c:pt>
                <c:pt idx="16">
                  <c:v>0.27835344792554217</c:v>
                </c:pt>
                <c:pt idx="17">
                  <c:v>-7.3090510415386084E-2</c:v>
                </c:pt>
                <c:pt idx="18">
                  <c:v>0.65394204438631687</c:v>
                </c:pt>
                <c:pt idx="19">
                  <c:v>-0.77157833902808493</c:v>
                </c:pt>
                <c:pt idx="20">
                  <c:v>-9.1242725927130931E-3</c:v>
                </c:pt>
                <c:pt idx="21">
                  <c:v>0.12485408313455276</c:v>
                </c:pt>
                <c:pt idx="22">
                  <c:v>-0.16518372889600186</c:v>
                </c:pt>
                <c:pt idx="23">
                  <c:v>-4.3557095248231245E-2</c:v>
                </c:pt>
                <c:pt idx="24">
                  <c:v>0.2997175543047586</c:v>
                </c:pt>
                <c:pt idx="25">
                  <c:v>0.96216970293779991</c:v>
                </c:pt>
                <c:pt idx="26">
                  <c:v>-7.482498129376236E-2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3AE-4173-96A3-1ECE812B4A92}"/>
            </c:ext>
          </c:extLst>
        </c:ser>
        <c:ser>
          <c:idx val="3"/>
          <c:order val="3"/>
          <c:tx>
            <c:strRef>
              <c:f>'SATORI H4'!$AL$1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H4'!$AL$2:$AL$37</c:f>
              <c:numCache>
                <c:formatCode>0.00000</c:formatCode>
                <c:ptCount val="36"/>
                <c:pt idx="0">
                  <c:v>-4.8623773552131107E-2</c:v>
                </c:pt>
                <c:pt idx="1">
                  <c:v>-3.6454535985842355E-2</c:v>
                </c:pt>
                <c:pt idx="2">
                  <c:v>-8.6788981270928284E-3</c:v>
                </c:pt>
                <c:pt idx="3">
                  <c:v>-5.2070677265898032E-3</c:v>
                </c:pt>
                <c:pt idx="4">
                  <c:v>-5.2067966051641866E-3</c:v>
                </c:pt>
                <c:pt idx="5">
                  <c:v>-9.8831362485707674E-2</c:v>
                </c:pt>
                <c:pt idx="6">
                  <c:v>-0.41956593055578367</c:v>
                </c:pt>
                <c:pt idx="7">
                  <c:v>8.4675468307180216E-2</c:v>
                </c:pt>
                <c:pt idx="8">
                  <c:v>-7.7702761038119489E-2</c:v>
                </c:pt>
                <c:pt idx="9">
                  <c:v>-0.10694264769296316</c:v>
                </c:pt>
                <c:pt idx="10">
                  <c:v>-0.19281422693546058</c:v>
                </c:pt>
                <c:pt idx="11">
                  <c:v>0.1569073729222647</c:v>
                </c:pt>
                <c:pt idx="12">
                  <c:v>7.5924903368304097E-2</c:v>
                </c:pt>
                <c:pt idx="13">
                  <c:v>0.21789506450386312</c:v>
                </c:pt>
                <c:pt idx="14">
                  <c:v>9.3470885550090865E-2</c:v>
                </c:pt>
                <c:pt idx="15">
                  <c:v>-0.20728252608304756</c:v>
                </c:pt>
                <c:pt idx="16">
                  <c:v>0.23547337073204999</c:v>
                </c:pt>
                <c:pt idx="17">
                  <c:v>-7.7853324336959823E-2</c:v>
                </c:pt>
                <c:pt idx="18">
                  <c:v>0.62497823891925453</c:v>
                </c:pt>
                <c:pt idx="19">
                  <c:v>-0.2950774144275366</c:v>
                </c:pt>
                <c:pt idx="20">
                  <c:v>-0.18711018711020111</c:v>
                </c:pt>
                <c:pt idx="21">
                  <c:v>0.11100319134176581</c:v>
                </c:pt>
                <c:pt idx="22">
                  <c:v>-3.4676468548458454E-2</c:v>
                </c:pt>
                <c:pt idx="23">
                  <c:v>-0.1644423672776818</c:v>
                </c:pt>
                <c:pt idx="24">
                  <c:v>0.14561339643246346</c:v>
                </c:pt>
                <c:pt idx="25">
                  <c:v>0.65782585936135751</c:v>
                </c:pt>
                <c:pt idx="26">
                  <c:v>-2.7910546697822624E-2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3AE-4173-96A3-1ECE812B4A92}"/>
            </c:ext>
          </c:extLst>
        </c:ser>
        <c:ser>
          <c:idx val="4"/>
          <c:order val="4"/>
          <c:tx>
            <c:strRef>
              <c:f>'SATORI H4'!$AM$1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H4'!$AM$2:$AM$37</c:f>
              <c:numCache>
                <c:formatCode>0.00000</c:formatCode>
                <c:ptCount val="36"/>
                <c:pt idx="0">
                  <c:v>-5.2349168956934623E-2</c:v>
                </c:pt>
                <c:pt idx="1">
                  <c:v>8.7256227913233477E-3</c:v>
                </c:pt>
                <c:pt idx="2">
                  <c:v>-0.15029077998737206</c:v>
                </c:pt>
                <c:pt idx="3">
                  <c:v>-0.10009356572447298</c:v>
                </c:pt>
                <c:pt idx="4">
                  <c:v>2.9383917202650264E-2</c:v>
                </c:pt>
                <c:pt idx="5">
                  <c:v>7.187898193223706E-2</c:v>
                </c:pt>
                <c:pt idx="6">
                  <c:v>-2.1781035252627342E-3</c:v>
                </c:pt>
                <c:pt idx="7">
                  <c:v>0.2303191721608463</c:v>
                </c:pt>
                <c:pt idx="8">
                  <c:v>0</c:v>
                </c:pt>
                <c:pt idx="9">
                  <c:v>-0.10685857594591439</c:v>
                </c:pt>
                <c:pt idx="10">
                  <c:v>-7.0825388177600479E-2</c:v>
                </c:pt>
                <c:pt idx="11">
                  <c:v>5.7783301716046252E-2</c:v>
                </c:pt>
                <c:pt idx="12">
                  <c:v>0.17802728295416292</c:v>
                </c:pt>
                <c:pt idx="13">
                  <c:v>0.1148118179631285</c:v>
                </c:pt>
                <c:pt idx="14">
                  <c:v>8.0980520901737144E-2</c:v>
                </c:pt>
                <c:pt idx="15">
                  <c:v>7.0086293749175826E-2</c:v>
                </c:pt>
                <c:pt idx="16">
                  <c:v>9.5364412631940107E-2</c:v>
                </c:pt>
                <c:pt idx="17">
                  <c:v>8.2278342146261091E-2</c:v>
                </c:pt>
                <c:pt idx="18">
                  <c:v>0.21878951129680033</c:v>
                </c:pt>
                <c:pt idx="19">
                  <c:v>-5.6040261081688074E-2</c:v>
                </c:pt>
                <c:pt idx="20">
                  <c:v>7.1474912305772798E-2</c:v>
                </c:pt>
                <c:pt idx="21">
                  <c:v>0.13764094432700014</c:v>
                </c:pt>
                <c:pt idx="22">
                  <c:v>8.044697662629717E-2</c:v>
                </c:pt>
                <c:pt idx="23">
                  <c:v>-6.937867541792607E-2</c:v>
                </c:pt>
                <c:pt idx="24">
                  <c:v>0.12901233887241059</c:v>
                </c:pt>
                <c:pt idx="25">
                  <c:v>-1.5434991124883298E-2</c:v>
                </c:pt>
                <c:pt idx="26">
                  <c:v>-0.12772657703784998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63AE-4173-96A3-1ECE812B4A92}"/>
            </c:ext>
          </c:extLst>
        </c:ser>
        <c:ser>
          <c:idx val="5"/>
          <c:order val="5"/>
          <c:tx>
            <c:strRef>
              <c:f>'SATORI H4'!$AN$1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H4'!$AN$2:$AN$37</c:f>
              <c:numCache>
                <c:formatCode>0.00000</c:formatCode>
                <c:ptCount val="36"/>
                <c:pt idx="0">
                  <c:v>-8.6292134831467138E-2</c:v>
                </c:pt>
                <c:pt idx="1">
                  <c:v>5.7561203748671047E-2</c:v>
                </c:pt>
                <c:pt idx="2">
                  <c:v>-5.3960716598270547E-3</c:v>
                </c:pt>
                <c:pt idx="3">
                  <c:v>-7.8181867198656205E-2</c:v>
                </c:pt>
                <c:pt idx="4">
                  <c:v>-1.8867924528305793E-2</c:v>
                </c:pt>
                <c:pt idx="5">
                  <c:v>0.13495276653171903</c:v>
                </c:pt>
                <c:pt idx="6">
                  <c:v>0.1495711093490949</c:v>
                </c:pt>
                <c:pt idx="7">
                  <c:v>0.16787306630083332</c:v>
                </c:pt>
                <c:pt idx="8">
                  <c:v>2.3471635431329844E-2</c:v>
                </c:pt>
                <c:pt idx="9">
                  <c:v>-5.3234203426827192E-2</c:v>
                </c:pt>
                <c:pt idx="10">
                  <c:v>-1.8042236876545995E-2</c:v>
                </c:pt>
                <c:pt idx="11">
                  <c:v>0.10294662127384172</c:v>
                </c:pt>
                <c:pt idx="12">
                  <c:v>0.31434006703504502</c:v>
                </c:pt>
                <c:pt idx="13">
                  <c:v>1.5402317595789139E-2</c:v>
                </c:pt>
                <c:pt idx="14">
                  <c:v>-2.2645337777845744E-2</c:v>
                </c:pt>
                <c:pt idx="15">
                  <c:v>7.5239088065982535E-2</c:v>
                </c:pt>
                <c:pt idx="16">
                  <c:v>2.6295268665118283E-2</c:v>
                </c:pt>
                <c:pt idx="17">
                  <c:v>0.22446587119112063</c:v>
                </c:pt>
                <c:pt idx="18">
                  <c:v>9.0049117700568171E-2</c:v>
                </c:pt>
                <c:pt idx="19">
                  <c:v>0.11838630361532253</c:v>
                </c:pt>
                <c:pt idx="20">
                  <c:v>-1.0926772413532623E-2</c:v>
                </c:pt>
                <c:pt idx="21">
                  <c:v>5.4663726972898993E-2</c:v>
                </c:pt>
                <c:pt idx="22">
                  <c:v>4.5573866122205854E-2</c:v>
                </c:pt>
                <c:pt idx="23">
                  <c:v>-6.2852406154057391E-2</c:v>
                </c:pt>
                <c:pt idx="24">
                  <c:v>0.19531428258508773</c:v>
                </c:pt>
                <c:pt idx="25">
                  <c:v>-0.4506509907961872</c:v>
                </c:pt>
                <c:pt idx="26">
                  <c:v>-4.9946421111902728E-2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3AE-4173-96A3-1ECE812B4A92}"/>
            </c:ext>
          </c:extLst>
        </c:ser>
        <c:ser>
          <c:idx val="6"/>
          <c:order val="6"/>
          <c:tx>
            <c:strRef>
              <c:f>'SATORI H4'!$AO$1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H4'!$AO$2:$AO$37</c:f>
              <c:numCache>
                <c:formatCode>0.00000</c:formatCode>
                <c:ptCount val="36"/>
                <c:pt idx="0">
                  <c:v>-6.478139584076871E-2</c:v>
                </c:pt>
                <c:pt idx="1">
                  <c:v>-3.9646354517697734E-2</c:v>
                </c:pt>
                <c:pt idx="2">
                  <c:v>-2.9065542799011506E-2</c:v>
                </c:pt>
                <c:pt idx="3">
                  <c:v>-9.1736458972683815E-2</c:v>
                </c:pt>
                <c:pt idx="4">
                  <c:v>-4.4858136144444116E-2</c:v>
                </c:pt>
                <c:pt idx="5">
                  <c:v>5.874587458746254E-2</c:v>
                </c:pt>
                <c:pt idx="6">
                  <c:v>0.22426419512969645</c:v>
                </c:pt>
                <c:pt idx="7">
                  <c:v>0.19686605154310619</c:v>
                </c:pt>
                <c:pt idx="8">
                  <c:v>-0.12379924661207395</c:v>
                </c:pt>
                <c:pt idx="9">
                  <c:v>-4.0367409603472883E-2</c:v>
                </c:pt>
                <c:pt idx="10">
                  <c:v>-6.6171702333206938E-3</c:v>
                </c:pt>
                <c:pt idx="11">
                  <c:v>-1.389412675413638E-2</c:v>
                </c:pt>
                <c:pt idx="12">
                  <c:v>0.14510614613978801</c:v>
                </c:pt>
                <c:pt idx="13">
                  <c:v>1.9877949390723951E-3</c:v>
                </c:pt>
                <c:pt idx="14">
                  <c:v>4.3087447632181648E-2</c:v>
                </c:pt>
                <c:pt idx="15">
                  <c:v>3.1828550209525616E-2</c:v>
                </c:pt>
                <c:pt idx="16">
                  <c:v>-3.1155745583505381E-2</c:v>
                </c:pt>
                <c:pt idx="17">
                  <c:v>0.10285335102854429</c:v>
                </c:pt>
                <c:pt idx="18">
                  <c:v>-0.1312144627496781</c:v>
                </c:pt>
                <c:pt idx="19">
                  <c:v>0.14600671630894888</c:v>
                </c:pt>
                <c:pt idx="20">
                  <c:v>-3.1182617349475566E-2</c:v>
                </c:pt>
                <c:pt idx="21">
                  <c:v>6.635039644361144E-3</c:v>
                </c:pt>
                <c:pt idx="22">
                  <c:v>6.9716486289090718E-2</c:v>
                </c:pt>
                <c:pt idx="23">
                  <c:v>7.3089700996684451E-2</c:v>
                </c:pt>
                <c:pt idx="24">
                  <c:v>8.1128888534227006E-2</c:v>
                </c:pt>
                <c:pt idx="25">
                  <c:v>-0.33007237731648548</c:v>
                </c:pt>
                <c:pt idx="26">
                  <c:v>-5.7630015301757806E-2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63AE-4173-96A3-1ECE812B4A92}"/>
            </c:ext>
          </c:extLst>
        </c:ser>
        <c:ser>
          <c:idx val="7"/>
          <c:order val="7"/>
          <c:tx>
            <c:strRef>
              <c:f>'SATORI H4'!$AP$1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H4'!$AP$2:$AP$37</c:f>
              <c:numCache>
                <c:formatCode>0.00000</c:formatCode>
                <c:ptCount val="36"/>
                <c:pt idx="0">
                  <c:v>-0.13133362258000325</c:v>
                </c:pt>
                <c:pt idx="1">
                  <c:v>-0.18843632958801501</c:v>
                </c:pt>
                <c:pt idx="2">
                  <c:v>9.8411359482644803E-2</c:v>
                </c:pt>
                <c:pt idx="3">
                  <c:v>-1.5228010167620973E-2</c:v>
                </c:pt>
                <c:pt idx="4">
                  <c:v>-3.2788037050488654E-2</c:v>
                </c:pt>
                <c:pt idx="5">
                  <c:v>7.2654830960327405E-2</c:v>
                </c:pt>
                <c:pt idx="6">
                  <c:v>0.16785613672645816</c:v>
                </c:pt>
                <c:pt idx="7">
                  <c:v>-3.5202177841398577E-2</c:v>
                </c:pt>
                <c:pt idx="8">
                  <c:v>-0.13710027068515032</c:v>
                </c:pt>
                <c:pt idx="9">
                  <c:v>-1.1716598905668372E-2</c:v>
                </c:pt>
                <c:pt idx="10">
                  <c:v>3.0472440022025357E-2</c:v>
                </c:pt>
                <c:pt idx="11">
                  <c:v>2.8136320472692291E-2</c:v>
                </c:pt>
                <c:pt idx="12">
                  <c:v>7.3912431367030296E-2</c:v>
                </c:pt>
                <c:pt idx="13">
                  <c:v>0.17864698415682922</c:v>
                </c:pt>
                <c:pt idx="14">
                  <c:v>-0.16661582146293114</c:v>
                </c:pt>
                <c:pt idx="15">
                  <c:v>2.6994354658880965E-2</c:v>
                </c:pt>
                <c:pt idx="16">
                  <c:v>3.5222429643192908E-2</c:v>
                </c:pt>
                <c:pt idx="17">
                  <c:v>1.4090957128263993E-2</c:v>
                </c:pt>
                <c:pt idx="18">
                  <c:v>-9.1507408580579652E-2</c:v>
                </c:pt>
                <c:pt idx="19">
                  <c:v>2.4642681123698332E-2</c:v>
                </c:pt>
                <c:pt idx="20">
                  <c:v>-0.1078419880435964</c:v>
                </c:pt>
                <c:pt idx="21">
                  <c:v>-1.9923353686406822E-2</c:v>
                </c:pt>
                <c:pt idx="22">
                  <c:v>-2.8119178451338354E-2</c:v>
                </c:pt>
                <c:pt idx="23">
                  <c:v>-8.0777335518610216E-2</c:v>
                </c:pt>
                <c:pt idx="24">
                  <c:v>-6.7853716745832252E-2</c:v>
                </c:pt>
                <c:pt idx="25">
                  <c:v>-0.24973159688185953</c:v>
                </c:pt>
                <c:pt idx="26">
                  <c:v>-7.929104477612102E-2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63AE-4173-96A3-1ECE812B4A92}"/>
            </c:ext>
          </c:extLst>
        </c:ser>
        <c:ser>
          <c:idx val="8"/>
          <c:order val="8"/>
          <c:tx>
            <c:strRef>
              <c:f>'SATORI H4'!$AQ$1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H4'!$AQ$2:$AQ$37</c:f>
              <c:numCache>
                <c:formatCode>0.00000</c:formatCode>
                <c:ptCount val="36"/>
                <c:pt idx="0">
                  <c:v>-8.5256875809148536E-2</c:v>
                </c:pt>
                <c:pt idx="1">
                  <c:v>-8.5184250378594298E-2</c:v>
                </c:pt>
                <c:pt idx="2">
                  <c:v>0.11897867859962773</c:v>
                </c:pt>
                <c:pt idx="3">
                  <c:v>-3.158626208171839E-3</c:v>
                </c:pt>
                <c:pt idx="4">
                  <c:v>-7.7852123048444424E-2</c:v>
                </c:pt>
                <c:pt idx="5">
                  <c:v>-0.11559235829427605</c:v>
                </c:pt>
                <c:pt idx="6">
                  <c:v>-0.19298135212803399</c:v>
                </c:pt>
                <c:pt idx="7">
                  <c:v>5.876797145555724E-2</c:v>
                </c:pt>
                <c:pt idx="8">
                  <c:v>-0.20317540111432833</c:v>
                </c:pt>
                <c:pt idx="9">
                  <c:v>-4.1874293371294752E-2</c:v>
                </c:pt>
                <c:pt idx="10">
                  <c:v>-0.13173026659697218</c:v>
                </c:pt>
                <c:pt idx="11">
                  <c:v>8.8944697326428859E-2</c:v>
                </c:pt>
                <c:pt idx="12">
                  <c:v>4.0826581244896833E-2</c:v>
                </c:pt>
                <c:pt idx="13">
                  <c:v>0.10479324293169585</c:v>
                </c:pt>
                <c:pt idx="14">
                  <c:v>5.6620391729227122E-2</c:v>
                </c:pt>
                <c:pt idx="15">
                  <c:v>-0.25205777457040601</c:v>
                </c:pt>
                <c:pt idx="16">
                  <c:v>0.11517962786509217</c:v>
                </c:pt>
                <c:pt idx="17">
                  <c:v>-5.7556667155019926E-2</c:v>
                </c:pt>
                <c:pt idx="18">
                  <c:v>0.27388060484590293</c:v>
                </c:pt>
                <c:pt idx="19">
                  <c:v>-9.4352479897681224E-2</c:v>
                </c:pt>
                <c:pt idx="20">
                  <c:v>-0.29476632974109113</c:v>
                </c:pt>
                <c:pt idx="21">
                  <c:v>-1.3586672519383319E-2</c:v>
                </c:pt>
                <c:pt idx="22">
                  <c:v>-4.8052816312888179E-2</c:v>
                </c:pt>
                <c:pt idx="23">
                  <c:v>-2.1932343940921833E-2</c:v>
                </c:pt>
                <c:pt idx="24">
                  <c:v>9.8269823846107454E-2</c:v>
                </c:pt>
                <c:pt idx="25">
                  <c:v>0.33986845831891205</c:v>
                </c:pt>
                <c:pt idx="26">
                  <c:v>4.4076441142206962E-2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63AE-4173-96A3-1ECE812B4A92}"/>
            </c:ext>
          </c:extLst>
        </c:ser>
        <c:ser>
          <c:idx val="9"/>
          <c:order val="9"/>
          <c:tx>
            <c:strRef>
              <c:f>'SATORI H4'!$AR$1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H4'!$AR$2:$AR$37</c:f>
              <c:numCache>
                <c:formatCode>0.00000</c:formatCode>
                <c:ptCount val="36"/>
                <c:pt idx="0">
                  <c:v>-3.2064325970866163E-2</c:v>
                </c:pt>
                <c:pt idx="1">
                  <c:v>-0.11763619006559449</c:v>
                </c:pt>
                <c:pt idx="2">
                  <c:v>0.24077789782374737</c:v>
                </c:pt>
                <c:pt idx="3">
                  <c:v>7.4758733179273229E-2</c:v>
                </c:pt>
                <c:pt idx="4">
                  <c:v>0.10947753854909538</c:v>
                </c:pt>
                <c:pt idx="5">
                  <c:v>4.6410316703994155E-2</c:v>
                </c:pt>
                <c:pt idx="6">
                  <c:v>-0.3815782173701307</c:v>
                </c:pt>
                <c:pt idx="7">
                  <c:v>-7.0225151692490412E-2</c:v>
                </c:pt>
                <c:pt idx="8">
                  <c:v>-0.2574437494623682</c:v>
                </c:pt>
                <c:pt idx="9">
                  <c:v>0.40469345704449</c:v>
                </c:pt>
                <c:pt idx="10">
                  <c:v>-0.25229527161739518</c:v>
                </c:pt>
                <c:pt idx="11">
                  <c:v>0.1744490676529607</c:v>
                </c:pt>
                <c:pt idx="12">
                  <c:v>0.50617069785884672</c:v>
                </c:pt>
                <c:pt idx="13">
                  <c:v>0.10853857460940561</c:v>
                </c:pt>
                <c:pt idx="14">
                  <c:v>-9.6041837063475063E-2</c:v>
                </c:pt>
                <c:pt idx="15">
                  <c:v>-1.0029259675015125</c:v>
                </c:pt>
                <c:pt idx="16">
                  <c:v>0.15235754876362489</c:v>
                </c:pt>
                <c:pt idx="17">
                  <c:v>-4.9737191138176588E-2</c:v>
                </c:pt>
                <c:pt idx="18">
                  <c:v>0.30302283757482584</c:v>
                </c:pt>
                <c:pt idx="19">
                  <c:v>-0.57256933600328375</c:v>
                </c:pt>
                <c:pt idx="20">
                  <c:v>-0.11254992873876642</c:v>
                </c:pt>
                <c:pt idx="21">
                  <c:v>-5.504856506731908E-3</c:v>
                </c:pt>
                <c:pt idx="22">
                  <c:v>-0.17706463469735406</c:v>
                </c:pt>
                <c:pt idx="23">
                  <c:v>9.9621682078493881E-2</c:v>
                </c:pt>
                <c:pt idx="24">
                  <c:v>0.25244015268953302</c:v>
                </c:pt>
                <c:pt idx="25">
                  <c:v>0.64503795610534731</c:v>
                </c:pt>
                <c:pt idx="26">
                  <c:v>-2.4666235007496551E-3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63AE-4173-96A3-1ECE812B4A92}"/>
            </c:ext>
          </c:extLst>
        </c:ser>
        <c:ser>
          <c:idx val="10"/>
          <c:order val="10"/>
          <c:tx>
            <c:strRef>
              <c:f>'SATORI H4'!$AS$1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H4'!$AS$2:$AS$37</c:f>
              <c:numCache>
                <c:formatCode>0.00000</c:formatCode>
                <c:ptCount val="36"/>
                <c:pt idx="0">
                  <c:v>-9.0917907190923037E-3</c:v>
                </c:pt>
                <c:pt idx="1">
                  <c:v>-4.9071577863264618E-2</c:v>
                </c:pt>
                <c:pt idx="2">
                  <c:v>0.12191867236023905</c:v>
                </c:pt>
                <c:pt idx="3">
                  <c:v>7.8859090936776559E-3</c:v>
                </c:pt>
                <c:pt idx="4">
                  <c:v>-6.547081395983062E-2</c:v>
                </c:pt>
                <c:pt idx="5">
                  <c:v>-2.0606934839660286E-2</c:v>
                </c:pt>
                <c:pt idx="6">
                  <c:v>0.22475595755148517</c:v>
                </c:pt>
                <c:pt idx="7">
                  <c:v>-3.0363204654068665E-2</c:v>
                </c:pt>
                <c:pt idx="8">
                  <c:v>-0.12675731735422455</c:v>
                </c:pt>
                <c:pt idx="9">
                  <c:v>6.7366223425235294E-2</c:v>
                </c:pt>
                <c:pt idx="10">
                  <c:v>7.2881427990117889E-2</c:v>
                </c:pt>
                <c:pt idx="11">
                  <c:v>-8.0105350673309011E-2</c:v>
                </c:pt>
                <c:pt idx="12">
                  <c:v>-3.3366092769874088E-2</c:v>
                </c:pt>
                <c:pt idx="13">
                  <c:v>-0.11331616421754512</c:v>
                </c:pt>
                <c:pt idx="14">
                  <c:v>-3.6950437953551449E-2</c:v>
                </c:pt>
                <c:pt idx="15">
                  <c:v>-3.8752649106870964E-2</c:v>
                </c:pt>
                <c:pt idx="16">
                  <c:v>-0.11310233039186862</c:v>
                </c:pt>
                <c:pt idx="17">
                  <c:v>7.863347124432235E-3</c:v>
                </c:pt>
                <c:pt idx="18">
                  <c:v>-0.34599573231743941</c:v>
                </c:pt>
                <c:pt idx="19">
                  <c:v>0.20052426222775147</c:v>
                </c:pt>
                <c:pt idx="20">
                  <c:v>-0.10377825242250815</c:v>
                </c:pt>
                <c:pt idx="21">
                  <c:v>-0.13075833810370313</c:v>
                </c:pt>
                <c:pt idx="22">
                  <c:v>-4.8203515241263392E-3</c:v>
                </c:pt>
                <c:pt idx="23">
                  <c:v>0.13817321732414009</c:v>
                </c:pt>
                <c:pt idx="24">
                  <c:v>-4.9452405075507966E-2</c:v>
                </c:pt>
                <c:pt idx="25">
                  <c:v>-0.31441814607517454</c:v>
                </c:pt>
                <c:pt idx="26">
                  <c:v>6.9785769718981594E-2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63AE-4173-96A3-1ECE812B4A92}"/>
            </c:ext>
          </c:extLst>
        </c:ser>
        <c:ser>
          <c:idx val="11"/>
          <c:order val="11"/>
          <c:tx>
            <c:strRef>
              <c:f>'SATORI H4'!$AT$1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H4'!$AT$2:$AT$37</c:f>
              <c:numCache>
                <c:formatCode>0.00000</c:formatCode>
                <c:ptCount val="36"/>
                <c:pt idx="0">
                  <c:v>-5.7455071791225498E-2</c:v>
                </c:pt>
                <c:pt idx="1">
                  <c:v>-6.4595203392070435E-2</c:v>
                </c:pt>
                <c:pt idx="2">
                  <c:v>6.3531348577173158E-2</c:v>
                </c:pt>
                <c:pt idx="3">
                  <c:v>0.25144135711872512</c:v>
                </c:pt>
                <c:pt idx="4">
                  <c:v>-0.16532307113868605</c:v>
                </c:pt>
                <c:pt idx="5">
                  <c:v>-5.5288940000436217E-3</c:v>
                </c:pt>
                <c:pt idx="6">
                  <c:v>0.13952252292156164</c:v>
                </c:pt>
                <c:pt idx="7">
                  <c:v>2.9906624871234532E-2</c:v>
                </c:pt>
                <c:pt idx="8">
                  <c:v>-0.25796971755906245</c:v>
                </c:pt>
                <c:pt idx="9">
                  <c:v>-8.3342532288338794E-2</c:v>
                </c:pt>
                <c:pt idx="10">
                  <c:v>-5.6265928222328794E-2</c:v>
                </c:pt>
                <c:pt idx="11">
                  <c:v>-0.23114770338246038</c:v>
                </c:pt>
                <c:pt idx="12">
                  <c:v>-2.6409903713882472E-2</c:v>
                </c:pt>
                <c:pt idx="13">
                  <c:v>-1.5403404152320853E-2</c:v>
                </c:pt>
                <c:pt idx="14">
                  <c:v>0.12282779323069892</c:v>
                </c:pt>
                <c:pt idx="15">
                  <c:v>-0.33431413451614639</c:v>
                </c:pt>
                <c:pt idx="16">
                  <c:v>1.5373127772644393E-2</c:v>
                </c:pt>
                <c:pt idx="17">
                  <c:v>-4.9411183397800361E-3</c:v>
                </c:pt>
                <c:pt idx="18">
                  <c:v>-0.19506742428808652</c:v>
                </c:pt>
                <c:pt idx="19">
                  <c:v>3.6725610357715578E-2</c:v>
                </c:pt>
                <c:pt idx="20">
                  <c:v>-8.4342892194441854E-2</c:v>
                </c:pt>
                <c:pt idx="21">
                  <c:v>-0.37919501535876277</c:v>
                </c:pt>
                <c:pt idx="22">
                  <c:v>-2.4000829119551183E-2</c:v>
                </c:pt>
                <c:pt idx="23">
                  <c:v>0.2131881467390421</c:v>
                </c:pt>
                <c:pt idx="24">
                  <c:v>-4.261945742152299E-2</c:v>
                </c:pt>
                <c:pt idx="25">
                  <c:v>-0.24147216256582738</c:v>
                </c:pt>
                <c:pt idx="26">
                  <c:v>4.3625734820978194E-2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63AE-4173-96A3-1ECE812B4A92}"/>
            </c:ext>
          </c:extLst>
        </c:ser>
        <c:ser>
          <c:idx val="12"/>
          <c:order val="12"/>
          <c:tx>
            <c:strRef>
              <c:f>'SATORI H4'!$AU$1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H4'!$AU$2:$AU$37</c:f>
              <c:numCache>
                <c:formatCode>0.00000</c:formatCode>
                <c:ptCount val="36"/>
                <c:pt idx="0">
                  <c:v>2.9896282895484926E-2</c:v>
                </c:pt>
                <c:pt idx="1">
                  <c:v>0.2451357083576696</c:v>
                </c:pt>
                <c:pt idx="2">
                  <c:v>-0.10286644250993328</c:v>
                </c:pt>
                <c:pt idx="3">
                  <c:v>-6.1375109324423756E-2</c:v>
                </c:pt>
                <c:pt idx="4">
                  <c:v>6.9051765807211707E-3</c:v>
                </c:pt>
                <c:pt idx="5">
                  <c:v>6.5258115038542022E-2</c:v>
                </c:pt>
                <c:pt idx="6">
                  <c:v>-1.5352493244918325E-2</c:v>
                </c:pt>
                <c:pt idx="7">
                  <c:v>0.20229368736011602</c:v>
                </c:pt>
                <c:pt idx="8">
                  <c:v>0.16256028598283923</c:v>
                </c:pt>
                <c:pt idx="9">
                  <c:v>-4.1585805378429673E-2</c:v>
                </c:pt>
                <c:pt idx="10">
                  <c:v>-4.2337980247411644E-2</c:v>
                </c:pt>
                <c:pt idx="11">
                  <c:v>6.8557518988126259E-2</c:v>
                </c:pt>
                <c:pt idx="12">
                  <c:v>0.23936745220371564</c:v>
                </c:pt>
                <c:pt idx="13">
                  <c:v>-0.16265928661183451</c:v>
                </c:pt>
                <c:pt idx="14">
                  <c:v>0.1428196458072884</c:v>
                </c:pt>
                <c:pt idx="15">
                  <c:v>5.0977847807943497E-2</c:v>
                </c:pt>
                <c:pt idx="16">
                  <c:v>1.3904982618777057E-2</c:v>
                </c:pt>
                <c:pt idx="17">
                  <c:v>0.1865195148944751</c:v>
                </c:pt>
                <c:pt idx="18">
                  <c:v>0.18220726658084979</c:v>
                </c:pt>
                <c:pt idx="19">
                  <c:v>9.2351868379187796E-2</c:v>
                </c:pt>
                <c:pt idx="20">
                  <c:v>9.7880042570053283E-2</c:v>
                </c:pt>
                <c:pt idx="21">
                  <c:v>7.4630926745086562E-2</c:v>
                </c:pt>
                <c:pt idx="22">
                  <c:v>7.7801031641671001E-2</c:v>
                </c:pt>
                <c:pt idx="23">
                  <c:v>1.2449714823732271E-2</c:v>
                </c:pt>
                <c:pt idx="24">
                  <c:v>0.26369374078436708</c:v>
                </c:pt>
                <c:pt idx="25">
                  <c:v>-0.20165371618991981</c:v>
                </c:pt>
                <c:pt idx="26">
                  <c:v>2.8815974953464649E-2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63AE-4173-96A3-1ECE812B4A92}"/>
            </c:ext>
          </c:extLst>
        </c:ser>
        <c:ser>
          <c:idx val="13"/>
          <c:order val="13"/>
          <c:tx>
            <c:strRef>
              <c:f>'SATORI H4'!$AV$1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H4'!$AV$2:$AV$37</c:f>
              <c:numCache>
                <c:formatCode>0.00000</c:formatCode>
                <c:ptCount val="36"/>
                <c:pt idx="0">
                  <c:v>0.12405857632446383</c:v>
                </c:pt>
                <c:pt idx="1">
                  <c:v>0.13924260306022418</c:v>
                </c:pt>
                <c:pt idx="2">
                  <c:v>2.4852438645543956E-2</c:v>
                </c:pt>
                <c:pt idx="3">
                  <c:v>2.1750613678033277E-2</c:v>
                </c:pt>
                <c:pt idx="4">
                  <c:v>-3.9342768695585013E-2</c:v>
                </c:pt>
                <c:pt idx="5">
                  <c:v>-8.9993172931712495E-2</c:v>
                </c:pt>
                <c:pt idx="6">
                  <c:v>6.0031464767742911E-2</c:v>
                </c:pt>
                <c:pt idx="7">
                  <c:v>3.6227196273781598E-3</c:v>
                </c:pt>
                <c:pt idx="8">
                  <c:v>1.138698674451789E-2</c:v>
                </c:pt>
                <c:pt idx="9">
                  <c:v>7.9772492994000216E-2</c:v>
                </c:pt>
                <c:pt idx="10">
                  <c:v>4.8716021870381224E-2</c:v>
                </c:pt>
                <c:pt idx="11">
                  <c:v>-0.11543757570737631</c:v>
                </c:pt>
                <c:pt idx="12">
                  <c:v>-0.10807344857720143</c:v>
                </c:pt>
                <c:pt idx="13">
                  <c:v>-0.29079509773087475</c:v>
                </c:pt>
                <c:pt idx="14">
                  <c:v>0.12906489899381876</c:v>
                </c:pt>
                <c:pt idx="15">
                  <c:v>-6.4490831983335328E-2</c:v>
                </c:pt>
                <c:pt idx="16">
                  <c:v>-0.12212528921020406</c:v>
                </c:pt>
                <c:pt idx="17">
                  <c:v>-3.1423214028146927E-2</c:v>
                </c:pt>
                <c:pt idx="18">
                  <c:v>-0.25434310113606634</c:v>
                </c:pt>
                <c:pt idx="19">
                  <c:v>0.1734591984846818</c:v>
                </c:pt>
                <c:pt idx="20">
                  <c:v>4.6326561076383988E-3</c:v>
                </c:pt>
                <c:pt idx="21">
                  <c:v>-0.11106026561913217</c:v>
                </c:pt>
                <c:pt idx="22">
                  <c:v>2.9316161948648341E-2</c:v>
                </c:pt>
                <c:pt idx="23">
                  <c:v>0.21286575026157062</c:v>
                </c:pt>
                <c:pt idx="24">
                  <c:v>1.7011536915043535E-2</c:v>
                </c:pt>
                <c:pt idx="25">
                  <c:v>-6.4396144474036687E-2</c:v>
                </c:pt>
                <c:pt idx="26">
                  <c:v>0.14962258991543242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63AE-4173-96A3-1ECE812B4A92}"/>
            </c:ext>
          </c:extLst>
        </c:ser>
        <c:ser>
          <c:idx val="14"/>
          <c:order val="14"/>
          <c:tx>
            <c:strRef>
              <c:f>'SATORI H4'!$AW$1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H4'!$AW$2:$AW$37</c:f>
              <c:numCache>
                <c:formatCode>0.00000</c:formatCode>
                <c:ptCount val="36"/>
                <c:pt idx="0">
                  <c:v>7.5853945818604912E-2</c:v>
                </c:pt>
                <c:pt idx="1">
                  <c:v>0.12406421148466226</c:v>
                </c:pt>
                <c:pt idx="2">
                  <c:v>-3.348140603041462E-2</c:v>
                </c:pt>
                <c:pt idx="3">
                  <c:v>0.26525198938991534</c:v>
                </c:pt>
                <c:pt idx="4">
                  <c:v>-0.13551543081631048</c:v>
                </c:pt>
                <c:pt idx="5">
                  <c:v>-7.8320358575124926E-2</c:v>
                </c:pt>
                <c:pt idx="6">
                  <c:v>-2.5471217524196947E-2</c:v>
                </c:pt>
                <c:pt idx="7">
                  <c:v>6.41909113221453E-2</c:v>
                </c:pt>
                <c:pt idx="8">
                  <c:v>-0.12021327248814481</c:v>
                </c:pt>
                <c:pt idx="9">
                  <c:v>-7.0663720774644584E-2</c:v>
                </c:pt>
                <c:pt idx="10">
                  <c:v>-7.7669720106579396E-2</c:v>
                </c:pt>
                <c:pt idx="11">
                  <c:v>-0.26993657664085863</c:v>
                </c:pt>
                <c:pt idx="12">
                  <c:v>-0.10036252444579029</c:v>
                </c:pt>
                <c:pt idx="13">
                  <c:v>-0.19331585845347157</c:v>
                </c:pt>
                <c:pt idx="14">
                  <c:v>0.28964008581233053</c:v>
                </c:pt>
                <c:pt idx="15">
                  <c:v>-0.36016146459424858</c:v>
                </c:pt>
                <c:pt idx="16">
                  <c:v>4.6776404110601376E-3</c:v>
                </c:pt>
                <c:pt idx="17">
                  <c:v>-4.3015780245461599E-2</c:v>
                </c:pt>
                <c:pt idx="18">
                  <c:v>-0.10369131748692831</c:v>
                </c:pt>
                <c:pt idx="19">
                  <c:v>8.8752697614847137E-3</c:v>
                </c:pt>
                <c:pt idx="20">
                  <c:v>2.5698172626308878E-2</c:v>
                </c:pt>
                <c:pt idx="21">
                  <c:v>-0.35941246304615798</c:v>
                </c:pt>
                <c:pt idx="22">
                  <c:v>1.2106030199885784E-2</c:v>
                </c:pt>
                <c:pt idx="23">
                  <c:v>0.28436682853940648</c:v>
                </c:pt>
                <c:pt idx="24">
                  <c:v>2.4286808526531183E-2</c:v>
                </c:pt>
                <c:pt idx="25">
                  <c:v>9.8090963019727244E-3</c:v>
                </c:pt>
                <c:pt idx="26">
                  <c:v>0.12299835378628732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63AE-4173-96A3-1ECE812B4A92}"/>
            </c:ext>
          </c:extLst>
        </c:ser>
        <c:ser>
          <c:idx val="15"/>
          <c:order val="15"/>
          <c:tx>
            <c:strRef>
              <c:f>'SATORI H4'!$AX$1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H4'!$AX$2:$AX$37</c:f>
              <c:numCache>
                <c:formatCode>0.00000</c:formatCode>
                <c:ptCount val="36"/>
                <c:pt idx="0">
                  <c:v>6.3139142886135882E-2</c:v>
                </c:pt>
                <c:pt idx="1">
                  <c:v>0.14961523478300379</c:v>
                </c:pt>
                <c:pt idx="2">
                  <c:v>-0.1268706370597637</c:v>
                </c:pt>
                <c:pt idx="3">
                  <c:v>-7.8316477448798619E-2</c:v>
                </c:pt>
                <c:pt idx="4">
                  <c:v>-1.8026442537890791E-2</c:v>
                </c:pt>
                <c:pt idx="5">
                  <c:v>-1.1265257382966817E-2</c:v>
                </c:pt>
                <c:pt idx="6">
                  <c:v>6.0305472580730678E-2</c:v>
                </c:pt>
                <c:pt idx="7">
                  <c:v>0.23047982736609482</c:v>
                </c:pt>
                <c:pt idx="8">
                  <c:v>1.4124533184170434E-2</c:v>
                </c:pt>
                <c:pt idx="9">
                  <c:v>-2.7676423076481788E-2</c:v>
                </c:pt>
                <c:pt idx="10">
                  <c:v>-3.1055725264117675E-2</c:v>
                </c:pt>
                <c:pt idx="11">
                  <c:v>-4.9100390545630992E-2</c:v>
                </c:pt>
                <c:pt idx="12">
                  <c:v>7.0596341415200992E-2</c:v>
                </c:pt>
                <c:pt idx="13">
                  <c:v>-0.17589852008456727</c:v>
                </c:pt>
                <c:pt idx="14">
                  <c:v>0.20903364311742814</c:v>
                </c:pt>
                <c:pt idx="15">
                  <c:v>6.2148999401014978E-3</c:v>
                </c:pt>
                <c:pt idx="16">
                  <c:v>-4.0098268997260239E-2</c:v>
                </c:pt>
                <c:pt idx="17">
                  <c:v>6.3293642944737299E-2</c:v>
                </c:pt>
                <c:pt idx="18">
                  <c:v>-3.9542884257973421E-2</c:v>
                </c:pt>
                <c:pt idx="19">
                  <c:v>0.11933579168835014</c:v>
                </c:pt>
                <c:pt idx="20">
                  <c:v>7.7543512098478637E-2</c:v>
                </c:pt>
                <c:pt idx="21">
                  <c:v>2.6609597572297167E-2</c:v>
                </c:pt>
                <c:pt idx="22">
                  <c:v>0.10314770524693985</c:v>
                </c:pt>
                <c:pt idx="23">
                  <c:v>0.14813973947838927</c:v>
                </c:pt>
                <c:pt idx="24">
                  <c:v>0.14779025152763597</c:v>
                </c:pt>
                <c:pt idx="25">
                  <c:v>-7.9516087808483668E-2</c:v>
                </c:pt>
                <c:pt idx="26">
                  <c:v>2.1587597357226276E-2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63AE-4173-96A3-1ECE812B4A92}"/>
            </c:ext>
          </c:extLst>
        </c:ser>
        <c:ser>
          <c:idx val="16"/>
          <c:order val="16"/>
          <c:tx>
            <c:strRef>
              <c:f>'SATORI H4'!$AY$1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H4'!$AY$2:$AY$37</c:f>
              <c:numCache>
                <c:formatCode>0.00000</c:formatCode>
                <c:ptCount val="36"/>
                <c:pt idx="0">
                  <c:v>7.8094844842591882E-2</c:v>
                </c:pt>
                <c:pt idx="1">
                  <c:v>0.10243599996407021</c:v>
                </c:pt>
                <c:pt idx="2">
                  <c:v>1.7075581917849598E-2</c:v>
                </c:pt>
                <c:pt idx="3">
                  <c:v>1.4381505384070502E-2</c:v>
                </c:pt>
                <c:pt idx="4">
                  <c:v>-5.0309945198085883E-2</c:v>
                </c:pt>
                <c:pt idx="5">
                  <c:v>-0.18383177151056873</c:v>
                </c:pt>
                <c:pt idx="6">
                  <c:v>-0.35830444261766392</c:v>
                </c:pt>
                <c:pt idx="7">
                  <c:v>8.8537521128256372E-2</c:v>
                </c:pt>
                <c:pt idx="8">
                  <c:v>-6.6135792869843224E-2</c:v>
                </c:pt>
                <c:pt idx="9">
                  <c:v>-2.5911365260891838E-2</c:v>
                </c:pt>
                <c:pt idx="10">
                  <c:v>-0.15255462079918103</c:v>
                </c:pt>
                <c:pt idx="11">
                  <c:v>4.9091363490311186E-2</c:v>
                </c:pt>
                <c:pt idx="12">
                  <c:v>-3.2122207152537295E-2</c:v>
                </c:pt>
                <c:pt idx="13">
                  <c:v>-7.311375430212412E-2</c:v>
                </c:pt>
                <c:pt idx="14">
                  <c:v>0.22161456937072524</c:v>
                </c:pt>
                <c:pt idx="15">
                  <c:v>-0.27358683931452932</c:v>
                </c:pt>
                <c:pt idx="16">
                  <c:v>0.10258880622312479</c:v>
                </c:pt>
                <c:pt idx="17">
                  <c:v>-9.8032225866237596E-2</c:v>
                </c:pt>
                <c:pt idx="18">
                  <c:v>0.36673285747508833</c:v>
                </c:pt>
                <c:pt idx="19">
                  <c:v>-0.11971554157882631</c:v>
                </c:pt>
                <c:pt idx="20">
                  <c:v>-0.18192195191551508</c:v>
                </c:pt>
                <c:pt idx="21">
                  <c:v>0</c:v>
                </c:pt>
                <c:pt idx="22">
                  <c:v>-8.9169475505135268E-3</c:v>
                </c:pt>
                <c:pt idx="23">
                  <c:v>4.9959853688990447E-2</c:v>
                </c:pt>
                <c:pt idx="24">
                  <c:v>0.16531879719404022</c:v>
                </c:pt>
                <c:pt idx="25">
                  <c:v>0.59147662408874213</c:v>
                </c:pt>
                <c:pt idx="26">
                  <c:v>0.12149902800777254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63AE-4173-96A3-1ECE812B4A92}"/>
            </c:ext>
          </c:extLst>
        </c:ser>
        <c:ser>
          <c:idx val="17"/>
          <c:order val="17"/>
          <c:tx>
            <c:strRef>
              <c:f>'SATORI H4'!$AZ$1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H4'!$AZ$2:$AZ$37</c:f>
              <c:numCache>
                <c:formatCode>0.00000</c:formatCode>
                <c:ptCount val="36"/>
                <c:pt idx="0">
                  <c:v>0.1025425288565307</c:v>
                </c:pt>
                <c:pt idx="1">
                  <c:v>7.0514810741398051E-2</c:v>
                </c:pt>
                <c:pt idx="2">
                  <c:v>0.14281197301855766</c:v>
                </c:pt>
                <c:pt idx="3">
                  <c:v>9.0195106256160576E-2</c:v>
                </c:pt>
                <c:pt idx="4">
                  <c:v>0.13732708671148683</c:v>
                </c:pt>
                <c:pt idx="5">
                  <c:v>-2.4818350794185665E-2</c:v>
                </c:pt>
                <c:pt idx="6">
                  <c:v>-0.54565029015570587</c:v>
                </c:pt>
                <c:pt idx="7">
                  <c:v>-3.8847387513196184E-2</c:v>
                </c:pt>
                <c:pt idx="8">
                  <c:v>-0.11640649988726838</c:v>
                </c:pt>
                <c:pt idx="9">
                  <c:v>0.41754862624922667</c:v>
                </c:pt>
                <c:pt idx="10">
                  <c:v>-0.27672031295123883</c:v>
                </c:pt>
                <c:pt idx="11">
                  <c:v>0.13776205023582574</c:v>
                </c:pt>
                <c:pt idx="12">
                  <c:v>0.43356111574655842</c:v>
                </c:pt>
                <c:pt idx="13">
                  <c:v>-6.9659197652698762E-2</c:v>
                </c:pt>
                <c:pt idx="14">
                  <c:v>6.8122409104106177E-2</c:v>
                </c:pt>
                <c:pt idx="15">
                  <c:v>-1.0265040845872808</c:v>
                </c:pt>
                <c:pt idx="16">
                  <c:v>0.14498670519021797</c:v>
                </c:pt>
                <c:pt idx="17">
                  <c:v>-9.3081629451444478E-2</c:v>
                </c:pt>
                <c:pt idx="18">
                  <c:v>0.39637747735923112</c:v>
                </c:pt>
                <c:pt idx="19">
                  <c:v>-0.59857427644008498</c:v>
                </c:pt>
                <c:pt idx="20">
                  <c:v>-4.1747116839645961E-3</c:v>
                </c:pt>
                <c:pt idx="21">
                  <c:v>1.4613626162561762E-2</c:v>
                </c:pt>
                <c:pt idx="22">
                  <c:v>-0.14175969646746894</c:v>
                </c:pt>
                <c:pt idx="23">
                  <c:v>0.17280715035265651</c:v>
                </c:pt>
                <c:pt idx="24">
                  <c:v>0.32000921794147574</c:v>
                </c:pt>
                <c:pt idx="25">
                  <c:v>0.89570221468317146</c:v>
                </c:pt>
                <c:pt idx="26">
                  <c:v>7.5094529204894844E-2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63AE-4173-96A3-1ECE812B4A92}"/>
            </c:ext>
          </c:extLst>
        </c:ser>
        <c:ser>
          <c:idx val="18"/>
          <c:order val="18"/>
          <c:tx>
            <c:strRef>
              <c:f>'SATORI H4'!$BA$1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H4'!$BA$2:$BA$37</c:f>
              <c:numCache>
                <c:formatCode>0.00000</c:formatCode>
                <c:ptCount val="36"/>
                <c:pt idx="0">
                  <c:v>2.0091079560675823E-2</c:v>
                </c:pt>
                <c:pt idx="1">
                  <c:v>-5.3547523427043525E-2</c:v>
                </c:pt>
                <c:pt idx="2">
                  <c:v>0.17881090746535155</c:v>
                </c:pt>
                <c:pt idx="3">
                  <c:v>-0.17737815013553457</c:v>
                </c:pt>
                <c:pt idx="4">
                  <c:v>0.29538461538461069</c:v>
                </c:pt>
                <c:pt idx="5">
                  <c:v>3.9176180882019913E-2</c:v>
                </c:pt>
                <c:pt idx="6">
                  <c:v>-0.52554224379814973</c:v>
                </c:pt>
                <c:pt idx="7">
                  <c:v>-0.10455364491803472</c:v>
                </c:pt>
                <c:pt idx="8">
                  <c:v>7.7865159790487127E-3</c:v>
                </c:pt>
                <c:pt idx="9">
                  <c:v>0.48847555386644342</c:v>
                </c:pt>
                <c:pt idx="10">
                  <c:v>-0.17629993305065972</c:v>
                </c:pt>
                <c:pt idx="11">
                  <c:v>0.38757084929543162</c:v>
                </c:pt>
                <c:pt idx="12">
                  <c:v>0.52925543894419036</c:v>
                </c:pt>
                <c:pt idx="13">
                  <c:v>0.12176422837557961</c:v>
                </c:pt>
                <c:pt idx="14">
                  <c:v>-0.21712472859408682</c:v>
                </c:pt>
                <c:pt idx="15">
                  <c:v>-0.669363490076886</c:v>
                </c:pt>
                <c:pt idx="16">
                  <c:v>0.15108614148378355</c:v>
                </c:pt>
                <c:pt idx="17">
                  <c:v>-6.0397955417363348E-2</c:v>
                </c:pt>
                <c:pt idx="18">
                  <c:v>0.50473257042649122</c:v>
                </c:pt>
                <c:pt idx="19">
                  <c:v>-0.60780764675649368</c:v>
                </c:pt>
                <c:pt idx="20">
                  <c:v>-3.6857094990787126E-2</c:v>
                </c:pt>
                <c:pt idx="21">
                  <c:v>0.38456363799444293</c:v>
                </c:pt>
                <c:pt idx="22">
                  <c:v>-0.141068989453419</c:v>
                </c:pt>
                <c:pt idx="23">
                  <c:v>-0.12412081092263606</c:v>
                </c:pt>
                <c:pt idx="24">
                  <c:v>0.28708241283796687</c:v>
                </c:pt>
                <c:pt idx="25">
                  <c:v>0.88584681525059539</c:v>
                </c:pt>
                <c:pt idx="26">
                  <c:v>-4.5233518036872387E-2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63AE-4173-96A3-1ECE812B4A92}"/>
            </c:ext>
          </c:extLst>
        </c:ser>
        <c:ser>
          <c:idx val="19"/>
          <c:order val="19"/>
          <c:tx>
            <c:strRef>
              <c:f>'SATORI H4'!$BB$1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H4'!$BB$2:$BB$37</c:f>
              <c:numCache>
                <c:formatCode>0.00000</c:formatCode>
                <c:ptCount val="36"/>
                <c:pt idx="0">
                  <c:v>-3.8106125559721825E-3</c:v>
                </c:pt>
                <c:pt idx="1">
                  <c:v>-2.0953977445889872E-2</c:v>
                </c:pt>
                <c:pt idx="2">
                  <c:v>5.3365861096277147E-2</c:v>
                </c:pt>
                <c:pt idx="3">
                  <c:v>-0.25284690405124283</c:v>
                </c:pt>
                <c:pt idx="4">
                  <c:v>0.1046701937350016</c:v>
                </c:pt>
                <c:pt idx="5">
                  <c:v>-0.11785279805351923</c:v>
                </c:pt>
                <c:pt idx="6">
                  <c:v>-0.33721062402909935</c:v>
                </c:pt>
                <c:pt idx="7">
                  <c:v>2.084320227379317E-2</c:v>
                </c:pt>
                <c:pt idx="8">
                  <c:v>5.8774457758234581E-2</c:v>
                </c:pt>
                <c:pt idx="9">
                  <c:v>4.552352048558763E-2</c:v>
                </c:pt>
                <c:pt idx="10">
                  <c:v>-5.6872037914685682E-2</c:v>
                </c:pt>
                <c:pt idx="11">
                  <c:v>0.30233309881918585</c:v>
                </c:pt>
                <c:pt idx="12">
                  <c:v>6.2787777312671988E-2</c:v>
                </c:pt>
                <c:pt idx="13">
                  <c:v>0.12001142965997132</c:v>
                </c:pt>
                <c:pt idx="14">
                  <c:v>-6.4726151268824264E-2</c:v>
                </c:pt>
                <c:pt idx="15">
                  <c:v>8.5740416126831323E-2</c:v>
                </c:pt>
                <c:pt idx="16">
                  <c:v>0.10872260476471272</c:v>
                </c:pt>
                <c:pt idx="17">
                  <c:v>-6.4810049370009518E-2</c:v>
                </c:pt>
                <c:pt idx="18">
                  <c:v>0.47497749602590117</c:v>
                </c:pt>
                <c:pt idx="19">
                  <c:v>-0.13006637210459132</c:v>
                </c:pt>
                <c:pt idx="20">
                  <c:v>-0.2137690149447464</c:v>
                </c:pt>
                <c:pt idx="21">
                  <c:v>0.36973180076628109</c:v>
                </c:pt>
                <c:pt idx="22">
                  <c:v>-1.1492931846904376E-2</c:v>
                </c:pt>
                <c:pt idx="23">
                  <c:v>-0.24267670494716401</c:v>
                </c:pt>
                <c:pt idx="24">
                  <c:v>0.1320220419409093</c:v>
                </c:pt>
                <c:pt idx="25">
                  <c:v>0.58119394942458391</c:v>
                </c:pt>
                <c:pt idx="26">
                  <c:v>1.9245203133031485E-3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63AE-4173-96A3-1ECE812B4A92}"/>
            </c:ext>
          </c:extLst>
        </c:ser>
        <c:ser>
          <c:idx val="20"/>
          <c:order val="20"/>
          <c:tx>
            <c:strRef>
              <c:f>'SATORI H4'!$BC$1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H4'!$BC$2:$BC$37</c:f>
              <c:numCache>
                <c:formatCode>0.00000</c:formatCode>
                <c:ptCount val="36"/>
                <c:pt idx="0">
                  <c:v>-4.0678186729143882E-2</c:v>
                </c:pt>
                <c:pt idx="1">
                  <c:v>0.12218366648746859</c:v>
                </c:pt>
                <c:pt idx="2">
                  <c:v>-6.6749153425374685E-2</c:v>
                </c:pt>
                <c:pt idx="3">
                  <c:v>-0.33101836827416786</c:v>
                </c:pt>
                <c:pt idx="4">
                  <c:v>0.14950598023921474</c:v>
                </c:pt>
                <c:pt idx="5">
                  <c:v>0.14484026884958703</c:v>
                </c:pt>
                <c:pt idx="6">
                  <c:v>6.5100987907375906E-3</c:v>
                </c:pt>
                <c:pt idx="7">
                  <c:v>0.13526727509778314</c:v>
                </c:pt>
                <c:pt idx="8">
                  <c:v>0.28601781482389954</c:v>
                </c:pt>
                <c:pt idx="9">
                  <c:v>2.9427632546954723E-2</c:v>
                </c:pt>
                <c:pt idx="10">
                  <c:v>4.252465612273891E-2</c:v>
                </c:pt>
                <c:pt idx="11">
                  <c:v>0.33312547179099677</c:v>
                </c:pt>
                <c:pt idx="12">
                  <c:v>0.33589093423783084</c:v>
                </c:pt>
                <c:pt idx="13">
                  <c:v>2.7998748291253435E-2</c:v>
                </c:pt>
                <c:pt idx="14">
                  <c:v>-0.14144038945446311</c:v>
                </c:pt>
                <c:pt idx="15">
                  <c:v>0.40954504169761813</c:v>
                </c:pt>
                <c:pt idx="16">
                  <c:v>2.3124824499104572E-2</c:v>
                </c:pt>
                <c:pt idx="17">
                  <c:v>0.21851048684798421</c:v>
                </c:pt>
                <c:pt idx="18">
                  <c:v>0.29219862865870599</c:v>
                </c:pt>
                <c:pt idx="19">
                  <c:v>7.9754091551056894E-2</c:v>
                </c:pt>
                <c:pt idx="20">
                  <c:v>6.6505943968734882E-2</c:v>
                </c:pt>
                <c:pt idx="21">
                  <c:v>0.44422919554434703</c:v>
                </c:pt>
                <c:pt idx="22">
                  <c:v>6.3501612606749053E-2</c:v>
                </c:pt>
                <c:pt idx="23">
                  <c:v>-0.26832438918702717</c:v>
                </c:pt>
                <c:pt idx="24">
                  <c:v>0.22884824187755487</c:v>
                </c:pt>
                <c:pt idx="25">
                  <c:v>-0.21003150472571533</c:v>
                </c:pt>
                <c:pt idx="26">
                  <c:v>-9.1596442727232358E-2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63AE-4173-96A3-1ECE812B4A92}"/>
            </c:ext>
          </c:extLst>
        </c:ser>
        <c:ser>
          <c:idx val="21"/>
          <c:order val="21"/>
          <c:tx>
            <c:strRef>
              <c:f>'SATORI H4'!$BD$1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H4'!$BD$2:$BD$37</c:f>
              <c:numCache>
                <c:formatCode>0.00000</c:formatCode>
                <c:ptCount val="36"/>
                <c:pt idx="0">
                  <c:v>-9.5726986634082391E-3</c:v>
                </c:pt>
                <c:pt idx="1">
                  <c:v>2.6331853164011296E-2</c:v>
                </c:pt>
                <c:pt idx="2">
                  <c:v>-9.0881913303449191E-2</c:v>
                </c:pt>
                <c:pt idx="3">
                  <c:v>-0.34558779717570193</c:v>
                </c:pt>
                <c:pt idx="4">
                  <c:v>0.12767277586864073</c:v>
                </c:pt>
                <c:pt idx="5">
                  <c:v>6.5669289458294089E-2</c:v>
                </c:pt>
                <c:pt idx="6">
                  <c:v>8.0061181081656232E-2</c:v>
                </c:pt>
                <c:pt idx="7">
                  <c:v>0.16277678037103863</c:v>
                </c:pt>
                <c:pt idx="8">
                  <c:v>0.14023228219050068</c:v>
                </c:pt>
                <c:pt idx="9">
                  <c:v>4.3167020396420369E-2</c:v>
                </c:pt>
                <c:pt idx="10">
                  <c:v>5.5188300080384875E-2</c:v>
                </c:pt>
                <c:pt idx="11">
                  <c:v>0.21401175862359226</c:v>
                </c:pt>
                <c:pt idx="12">
                  <c:v>0.1661949780213087</c:v>
                </c:pt>
                <c:pt idx="13">
                  <c:v>1.5658500156593976E-2</c:v>
                </c:pt>
                <c:pt idx="14">
                  <c:v>-7.7028620946980833E-2</c:v>
                </c:pt>
                <c:pt idx="15">
                  <c:v>0.3660171774398232</c:v>
                </c:pt>
                <c:pt idx="16">
                  <c:v>-3.3811933197287557E-2</c:v>
                </c:pt>
                <c:pt idx="17">
                  <c:v>9.6698939937873707E-2</c:v>
                </c:pt>
                <c:pt idx="18">
                  <c:v>6.8945496770442871E-2</c:v>
                </c:pt>
                <c:pt idx="19">
                  <c:v>0.10776775443483168</c:v>
                </c:pt>
                <c:pt idx="20">
                  <c:v>4.7246383834468234E-2</c:v>
                </c:pt>
                <c:pt idx="21">
                  <c:v>0.39649720262708943</c:v>
                </c:pt>
                <c:pt idx="22">
                  <c:v>9.1301966035672089E-2</c:v>
                </c:pt>
                <c:pt idx="23">
                  <c:v>-0.13858665921054594</c:v>
                </c:pt>
                <c:pt idx="24">
                  <c:v>0.11684091379332205</c:v>
                </c:pt>
                <c:pt idx="25">
                  <c:v>-8.8768908993629117E-2</c:v>
                </c:pt>
                <c:pt idx="26">
                  <c:v>-9.840008746674167E-2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63AE-4173-96A3-1ECE812B4A92}"/>
            </c:ext>
          </c:extLst>
        </c:ser>
        <c:ser>
          <c:idx val="22"/>
          <c:order val="22"/>
          <c:tx>
            <c:strRef>
              <c:f>'SATORI H4'!$BE$1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H4'!$BE$2:$BE$37</c:f>
              <c:numCache>
                <c:formatCode>0.00000</c:formatCode>
                <c:ptCount val="36"/>
                <c:pt idx="0">
                  <c:v>3.0782720632819276E-2</c:v>
                </c:pt>
                <c:pt idx="1">
                  <c:v>-7.6431933634705351E-2</c:v>
                </c:pt>
                <c:pt idx="2">
                  <c:v>0.2663551401869127</c:v>
                </c:pt>
                <c:pt idx="3">
                  <c:v>0.16944551063012889</c:v>
                </c:pt>
                <c:pt idx="4">
                  <c:v>0.16127973595131323</c:v>
                </c:pt>
                <c:pt idx="5">
                  <c:v>-1.9687253909326879E-2</c:v>
                </c:pt>
                <c:pt idx="6">
                  <c:v>-0.60475041232981419</c:v>
                </c:pt>
                <c:pt idx="7">
                  <c:v>-0.26764555550393654</c:v>
                </c:pt>
                <c:pt idx="8">
                  <c:v>-0.13271708059546411</c:v>
                </c:pt>
                <c:pt idx="9">
                  <c:v>0.44654093913432508</c:v>
                </c:pt>
                <c:pt idx="10">
                  <c:v>-0.23715635579033095</c:v>
                </c:pt>
                <c:pt idx="11">
                  <c:v>0.17795086320144085</c:v>
                </c:pt>
                <c:pt idx="12">
                  <c:v>0.36280331011267963</c:v>
                </c:pt>
                <c:pt idx="13">
                  <c:v>0.10671059898343188</c:v>
                </c:pt>
                <c:pt idx="14">
                  <c:v>-0.14114523938606144</c:v>
                </c:pt>
                <c:pt idx="15">
                  <c:v>-1.0323965290754682</c:v>
                </c:pt>
                <c:pt idx="16">
                  <c:v>0.1890744619719294</c:v>
                </c:pt>
                <c:pt idx="17">
                  <c:v>-0.16100973461153384</c:v>
                </c:pt>
                <c:pt idx="18">
                  <c:v>0.43681109314299416</c:v>
                </c:pt>
                <c:pt idx="19">
                  <c:v>-0.71695501730103905</c:v>
                </c:pt>
                <c:pt idx="20">
                  <c:v>-8.2054875350345405E-2</c:v>
                </c:pt>
                <c:pt idx="21">
                  <c:v>-1.1984107230108898E-2</c:v>
                </c:pt>
                <c:pt idx="22">
                  <c:v>-0.23910904292006485</c:v>
                </c:pt>
                <c:pt idx="23">
                  <c:v>1.9316383972921004E-2</c:v>
                </c:pt>
                <c:pt idx="24">
                  <c:v>0.17322718561107564</c:v>
                </c:pt>
                <c:pt idx="25">
                  <c:v>0.97506512839598225</c:v>
                </c:pt>
                <c:pt idx="26">
                  <c:v>5.3992664444906011E-2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63AE-4173-96A3-1ECE812B4A92}"/>
            </c:ext>
          </c:extLst>
        </c:ser>
        <c:ser>
          <c:idx val="23"/>
          <c:order val="23"/>
          <c:tx>
            <c:strRef>
              <c:f>'SATORI H4'!$BF$1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H4'!$BF$2:$BF$37</c:f>
              <c:numCache>
                <c:formatCode>0.00000</c:formatCode>
                <c:ptCount val="36"/>
                <c:pt idx="0">
                  <c:v>1.5923059775093929E-3</c:v>
                </c:pt>
                <c:pt idx="1">
                  <c:v>-4.4564698392479223E-2</c:v>
                </c:pt>
                <c:pt idx="2">
                  <c:v>0.14185301477501894</c:v>
                </c:pt>
                <c:pt idx="3">
                  <c:v>9.2529074868788183E-2</c:v>
                </c:pt>
                <c:pt idx="4">
                  <c:v>-2.5518748305403433E-2</c:v>
                </c:pt>
                <c:pt idx="5">
                  <c:v>-0.17990192956759288</c:v>
                </c:pt>
                <c:pt idx="6">
                  <c:v>-0.41538510321209304</c:v>
                </c:pt>
                <c:pt idx="7">
                  <c:v>-0.14248622633145652</c:v>
                </c:pt>
                <c:pt idx="8">
                  <c:v>-8.2257656289558959E-2</c:v>
                </c:pt>
                <c:pt idx="9">
                  <c:v>1.5819030293546645E-3</c:v>
                </c:pt>
                <c:pt idx="10">
                  <c:v>-0.11218910975571034</c:v>
                </c:pt>
                <c:pt idx="11">
                  <c:v>9.0148507804956493E-2</c:v>
                </c:pt>
                <c:pt idx="12">
                  <c:v>-0.10427363930800125</c:v>
                </c:pt>
                <c:pt idx="13">
                  <c:v>0.10438248272153504</c:v>
                </c:pt>
                <c:pt idx="14">
                  <c:v>1.2654023188492586E-2</c:v>
                </c:pt>
                <c:pt idx="15">
                  <c:v>-0.28076152620703854</c:v>
                </c:pt>
                <c:pt idx="16">
                  <c:v>0.14848748124161629</c:v>
                </c:pt>
                <c:pt idx="17">
                  <c:v>-0.16716342590401506</c:v>
                </c:pt>
                <c:pt idx="18">
                  <c:v>0.40853166120372991</c:v>
                </c:pt>
                <c:pt idx="19">
                  <c:v>-0.2401074164757864</c:v>
                </c:pt>
                <c:pt idx="20">
                  <c:v>-0.2599653379549457</c:v>
                </c:pt>
                <c:pt idx="21">
                  <c:v>-2.520240682984248E-2</c:v>
                </c:pt>
                <c:pt idx="22">
                  <c:v>-0.10856738258201061</c:v>
                </c:pt>
                <c:pt idx="23">
                  <c:v>-0.10216912920465883</c:v>
                </c:pt>
                <c:pt idx="24">
                  <c:v>1.8865551502957018E-2</c:v>
                </c:pt>
                <c:pt idx="25">
                  <c:v>0.67105596353507557</c:v>
                </c:pt>
                <c:pt idx="26">
                  <c:v>0.10139416983523035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63AE-4173-96A3-1ECE812B4A92}"/>
            </c:ext>
          </c:extLst>
        </c:ser>
        <c:ser>
          <c:idx val="24"/>
          <c:order val="24"/>
          <c:tx>
            <c:strRef>
              <c:f>'SATORI H4'!$BG$1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H4'!$BG$2:$BG$37</c:f>
              <c:numCache>
                <c:formatCode>0.00000</c:formatCode>
                <c:ptCount val="36"/>
                <c:pt idx="0">
                  <c:v>2.8121484814399269E-2</c:v>
                </c:pt>
                <c:pt idx="1">
                  <c:v>-3.5139503830207253E-2</c:v>
                </c:pt>
                <c:pt idx="2">
                  <c:v>0.12255261259887955</c:v>
                </c:pt>
                <c:pt idx="3">
                  <c:v>7.5699782876586283E-2</c:v>
                </c:pt>
                <c:pt idx="4">
                  <c:v>0.19579366992597377</c:v>
                </c:pt>
                <c:pt idx="5">
                  <c:v>0.15664474032894873</c:v>
                </c:pt>
                <c:pt idx="6">
                  <c:v>-0.19102365166689508</c:v>
                </c:pt>
                <c:pt idx="7">
                  <c:v>-0.1291413275728468</c:v>
                </c:pt>
                <c:pt idx="8">
                  <c:v>-5.1043457343521004E-2</c:v>
                </c:pt>
                <c:pt idx="9">
                  <c:v>0.44552617466276156</c:v>
                </c:pt>
                <c:pt idx="10">
                  <c:v>-0.11831324166509312</c:v>
                </c:pt>
                <c:pt idx="11">
                  <c:v>8.0706446501051812E-2</c:v>
                </c:pt>
                <c:pt idx="12">
                  <c:v>0.46637429496399269</c:v>
                </c:pt>
                <c:pt idx="13">
                  <c:v>3.5511994176034302E-3</c:v>
                </c:pt>
                <c:pt idx="14">
                  <c:v>-0.15423891075417254</c:v>
                </c:pt>
                <c:pt idx="15">
                  <c:v>-0.74783128926114606</c:v>
                </c:pt>
                <c:pt idx="16">
                  <c:v>4.3422388348707514E-2</c:v>
                </c:pt>
                <c:pt idx="17">
                  <c:v>-2.9338590808779589E-3</c:v>
                </c:pt>
                <c:pt idx="18">
                  <c:v>3.1108580685678473E-2</c:v>
                </c:pt>
                <c:pt idx="19">
                  <c:v>-0.47957848497593225</c:v>
                </c:pt>
                <c:pt idx="20">
                  <c:v>0.18492942250520991</c:v>
                </c:pt>
                <c:pt idx="21">
                  <c:v>7.023129506508366E-3</c:v>
                </c:pt>
                <c:pt idx="22">
                  <c:v>-0.11866695505270038</c:v>
                </c:pt>
                <c:pt idx="23">
                  <c:v>0.10943352059925786</c:v>
                </c:pt>
                <c:pt idx="24">
                  <c:v>0.15414642151720243</c:v>
                </c:pt>
                <c:pt idx="25">
                  <c:v>0.30275952075812534</c:v>
                </c:pt>
                <c:pt idx="26">
                  <c:v>-4.759582331959647E-2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63AE-4173-96A3-1ECE812B4A92}"/>
            </c:ext>
          </c:extLst>
        </c:ser>
        <c:ser>
          <c:idx val="25"/>
          <c:order val="25"/>
          <c:tx>
            <c:strRef>
              <c:f>'SATORI H4'!$BH$1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H4'!$BH$2:$BH$37</c:f>
              <c:numCache>
                <c:formatCode>0.00000</c:formatCode>
                <c:ptCount val="36"/>
                <c:pt idx="0">
                  <c:v>3.0150162516731239E-2</c:v>
                </c:pt>
                <c:pt idx="1">
                  <c:v>-9.7708622602269438E-2</c:v>
                </c:pt>
                <c:pt idx="2">
                  <c:v>-2.2034682590411168E-2</c:v>
                </c:pt>
                <c:pt idx="3">
                  <c:v>-1.4687630811710298E-2</c:v>
                </c:pt>
                <c:pt idx="4">
                  <c:v>-2.4962739440394628E-2</c:v>
                </c:pt>
                <c:pt idx="5">
                  <c:v>-7.7764490972704589E-2</c:v>
                </c:pt>
                <c:pt idx="6">
                  <c:v>7.4886019073911098E-2</c:v>
                </c:pt>
                <c:pt idx="7">
                  <c:v>2.7906498542239783E-2</c:v>
                </c:pt>
                <c:pt idx="8">
                  <c:v>-0.14592866361609294</c:v>
                </c:pt>
                <c:pt idx="9">
                  <c:v>1.3934829004973446E-2</c:v>
                </c:pt>
                <c:pt idx="10">
                  <c:v>1.1002391186358099E-2</c:v>
                </c:pt>
                <c:pt idx="11">
                  <c:v>-0.11722126979940846</c:v>
                </c:pt>
                <c:pt idx="12">
                  <c:v>-0.16895227646736399</c:v>
                </c:pt>
                <c:pt idx="13">
                  <c:v>-1.2432171534715264E-2</c:v>
                </c:pt>
                <c:pt idx="14">
                  <c:v>6.5128464065922986E-2</c:v>
                </c:pt>
                <c:pt idx="15">
                  <c:v>-4.3887560071093012E-2</c:v>
                </c:pt>
                <c:pt idx="16">
                  <c:v>-5.6290664522255826E-2</c:v>
                </c:pt>
                <c:pt idx="17">
                  <c:v>-0.1226653426598027</c:v>
                </c:pt>
                <c:pt idx="18">
                  <c:v>-0.22147426090250263</c:v>
                </c:pt>
                <c:pt idx="19">
                  <c:v>2.6963016942975513E-2</c:v>
                </c:pt>
                <c:pt idx="20">
                  <c:v>-1.8943395676528911E-2</c:v>
                </c:pt>
                <c:pt idx="21">
                  <c:v>-4.8063968772992779E-2</c:v>
                </c:pt>
                <c:pt idx="22">
                  <c:v>1.9666399592103756E-2</c:v>
                </c:pt>
                <c:pt idx="23">
                  <c:v>0.13493308048575231</c:v>
                </c:pt>
                <c:pt idx="24">
                  <c:v>-0.11437979921608671</c:v>
                </c:pt>
                <c:pt idx="25">
                  <c:v>0.12181334111383059</c:v>
                </c:pt>
                <c:pt idx="26">
                  <c:v>-7.2936800262726397E-3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63AE-4173-96A3-1ECE812B4A92}"/>
            </c:ext>
          </c:extLst>
        </c:ser>
        <c:ser>
          <c:idx val="26"/>
          <c:order val="26"/>
          <c:tx>
            <c:strRef>
              <c:f>'SATORI H4'!$BI$1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H4'!$BI$2:$BI$37</c:f>
              <c:numCache>
                <c:formatCode>0.00000</c:formatCode>
                <c:ptCount val="36"/>
                <c:pt idx="0">
                  <c:v>3.2786501329018038E-2</c:v>
                </c:pt>
                <c:pt idx="1">
                  <c:v>-0.14265168434222358</c:v>
                </c:pt>
                <c:pt idx="2">
                  <c:v>0.12058066026692653</c:v>
                </c:pt>
                <c:pt idx="3">
                  <c:v>7.8497533771507547E-2</c:v>
                </c:pt>
                <c:pt idx="4">
                  <c:v>-5.854595271828214E-2</c:v>
                </c:pt>
                <c:pt idx="5">
                  <c:v>-0.2511154196547567</c:v>
                </c:pt>
                <c:pt idx="6">
                  <c:v>-0.34337061911467381</c:v>
                </c:pt>
                <c:pt idx="7">
                  <c:v>-0.11277758400186332</c:v>
                </c:pt>
                <c:pt idx="8">
                  <c:v>-0.22504756159807582</c:v>
                </c:pt>
                <c:pt idx="9">
                  <c:v>1.5082781264873885E-2</c:v>
                </c:pt>
                <c:pt idx="10">
                  <c:v>-0.11241424068236909</c:v>
                </c:pt>
                <c:pt idx="11">
                  <c:v>-1.8539117538010866E-2</c:v>
                </c:pt>
                <c:pt idx="12">
                  <c:v>-0.26924899176074318</c:v>
                </c:pt>
                <c:pt idx="13">
                  <c:v>8.9058524173020751E-2</c:v>
                </c:pt>
                <c:pt idx="14">
                  <c:v>7.8710991758497773E-2</c:v>
                </c:pt>
                <c:pt idx="15">
                  <c:v>-0.32420707717512709</c:v>
                </c:pt>
                <c:pt idx="16">
                  <c:v>8.5451333156267725E-2</c:v>
                </c:pt>
                <c:pt idx="17">
                  <c:v>-0.28096680216021991</c:v>
                </c:pt>
                <c:pt idx="18">
                  <c:v>0.18342485349083801</c:v>
                </c:pt>
                <c:pt idx="19">
                  <c:v>-0.2106668815545602</c:v>
                </c:pt>
                <c:pt idx="20">
                  <c:v>-0.28353651537066055</c:v>
                </c:pt>
                <c:pt idx="21">
                  <c:v>-7.1120491878493383E-2</c:v>
                </c:pt>
                <c:pt idx="22">
                  <c:v>-8.9394182501662145E-2</c:v>
                </c:pt>
                <c:pt idx="23">
                  <c:v>3.8981884888787774E-2</c:v>
                </c:pt>
                <c:pt idx="24">
                  <c:v>-9.8504111973973379E-2</c:v>
                </c:pt>
                <c:pt idx="25">
                  <c:v>0.79661956220558627</c:v>
                </c:pt>
                <c:pt idx="26">
                  <c:v>9.2447074050108963E-2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63AE-4173-96A3-1ECE812B4A92}"/>
            </c:ext>
          </c:extLst>
        </c:ser>
        <c:ser>
          <c:idx val="27"/>
          <c:order val="27"/>
          <c:tx>
            <c:strRef>
              <c:f>'SATORI H4'!$BJ$1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H4'!$AH$2:$AH$37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H4'!$BJ$2:$BJ$37</c:f>
              <c:numCache>
                <c:formatCode>0.00000</c:formatCode>
                <c:ptCount val="36"/>
                <c:pt idx="0">
                  <c:v>6.0365761637573769E-2</c:v>
                </c:pt>
                <c:pt idx="1">
                  <c:v>-0.17530164208335061</c:v>
                </c:pt>
                <c:pt idx="2">
                  <c:v>0.24643899090439705</c:v>
                </c:pt>
                <c:pt idx="3">
                  <c:v>0.15400375384151224</c:v>
                </c:pt>
                <c:pt idx="4">
                  <c:v>0.13010973275873453</c:v>
                </c:pt>
                <c:pt idx="5">
                  <c:v>-9.2849233477988485E-2</c:v>
                </c:pt>
                <c:pt idx="6">
                  <c:v>-0.52951679881782365</c:v>
                </c:pt>
                <c:pt idx="7">
                  <c:v>-0.2395544696359585</c:v>
                </c:pt>
                <c:pt idx="8">
                  <c:v>-0.27768325052747256</c:v>
                </c:pt>
                <c:pt idx="9">
                  <c:v>0.46014891594932333</c:v>
                </c:pt>
                <c:pt idx="10">
                  <c:v>-0.23533103231879432</c:v>
                </c:pt>
                <c:pt idx="11">
                  <c:v>6.9624573378842231E-2</c:v>
                </c:pt>
                <c:pt idx="12">
                  <c:v>0.19286271184123069</c:v>
                </c:pt>
                <c:pt idx="13">
                  <c:v>9.3783585818826856E-2</c:v>
                </c:pt>
                <c:pt idx="14">
                  <c:v>-7.592754733502409E-2</c:v>
                </c:pt>
                <c:pt idx="15">
                  <c:v>-1.0752397128182909</c:v>
                </c:pt>
                <c:pt idx="16">
                  <c:v>0.12398541985663268</c:v>
                </c:pt>
                <c:pt idx="17">
                  <c:v>-0.27364310182899859</c:v>
                </c:pt>
                <c:pt idx="18">
                  <c:v>0.21328747088456596</c:v>
                </c:pt>
                <c:pt idx="19">
                  <c:v>-0.6892470732215783</c:v>
                </c:pt>
                <c:pt idx="20">
                  <c:v>-0.10210593490747673</c:v>
                </c:pt>
                <c:pt idx="21">
                  <c:v>-6.0420932496393812E-2</c:v>
                </c:pt>
                <c:pt idx="22">
                  <c:v>-0.21971691351324302</c:v>
                </c:pt>
                <c:pt idx="23">
                  <c:v>0.16035533131154281</c:v>
                </c:pt>
                <c:pt idx="24">
                  <c:v>5.7062681677513917E-2</c:v>
                </c:pt>
                <c:pt idx="25">
                  <c:v>1.0995052226498108</c:v>
                </c:pt>
                <c:pt idx="26">
                  <c:v>4.6173381045835266E-2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63AE-4173-96A3-1ECE812B4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'SATORI (D)'!$CV$1</c:f>
              <c:strCache>
                <c:ptCount val="1"/>
                <c:pt idx="0">
                  <c:v>EUR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(D)'!$CV$2:$CV$37</c:f>
              <c:numCache>
                <c:formatCode>0.00000</c:formatCode>
                <c:ptCount val="36"/>
                <c:pt idx="0">
                  <c:v>-0.59341160018612804</c:v>
                </c:pt>
                <c:pt idx="1">
                  <c:v>-9.8932111317856175E-2</c:v>
                </c:pt>
                <c:pt idx="2">
                  <c:v>0.28365144549050236</c:v>
                </c:pt>
                <c:pt idx="3">
                  <c:v>0.31214256140571317</c:v>
                </c:pt>
                <c:pt idx="4">
                  <c:v>1.7115672928046632</c:v>
                </c:pt>
                <c:pt idx="5">
                  <c:v>2.2396499200988234</c:v>
                </c:pt>
                <c:pt idx="6">
                  <c:v>-1.5982651354841793</c:v>
                </c:pt>
                <c:pt idx="7">
                  <c:v>-2.4816252297825758</c:v>
                </c:pt>
                <c:pt idx="8">
                  <c:v>-3.4923862012869362</c:v>
                </c:pt>
                <c:pt idx="9">
                  <c:v>-3.0577450185814934</c:v>
                </c:pt>
                <c:pt idx="10">
                  <c:v>-1.7024532549256639</c:v>
                </c:pt>
                <c:pt idx="11">
                  <c:v>-3.1522467075436547</c:v>
                </c:pt>
                <c:pt idx="12">
                  <c:v>-1.6700777736064145</c:v>
                </c:pt>
                <c:pt idx="13">
                  <c:v>-2.4473873248973064</c:v>
                </c:pt>
                <c:pt idx="14">
                  <c:v>-5.7071593385531774</c:v>
                </c:pt>
                <c:pt idx="15">
                  <c:v>-4.4706391367515241</c:v>
                </c:pt>
                <c:pt idx="16">
                  <c:v>-1.545411905542772</c:v>
                </c:pt>
                <c:pt idx="17">
                  <c:v>0.1985744968767964</c:v>
                </c:pt>
                <c:pt idx="18">
                  <c:v>1.6314556196397785</c:v>
                </c:pt>
                <c:pt idx="19">
                  <c:v>1.0317924978449242</c:v>
                </c:pt>
                <c:pt idx="20">
                  <c:v>-0.91833895501428664</c:v>
                </c:pt>
                <c:pt idx="21">
                  <c:v>0.62201295018244895</c:v>
                </c:pt>
                <c:pt idx="22">
                  <c:v>2.5891087724691095</c:v>
                </c:pt>
                <c:pt idx="23">
                  <c:v>1.0488548562258326</c:v>
                </c:pt>
                <c:pt idx="24">
                  <c:v>0.40152016270307334</c:v>
                </c:pt>
                <c:pt idx="25">
                  <c:v>0.34316996443938269</c:v>
                </c:pt>
                <c:pt idx="26">
                  <c:v>0.93406152724636116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7995-4FF1-9897-F889D6E32680}"/>
            </c:ext>
          </c:extLst>
        </c:ser>
        <c:ser>
          <c:idx val="1"/>
          <c:order val="1"/>
          <c:tx>
            <c:strRef>
              <c:f>'SATORI (D)'!$CW$1</c:f>
              <c:strCache>
                <c:ptCount val="1"/>
                <c:pt idx="0">
                  <c:v>USD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  <c:extLst xmlns:c15="http://schemas.microsoft.com/office/drawing/2012/chart"/>
            </c:numRef>
          </c:cat>
          <c:val>
            <c:numRef>
              <c:f>'SATORI (D)'!$CW$2:$CW$37</c:f>
              <c:numCache>
                <c:formatCode>0.00000</c:formatCode>
                <c:ptCount val="36"/>
                <c:pt idx="0">
                  <c:v>-16.731122668639028</c:v>
                </c:pt>
                <c:pt idx="1">
                  <c:v>-17.365681748468837</c:v>
                </c:pt>
                <c:pt idx="2">
                  <c:v>-13.729457767461211</c:v>
                </c:pt>
                <c:pt idx="3">
                  <c:v>-9.5777452186733285</c:v>
                </c:pt>
                <c:pt idx="4">
                  <c:v>-4.0246297162499864</c:v>
                </c:pt>
                <c:pt idx="5">
                  <c:v>-6.4917089461294921</c:v>
                </c:pt>
                <c:pt idx="6">
                  <c:v>-8.8950906446373015</c:v>
                </c:pt>
                <c:pt idx="7">
                  <c:v>-5.3230317099957887</c:v>
                </c:pt>
                <c:pt idx="8">
                  <c:v>-5.081063917658164</c:v>
                </c:pt>
                <c:pt idx="9">
                  <c:v>-4.9101894101632073</c:v>
                </c:pt>
                <c:pt idx="10">
                  <c:v>-3.8946027518281729</c:v>
                </c:pt>
                <c:pt idx="11">
                  <c:v>-5.9009161898260922</c:v>
                </c:pt>
                <c:pt idx="12">
                  <c:v>-5.8731748671811967</c:v>
                </c:pt>
                <c:pt idx="13">
                  <c:v>-3.6603304629750366</c:v>
                </c:pt>
                <c:pt idx="14">
                  <c:v>1.8432462051890779</c:v>
                </c:pt>
                <c:pt idx="15">
                  <c:v>0.51630073834736123</c:v>
                </c:pt>
                <c:pt idx="16">
                  <c:v>4.3150148921186604</c:v>
                </c:pt>
                <c:pt idx="17">
                  <c:v>5.563102724151892</c:v>
                </c:pt>
                <c:pt idx="18">
                  <c:v>4.4982259159264144</c:v>
                </c:pt>
                <c:pt idx="19">
                  <c:v>4.6558634631168072</c:v>
                </c:pt>
                <c:pt idx="20">
                  <c:v>3.1241769390177261</c:v>
                </c:pt>
                <c:pt idx="21">
                  <c:v>3.6552774334813138</c:v>
                </c:pt>
                <c:pt idx="22">
                  <c:v>2.8678117650920467</c:v>
                </c:pt>
                <c:pt idx="23">
                  <c:v>1.9986269707131117</c:v>
                </c:pt>
                <c:pt idx="24">
                  <c:v>0.30156377358112685</c:v>
                </c:pt>
                <c:pt idx="25">
                  <c:v>-2.9711469965969282</c:v>
                </c:pt>
                <c:pt idx="26">
                  <c:v>0.63501331737784739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7995-4FF1-9897-F889D6E32680}"/>
            </c:ext>
          </c:extLst>
        </c:ser>
        <c:ser>
          <c:idx val="5"/>
          <c:order val="5"/>
          <c:tx>
            <c:strRef>
              <c:f>'SATORI (D)'!$DA$1</c:f>
              <c:strCache>
                <c:ptCount val="1"/>
                <c:pt idx="0">
                  <c:v>AUD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(D)'!$DA$2:$DA$37</c:f>
              <c:numCache>
                <c:formatCode>0.00000</c:formatCode>
                <c:ptCount val="36"/>
                <c:pt idx="0">
                  <c:v>-19.168351983298134</c:v>
                </c:pt>
                <c:pt idx="1">
                  <c:v>-18.694350985455266</c:v>
                </c:pt>
                <c:pt idx="2">
                  <c:v>-16.806353593107552</c:v>
                </c:pt>
                <c:pt idx="3">
                  <c:v>-20.100038910893829</c:v>
                </c:pt>
                <c:pt idx="4">
                  <c:v>-21.72123334478977</c:v>
                </c:pt>
                <c:pt idx="5">
                  <c:v>-25.863901507803043</c:v>
                </c:pt>
                <c:pt idx="6">
                  <c:v>-23.788787771863895</c:v>
                </c:pt>
                <c:pt idx="7">
                  <c:v>-26.02373682754865</c:v>
                </c:pt>
                <c:pt idx="8">
                  <c:v>-27.470772729236884</c:v>
                </c:pt>
                <c:pt idx="9">
                  <c:v>-24.840864192275756</c:v>
                </c:pt>
                <c:pt idx="10">
                  <c:v>-32.742915902799325</c:v>
                </c:pt>
                <c:pt idx="11">
                  <c:v>-34.973751075892288</c:v>
                </c:pt>
                <c:pt idx="12">
                  <c:v>-37.594229735158152</c:v>
                </c:pt>
                <c:pt idx="13">
                  <c:v>-33.702244923896984</c:v>
                </c:pt>
                <c:pt idx="14">
                  <c:v>-29.213088098252896</c:v>
                </c:pt>
                <c:pt idx="15">
                  <c:v>-25.660094059377194</c:v>
                </c:pt>
                <c:pt idx="16">
                  <c:v>-22.37013349305079</c:v>
                </c:pt>
                <c:pt idx="17">
                  <c:v>-19.696060779210576</c:v>
                </c:pt>
                <c:pt idx="18">
                  <c:v>-21.08142426544298</c:v>
                </c:pt>
                <c:pt idx="19">
                  <c:v>-21.97310678828234</c:v>
                </c:pt>
                <c:pt idx="20">
                  <c:v>-18.283559737860113</c:v>
                </c:pt>
                <c:pt idx="21">
                  <c:v>-13.536981071413603</c:v>
                </c:pt>
                <c:pt idx="22">
                  <c:v>-11.113968395714016</c:v>
                </c:pt>
                <c:pt idx="23">
                  <c:v>-6.9733283411659857</c:v>
                </c:pt>
                <c:pt idx="24">
                  <c:v>-6.0495486814955406</c:v>
                </c:pt>
                <c:pt idx="25">
                  <c:v>-6.5944238713063728</c:v>
                </c:pt>
                <c:pt idx="26">
                  <c:v>-2.4492544132677798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7995-4FF1-9897-F889D6E32680}"/>
            </c:ext>
          </c:extLst>
        </c:ser>
        <c:ser>
          <c:idx val="6"/>
          <c:order val="6"/>
          <c:tx>
            <c:strRef>
              <c:f>'SATORI (D)'!$DB$1</c:f>
              <c:strCache>
                <c:ptCount val="1"/>
                <c:pt idx="0">
                  <c:v>NZD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(D)'!$DB$2:$DB$37</c:f>
              <c:numCache>
                <c:formatCode>0.00000</c:formatCode>
                <c:ptCount val="36"/>
                <c:pt idx="0">
                  <c:v>-7.5513917186400654</c:v>
                </c:pt>
                <c:pt idx="1">
                  <c:v>-6.8823779492787587</c:v>
                </c:pt>
                <c:pt idx="2">
                  <c:v>-8.3789122972550913</c:v>
                </c:pt>
                <c:pt idx="3">
                  <c:v>-12.085837703521426</c:v>
                </c:pt>
                <c:pt idx="4">
                  <c:v>-15.915577526725587</c:v>
                </c:pt>
                <c:pt idx="5">
                  <c:v>-16.746397196290829</c:v>
                </c:pt>
                <c:pt idx="6">
                  <c:v>-8.4776609072909856</c:v>
                </c:pt>
                <c:pt idx="7">
                  <c:v>-12.753279344821433</c:v>
                </c:pt>
                <c:pt idx="8">
                  <c:v>-14.937892636933645</c:v>
                </c:pt>
                <c:pt idx="9">
                  <c:v>-12.974873029143298</c:v>
                </c:pt>
                <c:pt idx="10">
                  <c:v>-14.537263804623311</c:v>
                </c:pt>
                <c:pt idx="11">
                  <c:v>-21.984542571419148</c:v>
                </c:pt>
                <c:pt idx="12">
                  <c:v>-23.882459558714732</c:v>
                </c:pt>
                <c:pt idx="13">
                  <c:v>-19.159199245557886</c:v>
                </c:pt>
                <c:pt idx="14">
                  <c:v>-14.762056073056058</c:v>
                </c:pt>
                <c:pt idx="15">
                  <c:v>-15.969143416827759</c:v>
                </c:pt>
                <c:pt idx="16">
                  <c:v>-18.579794187154622</c:v>
                </c:pt>
                <c:pt idx="17">
                  <c:v>-21.018199103685042</c:v>
                </c:pt>
                <c:pt idx="18">
                  <c:v>-20.469769745800928</c:v>
                </c:pt>
                <c:pt idx="19">
                  <c:v>-20.426548728351666</c:v>
                </c:pt>
                <c:pt idx="20">
                  <c:v>-16.161685998179642</c:v>
                </c:pt>
                <c:pt idx="21">
                  <c:v>-12.130330613661389</c:v>
                </c:pt>
                <c:pt idx="22">
                  <c:v>-9.8743522254533715</c:v>
                </c:pt>
                <c:pt idx="23">
                  <c:v>-6.7039328533567968</c:v>
                </c:pt>
                <c:pt idx="24">
                  <c:v>-3.632715713330696</c:v>
                </c:pt>
                <c:pt idx="25">
                  <c:v>-2.0538938593525575</c:v>
                </c:pt>
                <c:pt idx="26">
                  <c:v>-2.6361710280930248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995-4FF1-9897-F889D6E32680}"/>
            </c:ext>
          </c:extLst>
        </c:ser>
        <c:ser>
          <c:idx val="7"/>
          <c:order val="7"/>
          <c:tx>
            <c:strRef>
              <c:f>'SATORI (D)'!$DC$1</c:f>
              <c:strCache>
                <c:ptCount val="1"/>
                <c:pt idx="0">
                  <c:v>JPY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'SATORI (D)'!$CU$2:$CU$37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cat>
          <c:val>
            <c:numRef>
              <c:f>'SATORI (D)'!$DC$2:$DC$37</c:f>
              <c:numCache>
                <c:formatCode>0.00000</c:formatCode>
                <c:ptCount val="36"/>
                <c:pt idx="0">
                  <c:v>46.786309267096208</c:v>
                </c:pt>
                <c:pt idx="1">
                  <c:v>49.503168230946947</c:v>
                </c:pt>
                <c:pt idx="2">
                  <c:v>45.815876253861845</c:v>
                </c:pt>
                <c:pt idx="3">
                  <c:v>44.562677942941313</c:v>
                </c:pt>
                <c:pt idx="4">
                  <c:v>41.030581155861746</c:v>
                </c:pt>
                <c:pt idx="5">
                  <c:v>49.288519449582942</c:v>
                </c:pt>
                <c:pt idx="6">
                  <c:v>49.390991560485986</c:v>
                </c:pt>
                <c:pt idx="7">
                  <c:v>51.084164109587512</c:v>
                </c:pt>
                <c:pt idx="8">
                  <c:v>54.52994149582392</c:v>
                </c:pt>
                <c:pt idx="9">
                  <c:v>51.001367721687892</c:v>
                </c:pt>
                <c:pt idx="10">
                  <c:v>55.193463030406008</c:v>
                </c:pt>
                <c:pt idx="11">
                  <c:v>66.226040657524777</c:v>
                </c:pt>
                <c:pt idx="12">
                  <c:v>67.29614444500838</c:v>
                </c:pt>
                <c:pt idx="13">
                  <c:v>56.790451336627115</c:v>
                </c:pt>
                <c:pt idx="14">
                  <c:v>47.064172916848399</c:v>
                </c:pt>
                <c:pt idx="15">
                  <c:v>42.453184334130505</c:v>
                </c:pt>
                <c:pt idx="16">
                  <c:v>31.523418516861831</c:v>
                </c:pt>
                <c:pt idx="17">
                  <c:v>26.109662012754416</c:v>
                </c:pt>
                <c:pt idx="18">
                  <c:v>26.400138358815468</c:v>
                </c:pt>
                <c:pt idx="19">
                  <c:v>25.675443241267935</c:v>
                </c:pt>
                <c:pt idx="20">
                  <c:v>24.4201608612067</c:v>
                </c:pt>
                <c:pt idx="21">
                  <c:v>16.202374482265451</c:v>
                </c:pt>
                <c:pt idx="22">
                  <c:v>7.9572106857361122</c:v>
                </c:pt>
                <c:pt idx="23">
                  <c:v>4.8150971958042259</c:v>
                </c:pt>
                <c:pt idx="24">
                  <c:v>3.8601744353933176</c:v>
                </c:pt>
                <c:pt idx="25">
                  <c:v>6.6312941316408587</c:v>
                </c:pt>
                <c:pt idx="26">
                  <c:v>-1.0017888622905897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995-4FF1-9897-F889D6E326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7965472"/>
        <c:axId val="1967967552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'SATORI (D)'!$CX$1</c15:sqref>
                        </c15:formulaRef>
                      </c:ext>
                    </c:extLst>
                    <c:strCache>
                      <c:ptCount val="1"/>
                      <c:pt idx="0">
                        <c:v>CAD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'SATORI (D)'!$CX$2:$CX$37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-12.026121956761548</c:v>
                      </c:pt>
                      <c:pt idx="1">
                        <c:v>-13.710803846660426</c:v>
                      </c:pt>
                      <c:pt idx="2">
                        <c:v>-10.849486802971365</c:v>
                      </c:pt>
                      <c:pt idx="3">
                        <c:v>-9.3619980561010845</c:v>
                      </c:pt>
                      <c:pt idx="4">
                        <c:v>-6.6977381615339029</c:v>
                      </c:pt>
                      <c:pt idx="5">
                        <c:v>-8.3038969473436843</c:v>
                      </c:pt>
                      <c:pt idx="6">
                        <c:v>-10.275017506940772</c:v>
                      </c:pt>
                      <c:pt idx="7">
                        <c:v>-8.8093445358304336</c:v>
                      </c:pt>
                      <c:pt idx="8">
                        <c:v>-7.8165970095873369</c:v>
                      </c:pt>
                      <c:pt idx="9">
                        <c:v>-7.9050099135897964</c:v>
                      </c:pt>
                      <c:pt idx="10">
                        <c:v>-8.2126609360900087</c:v>
                      </c:pt>
                      <c:pt idx="11">
                        <c:v>-11.847994461563287</c:v>
                      </c:pt>
                      <c:pt idx="12">
                        <c:v>-14.215943822056923</c:v>
                      </c:pt>
                      <c:pt idx="13">
                        <c:v>-14.747340966190745</c:v>
                      </c:pt>
                      <c:pt idx="14">
                        <c:v>-9.2381466044203986</c:v>
                      </c:pt>
                      <c:pt idx="15">
                        <c:v>-6.7951364203983253</c:v>
                      </c:pt>
                      <c:pt idx="16">
                        <c:v>-5.4585739635995898</c:v>
                      </c:pt>
                      <c:pt idx="17">
                        <c:v>-4.2747319095447942</c:v>
                      </c:pt>
                      <c:pt idx="18">
                        <c:v>-4.3887793981680332</c:v>
                      </c:pt>
                      <c:pt idx="19">
                        <c:v>-3.5988512682179938</c:v>
                      </c:pt>
                      <c:pt idx="20">
                        <c:v>-4.1227464225185928</c:v>
                      </c:pt>
                      <c:pt idx="21">
                        <c:v>-2.2629990498878358</c:v>
                      </c:pt>
                      <c:pt idx="22">
                        <c:v>-1.4810820849599655</c:v>
                      </c:pt>
                      <c:pt idx="23">
                        <c:v>-0.79445066931872976</c:v>
                      </c:pt>
                      <c:pt idx="24">
                        <c:v>-1.0512542156275861</c:v>
                      </c:pt>
                      <c:pt idx="25">
                        <c:v>-3.0158631563913767</c:v>
                      </c:pt>
                      <c:pt idx="26">
                        <c:v>1.1879644329425334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7995-4FF1-9897-F889D6E32680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(D)'!$CY$1</c15:sqref>
                        </c15:formulaRef>
                      </c:ext>
                    </c:extLst>
                    <c:strCache>
                      <c:ptCount val="1"/>
                      <c:pt idx="0">
                        <c:v>CHF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(D)'!$CY$2:$CY$37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16.662575260115553</c:v>
                      </c:pt>
                      <c:pt idx="1">
                        <c:v>16.110668235048696</c:v>
                      </c:pt>
                      <c:pt idx="2">
                        <c:v>12.455971057213256</c:v>
                      </c:pt>
                      <c:pt idx="3">
                        <c:v>13.745302205130265</c:v>
                      </c:pt>
                      <c:pt idx="4">
                        <c:v>13.657605804377315</c:v>
                      </c:pt>
                      <c:pt idx="5">
                        <c:v>17.351352076331963</c:v>
                      </c:pt>
                      <c:pt idx="6">
                        <c:v>15.245730173909994</c:v>
                      </c:pt>
                      <c:pt idx="7">
                        <c:v>18.230814897427891</c:v>
                      </c:pt>
                      <c:pt idx="8">
                        <c:v>18.548211012982971</c:v>
                      </c:pt>
                      <c:pt idx="9">
                        <c:v>17.493532067818101</c:v>
                      </c:pt>
                      <c:pt idx="10">
                        <c:v>22.455972062028614</c:v>
                      </c:pt>
                      <c:pt idx="11">
                        <c:v>28.835876333243817</c:v>
                      </c:pt>
                      <c:pt idx="12">
                        <c:v>27.652130381767329</c:v>
                      </c:pt>
                      <c:pt idx="13">
                        <c:v>24.951492375845248</c:v>
                      </c:pt>
                      <c:pt idx="14">
                        <c:v>18.395335947767823</c:v>
                      </c:pt>
                      <c:pt idx="15">
                        <c:v>13.414669934265984</c:v>
                      </c:pt>
                      <c:pt idx="16">
                        <c:v>13.26776410675965</c:v>
                      </c:pt>
                      <c:pt idx="17">
                        <c:v>11.819219152078643</c:v>
                      </c:pt>
                      <c:pt idx="18">
                        <c:v>12.771233794714137</c:v>
                      </c:pt>
                      <c:pt idx="19">
                        <c:v>14.660957028210195</c:v>
                      </c:pt>
                      <c:pt idx="20">
                        <c:v>10.489709475031217</c:v>
                      </c:pt>
                      <c:pt idx="21">
                        <c:v>6.3028432206836023</c:v>
                      </c:pt>
                      <c:pt idx="22">
                        <c:v>7.0636350991141379</c:v>
                      </c:pt>
                      <c:pt idx="23">
                        <c:v>6.9422625462155612</c:v>
                      </c:pt>
                      <c:pt idx="24">
                        <c:v>6.3364555182824427</c:v>
                      </c:pt>
                      <c:pt idx="25">
                        <c:v>6.7510092367471328</c:v>
                      </c:pt>
                      <c:pt idx="26">
                        <c:v>2.2116068347624944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995-4FF1-9897-F889D6E32680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(D)'!$CZ$1</c15:sqref>
                        </c15:formulaRef>
                      </c:ext>
                    </c:extLst>
                    <c:strCache>
                      <c:ptCount val="1"/>
                      <c:pt idx="0">
                        <c:v>GBP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(D)'!$CU$2:$CU$37</c15:sqref>
                        </c15:formulaRef>
                      </c:ext>
                    </c:extLst>
                    <c:numCache>
                      <c:formatCode>General</c:formatCode>
                      <c:ptCount val="36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'SATORI (D)'!$CZ$2:$CZ$37</c15:sqref>
                        </c15:formulaRef>
                      </c:ext>
                    </c:extLst>
                    <c:numCache>
                      <c:formatCode>0.00000</c:formatCode>
                      <c:ptCount val="36"/>
                      <c:pt idx="0">
                        <c:v>-11.470707093572216</c:v>
                      </c:pt>
                      <c:pt idx="1">
                        <c:v>-13.119784182684905</c:v>
                      </c:pt>
                      <c:pt idx="2">
                        <c:v>-12.121847337773158</c:v>
                      </c:pt>
                      <c:pt idx="3">
                        <c:v>-10.795048435230918</c:v>
                      </c:pt>
                      <c:pt idx="4">
                        <c:v>-10.947761036868886</c:v>
                      </c:pt>
                      <c:pt idx="5">
                        <c:v>-15.133814429763856</c:v>
                      </c:pt>
                      <c:pt idx="6">
                        <c:v>-15.246246977012254</c:v>
                      </c:pt>
                      <c:pt idx="7">
                        <c:v>-17.785931238751392</c:v>
                      </c:pt>
                      <c:pt idx="8">
                        <c:v>-18.047776935017296</c:v>
                      </c:pt>
                      <c:pt idx="9">
                        <c:v>-18.428764071615099</c:v>
                      </c:pt>
                      <c:pt idx="10">
                        <c:v>-20.9340840325744</c:v>
                      </c:pt>
                      <c:pt idx="11">
                        <c:v>-23.018470525742632</c:v>
                      </c:pt>
                      <c:pt idx="12">
                        <c:v>-17.692242934789984</c:v>
                      </c:pt>
                      <c:pt idx="13">
                        <c:v>-13.696398109769417</c:v>
                      </c:pt>
                      <c:pt idx="14">
                        <c:v>-12.331919533633217</c:v>
                      </c:pt>
                      <c:pt idx="15">
                        <c:v>-6.3881777895468295</c:v>
                      </c:pt>
                      <c:pt idx="16">
                        <c:v>-3.8222283028702448</c:v>
                      </c:pt>
                      <c:pt idx="17">
                        <c:v>-0.99633506621310219</c:v>
                      </c:pt>
                      <c:pt idx="18">
                        <c:v>-1.8186897007109903</c:v>
                      </c:pt>
                      <c:pt idx="19">
                        <c:v>-2.6289886064735564</c:v>
                      </c:pt>
                      <c:pt idx="20">
                        <c:v>-0.63170316520434722</c:v>
                      </c:pt>
                      <c:pt idx="21">
                        <c:v>-7.3262172813285426E-2</c:v>
                      </c:pt>
                      <c:pt idx="22">
                        <c:v>0.77521071389722418</c:v>
                      </c:pt>
                      <c:pt idx="23">
                        <c:v>-1.4398825398159198</c:v>
                      </c:pt>
                      <c:pt idx="24">
                        <c:v>-1.2189132540007299</c:v>
                      </c:pt>
                      <c:pt idx="25">
                        <c:v>-0.47900568775553082</c:v>
                      </c:pt>
                      <c:pt idx="26">
                        <c:v>0.97039514965039608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995-4FF1-9897-F889D6E32680}"/>
                  </c:ext>
                </c:extLst>
              </c15:ser>
            </c15:filteredLineSeries>
          </c:ext>
        </c:extLst>
      </c:lineChart>
      <c:catAx>
        <c:axId val="1967965472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7552"/>
        <c:crosses val="autoZero"/>
        <c:auto val="1"/>
        <c:lblAlgn val="ctr"/>
        <c:lblOffset val="100"/>
        <c:noMultiLvlLbl val="0"/>
      </c:catAx>
      <c:valAx>
        <c:axId val="19679675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7965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U.F.O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6816928855492983E-2"/>
          <c:y val="4.1703962308137311E-2"/>
          <c:w val="0.94007364602865273"/>
          <c:h val="0.9359891302201897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(D)'!$BO$1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(D)'!$BO$2:$BO$37</c:f>
              <c:numCache>
                <c:formatCode>0.00000</c:formatCode>
                <c:ptCount val="36"/>
                <c:pt idx="0">
                  <c:v>-0.29634129903936796</c:v>
                </c:pt>
                <c:pt idx="1">
                  <c:v>-0.15997833640577869</c:v>
                </c:pt>
                <c:pt idx="2">
                  <c:v>-0.37833840770702165</c:v>
                </c:pt>
                <c:pt idx="3">
                  <c:v>-1.3063604763416794</c:v>
                </c:pt>
                <c:pt idx="4">
                  <c:v>-2.2094828289981039</c:v>
                </c:pt>
                <c:pt idx="5">
                  <c:v>-2.4202006338946407</c:v>
                </c:pt>
                <c:pt idx="6">
                  <c:v>-1.8594276112978907</c:v>
                </c:pt>
                <c:pt idx="7">
                  <c:v>-2.5852205932745389</c:v>
                </c:pt>
                <c:pt idx="8">
                  <c:v>-2.7936743834817728</c:v>
                </c:pt>
                <c:pt idx="9">
                  <c:v>-2.4887732109016483</c:v>
                </c:pt>
                <c:pt idx="10">
                  <c:v>-3.6069742723490235</c:v>
                </c:pt>
                <c:pt idx="11">
                  <c:v>-3.6315224327712423</c:v>
                </c:pt>
                <c:pt idx="12">
                  <c:v>-3.9655690145664741</c:v>
                </c:pt>
                <c:pt idx="13">
                  <c:v>-3.7489858066773123</c:v>
                </c:pt>
                <c:pt idx="14">
                  <c:v>-3.8781807988333399</c:v>
                </c:pt>
                <c:pt idx="15">
                  <c:v>-3.2712863556628093</c:v>
                </c:pt>
                <c:pt idx="16">
                  <c:v>-3.3340024201532827</c:v>
                </c:pt>
                <c:pt idx="17">
                  <c:v>-3.1553519185576429</c:v>
                </c:pt>
                <c:pt idx="18">
                  <c:v>-3.1965959610848325</c:v>
                </c:pt>
                <c:pt idx="19">
                  <c:v>-3.3250756184724053</c:v>
                </c:pt>
                <c:pt idx="20">
                  <c:v>-2.6746987645944653</c:v>
                </c:pt>
                <c:pt idx="21">
                  <c:v>-2.1471657748881614</c:v>
                </c:pt>
                <c:pt idx="22">
                  <c:v>-1.7452026290372551</c:v>
                </c:pt>
                <c:pt idx="23">
                  <c:v>-1.1228208217362465</c:v>
                </c:pt>
                <c:pt idx="24">
                  <c:v>-0.79475640181379203</c:v>
                </c:pt>
                <c:pt idx="25">
                  <c:v>-0.45295227044210534</c:v>
                </c:pt>
                <c:pt idx="26">
                  <c:v>-0.38463814426889859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B0-4FEB-9B42-9CA97C467252}"/>
            </c:ext>
          </c:extLst>
        </c:ser>
        <c:ser>
          <c:idx val="1"/>
          <c:order val="1"/>
          <c:tx>
            <c:strRef>
              <c:f>'SATORI (D)'!$BP$1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(D)'!$BP$2:$BP$37</c:f>
              <c:numCache>
                <c:formatCode>0.00000</c:formatCode>
                <c:ptCount val="36"/>
                <c:pt idx="0">
                  <c:v>-1.4389521621102033</c:v>
                </c:pt>
                <c:pt idx="1">
                  <c:v>-1.4681420514622676</c:v>
                </c:pt>
                <c:pt idx="2">
                  <c:v>-1.0475770591832314</c:v>
                </c:pt>
                <c:pt idx="3">
                  <c:v>-0.99673544895679389</c:v>
                </c:pt>
                <c:pt idx="4">
                  <c:v>-0.71878917316528923</c:v>
                </c:pt>
                <c:pt idx="5">
                  <c:v>-1.1360846620101444</c:v>
                </c:pt>
                <c:pt idx="6">
                  <c:v>-1.9102557492395136</c:v>
                </c:pt>
                <c:pt idx="7">
                  <c:v>-1.6571166415320275</c:v>
                </c:pt>
                <c:pt idx="8">
                  <c:v>-1.5676385362765599</c:v>
                </c:pt>
                <c:pt idx="9">
                  <c:v>-1.4818861963323955</c:v>
                </c:pt>
                <c:pt idx="10">
                  <c:v>-2.2754129307354036</c:v>
                </c:pt>
                <c:pt idx="11">
                  <c:v>-1.6295266871074865</c:v>
                </c:pt>
                <c:pt idx="12">
                  <c:v>-1.7173053386079387</c:v>
                </c:pt>
                <c:pt idx="13">
                  <c:v>-1.8161539355070191</c:v>
                </c:pt>
                <c:pt idx="14">
                  <c:v>-1.7996818830893018</c:v>
                </c:pt>
                <c:pt idx="15">
                  <c:v>-1.2110880492237799</c:v>
                </c:pt>
                <c:pt idx="16">
                  <c:v>-0.47601305170713804</c:v>
                </c:pt>
                <c:pt idx="17">
                  <c:v>0.16195263632673879</c:v>
                </c:pt>
                <c:pt idx="18">
                  <c:v>-7.8196309986025989E-2</c:v>
                </c:pt>
                <c:pt idx="19">
                  <c:v>-0.19616119067039545</c:v>
                </c:pt>
                <c:pt idx="20">
                  <c:v>-0.27546761989841873</c:v>
                </c:pt>
                <c:pt idx="21">
                  <c:v>-0.17643275962761429</c:v>
                </c:pt>
                <c:pt idx="22">
                  <c:v>-0.15842966309501263</c:v>
                </c:pt>
                <c:pt idx="23">
                  <c:v>-4.0648268958894729E-2</c:v>
                </c:pt>
                <c:pt idx="24">
                  <c:v>-0.30206732370366185</c:v>
                </c:pt>
                <c:pt idx="25">
                  <c:v>-0.57595324976348883</c:v>
                </c:pt>
                <c:pt idx="26">
                  <c:v>1.9771548741351019E-2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0B0-4FEB-9B42-9CA97C467252}"/>
            </c:ext>
          </c:extLst>
        </c:ser>
        <c:ser>
          <c:idx val="2"/>
          <c:order val="2"/>
          <c:tx>
            <c:strRef>
              <c:f>'SATORI (D)'!$BQ$1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(D)'!$BQ$2:$BQ$37</c:f>
              <c:numCache>
                <c:formatCode>0.00000</c:formatCode>
                <c:ptCount val="36"/>
                <c:pt idx="0">
                  <c:v>-8.2198503841480246</c:v>
                </c:pt>
                <c:pt idx="1">
                  <c:v>-8.4984161277042887</c:v>
                </c:pt>
                <c:pt idx="2">
                  <c:v>-7.8002774929756837</c:v>
                </c:pt>
                <c:pt idx="3">
                  <c:v>-8.0593290594757416</c:v>
                </c:pt>
                <c:pt idx="4">
                  <c:v>-7.8140869589062225</c:v>
                </c:pt>
                <c:pt idx="5">
                  <c:v>-9.3649611909301704</c:v>
                </c:pt>
                <c:pt idx="6">
                  <c:v>-9.1206305849286728</c:v>
                </c:pt>
                <c:pt idx="7">
                  <c:v>-9.6096180507562945</c:v>
                </c:pt>
                <c:pt idx="8">
                  <c:v>-10.223044937744591</c:v>
                </c:pt>
                <c:pt idx="9">
                  <c:v>-9.4526416089430398</c:v>
                </c:pt>
                <c:pt idx="10">
                  <c:v>-10.966589164461414</c:v>
                </c:pt>
                <c:pt idx="11">
                  <c:v>-12.623601440594708</c:v>
                </c:pt>
                <c:pt idx="12">
                  <c:v>-13.089169679444023</c:v>
                </c:pt>
                <c:pt idx="13">
                  <c:v>-11.303155752101119</c:v>
                </c:pt>
                <c:pt idx="14">
                  <c:v>-9.5262157972199493</c:v>
                </c:pt>
                <c:pt idx="15">
                  <c:v>-8.4904640106500562</c:v>
                </c:pt>
                <c:pt idx="16">
                  <c:v>-6.7219704347079867</c:v>
                </c:pt>
                <c:pt idx="17">
                  <c:v>-5.7138019902811559</c:v>
                </c:pt>
                <c:pt idx="18">
                  <c:v>-5.9263946270259042</c:v>
                </c:pt>
                <c:pt idx="19">
                  <c:v>-5.9432856797359355</c:v>
                </c:pt>
                <c:pt idx="20">
                  <c:v>-5.3221983325392168</c:v>
                </c:pt>
                <c:pt idx="21">
                  <c:v>-3.7104703152852681</c:v>
                </c:pt>
                <c:pt idx="22">
                  <c:v>-2.3771242012559068</c:v>
                </c:pt>
                <c:pt idx="23">
                  <c:v>-1.469069490009703</c:v>
                </c:pt>
                <c:pt idx="24">
                  <c:v>-1.2368970190312578</c:v>
                </c:pt>
                <c:pt idx="25">
                  <c:v>-1.6450952378026686</c:v>
                </c:pt>
                <c:pt idx="26">
                  <c:v>-0.1787535914497782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0B0-4FEB-9B42-9CA97C467252}"/>
            </c:ext>
          </c:extLst>
        </c:ser>
        <c:ser>
          <c:idx val="3"/>
          <c:order val="3"/>
          <c:tx>
            <c:strRef>
              <c:f>'SATORI (D)'!$BR$1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(D)'!$BR$2:$BR$37</c:f>
              <c:numCache>
                <c:formatCode>0.00000</c:formatCode>
                <c:ptCount val="36"/>
                <c:pt idx="0">
                  <c:v>-4.9705939378042752</c:v>
                </c:pt>
                <c:pt idx="1">
                  <c:v>-4.8664580057009124</c:v>
                </c:pt>
                <c:pt idx="2">
                  <c:v>-4.057326874811034</c:v>
                </c:pt>
                <c:pt idx="3">
                  <c:v>-4.6304275050485915</c:v>
                </c:pt>
                <c:pt idx="4">
                  <c:v>-4.7691333792423487</c:v>
                </c:pt>
                <c:pt idx="5">
                  <c:v>-5.8433846453868004</c:v>
                </c:pt>
                <c:pt idx="6">
                  <c:v>-5.3203994458679462</c:v>
                </c:pt>
                <c:pt idx="7">
                  <c:v>-5.997865791937409</c:v>
                </c:pt>
                <c:pt idx="8">
                  <c:v>-6.2089215986102859</c:v>
                </c:pt>
                <c:pt idx="9">
                  <c:v>-5.7258382667355399</c:v>
                </c:pt>
                <c:pt idx="10">
                  <c:v>-7.436655043777483</c:v>
                </c:pt>
                <c:pt idx="11">
                  <c:v>-8.6949021505301936</c:v>
                </c:pt>
                <c:pt idx="12">
                  <c:v>-8.8953970659068986</c:v>
                </c:pt>
                <c:pt idx="13">
                  <c:v>-8.0376197656669248</c:v>
                </c:pt>
                <c:pt idx="14">
                  <c:v>-6.4393537169259734</c:v>
                </c:pt>
                <c:pt idx="15">
                  <c:v>-5.2501212332931546</c:v>
                </c:pt>
                <c:pt idx="16">
                  <c:v>-4.7787500978432824</c:v>
                </c:pt>
                <c:pt idx="17">
                  <c:v>-4.2152581711144652</c:v>
                </c:pt>
                <c:pt idx="18">
                  <c:v>-4.5316044579350994</c:v>
                </c:pt>
                <c:pt idx="19">
                  <c:v>-4.8959474261158116</c:v>
                </c:pt>
                <c:pt idx="20">
                  <c:v>-3.8487011687335846</c:v>
                </c:pt>
                <c:pt idx="21">
                  <c:v>-2.6293751050030183</c:v>
                </c:pt>
                <c:pt idx="22">
                  <c:v>-2.4195292739966012</c:v>
                </c:pt>
                <c:pt idx="23">
                  <c:v>-1.8792343840753845</c:v>
                </c:pt>
                <c:pt idx="24">
                  <c:v>-1.6793385314943718</c:v>
                </c:pt>
                <c:pt idx="25">
                  <c:v>-1.8358040922467502</c:v>
                </c:pt>
                <c:pt idx="26">
                  <c:v>-0.59955405070609002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0B0-4FEB-9B42-9CA97C467252}"/>
            </c:ext>
          </c:extLst>
        </c:ser>
        <c:ser>
          <c:idx val="4"/>
          <c:order val="4"/>
          <c:tx>
            <c:strRef>
              <c:f>'SATORI (D)'!$BS$1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(D)'!$BS$2:$BS$37</c:f>
              <c:numCache>
                <c:formatCode>0.00000</c:formatCode>
                <c:ptCount val="36"/>
                <c:pt idx="0">
                  <c:v>-0.89105185767957529</c:v>
                </c:pt>
                <c:pt idx="1">
                  <c:v>-0.62659660285572305</c:v>
                </c:pt>
                <c:pt idx="2">
                  <c:v>-0.74863419479252657</c:v>
                </c:pt>
                <c:pt idx="3">
                  <c:v>-1.3471280947585362</c:v>
                </c:pt>
                <c:pt idx="4">
                  <c:v>-1.8827065966815588</c:v>
                </c:pt>
                <c:pt idx="5">
                  <c:v>-2.1977699409960372</c:v>
                </c:pt>
                <c:pt idx="6">
                  <c:v>-1.6929138634747836</c:v>
                </c:pt>
                <c:pt idx="7">
                  <c:v>-2.1536873441377677</c:v>
                </c:pt>
                <c:pt idx="8">
                  <c:v>-2.4595926464963402</c:v>
                </c:pt>
                <c:pt idx="9">
                  <c:v>-2.1182806387201785</c:v>
                </c:pt>
                <c:pt idx="10">
                  <c:v>-3.0694403175783322</c:v>
                </c:pt>
                <c:pt idx="11">
                  <c:v>-2.8946793616247763</c:v>
                </c:pt>
                <c:pt idx="12">
                  <c:v>-2.9258566378443027</c:v>
                </c:pt>
                <c:pt idx="13">
                  <c:v>-2.3699996547525517</c:v>
                </c:pt>
                <c:pt idx="14">
                  <c:v>-2.499720035265669</c:v>
                </c:pt>
                <c:pt idx="15">
                  <c:v>-2.359110431740465</c:v>
                </c:pt>
                <c:pt idx="16">
                  <c:v>-2.112821334726851</c:v>
                </c:pt>
                <c:pt idx="17">
                  <c:v>-1.926519481629724</c:v>
                </c:pt>
                <c:pt idx="18">
                  <c:v>-2.0899380208004894</c:v>
                </c:pt>
                <c:pt idx="19">
                  <c:v>-2.2946293241861837</c:v>
                </c:pt>
                <c:pt idx="20">
                  <c:v>-1.7696284987131943</c:v>
                </c:pt>
                <c:pt idx="21">
                  <c:v>-1.4088274985596605</c:v>
                </c:pt>
                <c:pt idx="22">
                  <c:v>-1.2019875532792281</c:v>
                </c:pt>
                <c:pt idx="23">
                  <c:v>-0.77373369572538608</c:v>
                </c:pt>
                <c:pt idx="24">
                  <c:v>-0.62575319433263743</c:v>
                </c:pt>
                <c:pt idx="25">
                  <c:v>-0.44437143460372602</c:v>
                </c:pt>
                <c:pt idx="26">
                  <c:v>-0.45306113622110544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0B0-4FEB-9B42-9CA97C467252}"/>
            </c:ext>
          </c:extLst>
        </c:ser>
        <c:ser>
          <c:idx val="5"/>
          <c:order val="5"/>
          <c:tx>
            <c:strRef>
              <c:f>'SATORI (D)'!$BT$1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(D)'!$BT$2:$BT$37</c:f>
              <c:numCache>
                <c:formatCode>0.00000</c:formatCode>
                <c:ptCount val="36"/>
                <c:pt idx="0">
                  <c:v>2.0247400259813526</c:v>
                </c:pt>
                <c:pt idx="1">
                  <c:v>2.1559170250828821</c:v>
                </c:pt>
                <c:pt idx="2">
                  <c:v>1.7508688072048406</c:v>
                </c:pt>
                <c:pt idx="3">
                  <c:v>1.2385644349363611</c:v>
                </c:pt>
                <c:pt idx="4">
                  <c:v>0.71537645185339338</c:v>
                </c:pt>
                <c:pt idx="5">
                  <c:v>1.0885954887484866</c:v>
                </c:pt>
                <c:pt idx="6">
                  <c:v>0.91120665241926213</c:v>
                </c:pt>
                <c:pt idx="7">
                  <c:v>0.35596109118216945</c:v>
                </c:pt>
                <c:pt idx="8">
                  <c:v>0.2048012832009381</c:v>
                </c:pt>
                <c:pt idx="9">
                  <c:v>0.2341085330818663</c:v>
                </c:pt>
                <c:pt idx="10">
                  <c:v>0.27713503557648533</c:v>
                </c:pt>
                <c:pt idx="11">
                  <c:v>0.3484897692312201</c:v>
                </c:pt>
                <c:pt idx="12">
                  <c:v>0.53020501504904427</c:v>
                </c:pt>
                <c:pt idx="13">
                  <c:v>0.15716986542253608</c:v>
                </c:pt>
                <c:pt idx="14">
                  <c:v>-0.94742364972393867</c:v>
                </c:pt>
                <c:pt idx="15">
                  <c:v>-0.62781973688528137</c:v>
                </c:pt>
                <c:pt idx="16">
                  <c:v>-0.73508511698385914</c:v>
                </c:pt>
                <c:pt idx="17">
                  <c:v>-0.67132139392171464</c:v>
                </c:pt>
                <c:pt idx="18">
                  <c:v>-0.35627082001379978</c:v>
                </c:pt>
                <c:pt idx="19">
                  <c:v>-0.45309052328446109</c:v>
                </c:pt>
                <c:pt idx="20">
                  <c:v>-0.50567743006724575</c:v>
                </c:pt>
                <c:pt idx="21">
                  <c:v>-0.3785236477029284</c:v>
                </c:pt>
                <c:pt idx="22">
                  <c:v>-3.4186840393792758E-2</c:v>
                </c:pt>
                <c:pt idx="23">
                  <c:v>-0.10861895095763691</c:v>
                </c:pt>
                <c:pt idx="24">
                  <c:v>1.5280864569300945E-2</c:v>
                </c:pt>
                <c:pt idx="25">
                  <c:v>0.41474702420950577</c:v>
                </c:pt>
                <c:pt idx="26">
                  <c:v>3.8551916581003723E-2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0B0-4FEB-9B42-9CA97C467252}"/>
            </c:ext>
          </c:extLst>
        </c:ser>
        <c:ser>
          <c:idx val="6"/>
          <c:order val="6"/>
          <c:tx>
            <c:strRef>
              <c:f>'SATORI (D)'!$BU$1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(D)'!$BU$2:$BU$37</c:f>
              <c:numCache>
                <c:formatCode>0.00000</c:formatCode>
                <c:ptCount val="36"/>
                <c:pt idx="0">
                  <c:v>1.4279101768247888</c:v>
                </c:pt>
                <c:pt idx="1">
                  <c:v>1.697718672164156</c:v>
                </c:pt>
                <c:pt idx="2">
                  <c:v>1.3886968222680487</c:v>
                </c:pt>
                <c:pt idx="3">
                  <c:v>1.2117056718255741</c:v>
                </c:pt>
                <c:pt idx="4">
                  <c:v>1.0490338704843576</c:v>
                </c:pt>
                <c:pt idx="5">
                  <c:v>1.3178795557097609</c:v>
                </c:pt>
                <c:pt idx="6">
                  <c:v>1.0849123768692932</c:v>
                </c:pt>
                <c:pt idx="7">
                  <c:v>0.79268599794686201</c:v>
                </c:pt>
                <c:pt idx="8">
                  <c:v>0.54444437610160279</c:v>
                </c:pt>
                <c:pt idx="9">
                  <c:v>0.60913217411561515</c:v>
                </c:pt>
                <c:pt idx="10">
                  <c:v>0.81876043333594506</c:v>
                </c:pt>
                <c:pt idx="11">
                  <c:v>1.0902055967671662</c:v>
                </c:pt>
                <c:pt idx="12">
                  <c:v>1.5716988201958748</c:v>
                </c:pt>
                <c:pt idx="13">
                  <c:v>1.5432899169777308</c:v>
                </c:pt>
                <c:pt idx="14">
                  <c:v>0.43711443853680298</c:v>
                </c:pt>
                <c:pt idx="15">
                  <c:v>0.28793259724487791</c:v>
                </c:pt>
                <c:pt idx="16">
                  <c:v>0.48888998226186636</c:v>
                </c:pt>
                <c:pt idx="17">
                  <c:v>0.56027566509593818</c:v>
                </c:pt>
                <c:pt idx="18">
                  <c:v>0.75404185389480027</c:v>
                </c:pt>
                <c:pt idx="19">
                  <c:v>0.57994900437505637</c:v>
                </c:pt>
                <c:pt idx="20">
                  <c:v>0.40220567643192706</c:v>
                </c:pt>
                <c:pt idx="21">
                  <c:v>0.36209711592816801</c:v>
                </c:pt>
                <c:pt idx="22">
                  <c:v>0.51161186048489815</c:v>
                </c:pt>
                <c:pt idx="23">
                  <c:v>0.23988000494450146</c:v>
                </c:pt>
                <c:pt idx="24">
                  <c:v>0.18362799594418319</c:v>
                </c:pt>
                <c:pt idx="25">
                  <c:v>0.42212884773294446</c:v>
                </c:pt>
                <c:pt idx="26">
                  <c:v>-3.0860884499793833E-2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0B0-4FEB-9B42-9CA97C467252}"/>
            </c:ext>
          </c:extLst>
        </c:ser>
        <c:ser>
          <c:idx val="7"/>
          <c:order val="7"/>
          <c:tx>
            <c:strRef>
              <c:f>'SATORI (D)'!$BV$1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(D)'!$BV$2:$BV$37</c:f>
              <c:numCache>
                <c:formatCode>0.00000</c:formatCode>
                <c:ptCount val="36"/>
                <c:pt idx="0">
                  <c:v>1.3763836484133303</c:v>
                </c:pt>
                <c:pt idx="1">
                  <c:v>1.6457139527565707</c:v>
                </c:pt>
                <c:pt idx="2">
                  <c:v>1.5589847003861708</c:v>
                </c:pt>
                <c:pt idx="3">
                  <c:v>1.3828725521701801</c:v>
                </c:pt>
                <c:pt idx="4">
                  <c:v>1.5914231256842579</c:v>
                </c:pt>
                <c:pt idx="5">
                  <c:v>2.1680370622683744</c:v>
                </c:pt>
                <c:pt idx="6">
                  <c:v>1.7187145563593209</c:v>
                </c:pt>
                <c:pt idx="7">
                  <c:v>1.9184039284471828</c:v>
                </c:pt>
                <c:pt idx="8">
                  <c:v>1.8295742593377025</c:v>
                </c:pt>
                <c:pt idx="9">
                  <c:v>1.9253250270953746</c:v>
                </c:pt>
                <c:pt idx="10">
                  <c:v>2.3983278395445322</c:v>
                </c:pt>
                <c:pt idx="11">
                  <c:v>2.4865747450971187</c:v>
                </c:pt>
                <c:pt idx="12">
                  <c:v>2.0035393224994578</c:v>
                </c:pt>
                <c:pt idx="13">
                  <c:v>1.4025721409416492</c:v>
                </c:pt>
                <c:pt idx="14">
                  <c:v>0.82885003021091053</c:v>
                </c:pt>
                <c:pt idx="15">
                  <c:v>0.2362908633562314</c:v>
                </c:pt>
                <c:pt idx="16">
                  <c:v>0.28376804463597366</c:v>
                </c:pt>
                <c:pt idx="17">
                  <c:v>0.14589438920126285</c:v>
                </c:pt>
                <c:pt idx="18">
                  <c:v>0.41970137305730953</c:v>
                </c:pt>
                <c:pt idx="19">
                  <c:v>0.45406359830762211</c:v>
                </c:pt>
                <c:pt idx="20">
                  <c:v>-4.0101679139387572E-2</c:v>
                </c:pt>
                <c:pt idx="21">
                  <c:v>8.3584158832169547E-2</c:v>
                </c:pt>
                <c:pt idx="22">
                  <c:v>0.22846694628199485</c:v>
                </c:pt>
                <c:pt idx="23">
                  <c:v>0.30559905578584889</c:v>
                </c:pt>
                <c:pt idx="24">
                  <c:v>0.19868656959537695</c:v>
                </c:pt>
                <c:pt idx="25">
                  <c:v>9.7611607647138457E-2</c:v>
                </c:pt>
                <c:pt idx="26">
                  <c:v>-8.3319446758890782E-3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0B0-4FEB-9B42-9CA97C467252}"/>
            </c:ext>
          </c:extLst>
        </c:ser>
        <c:ser>
          <c:idx val="8"/>
          <c:order val="8"/>
          <c:tx>
            <c:strRef>
              <c:f>'SATORI (D)'!$BW$1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(D)'!$BW$2:$BW$37</c:f>
              <c:numCache>
                <c:formatCode>0.00000</c:formatCode>
                <c:ptCount val="36"/>
                <c:pt idx="0">
                  <c:v>-2.7309672878492828</c:v>
                </c:pt>
                <c:pt idx="1">
                  <c:v>-2.5984082675235625</c:v>
                </c:pt>
                <c:pt idx="2">
                  <c:v>-1.9732122403411276</c:v>
                </c:pt>
                <c:pt idx="3">
                  <c:v>-2.1271341066699314</c:v>
                </c:pt>
                <c:pt idx="4">
                  <c:v>-1.8920931573134239</c:v>
                </c:pt>
                <c:pt idx="5">
                  <c:v>-2.374941542920348</c:v>
                </c:pt>
                <c:pt idx="6">
                  <c:v>-2.5905880089481395</c:v>
                </c:pt>
                <c:pt idx="7">
                  <c:v>-3.1002041052042522</c:v>
                </c:pt>
                <c:pt idx="8">
                  <c:v>-3.2548078008679373</c:v>
                </c:pt>
                <c:pt idx="9">
                  <c:v>-3.0497966520657798</c:v>
                </c:pt>
                <c:pt idx="10">
                  <c:v>-3.5905956320912704</c:v>
                </c:pt>
                <c:pt idx="11">
                  <c:v>-4.7394279928396879</c:v>
                </c:pt>
                <c:pt idx="12">
                  <c:v>-4.4330114592034997</c:v>
                </c:pt>
                <c:pt idx="13">
                  <c:v>-4.1541593469788793</c:v>
                </c:pt>
                <c:pt idx="14">
                  <c:v>-3.5140387537792344</c:v>
                </c:pt>
                <c:pt idx="15">
                  <c:v>-2.6051869155632792</c:v>
                </c:pt>
                <c:pt idx="16">
                  <c:v>-2.192444272124729</c:v>
                </c:pt>
                <c:pt idx="17">
                  <c:v>-1.7450473090010943</c:v>
                </c:pt>
                <c:pt idx="18">
                  <c:v>-1.7033493688793295</c:v>
                </c:pt>
                <c:pt idx="19">
                  <c:v>-2.0359505612232338</c:v>
                </c:pt>
                <c:pt idx="20">
                  <c:v>-1.6878308247102671</c:v>
                </c:pt>
                <c:pt idx="21">
                  <c:v>-0.86500676020746814</c:v>
                </c:pt>
                <c:pt idx="22">
                  <c:v>-0.71431419368598759</c:v>
                </c:pt>
                <c:pt idx="23">
                  <c:v>-0.8776588301924827</c:v>
                </c:pt>
                <c:pt idx="24">
                  <c:v>-0.87352369393975049</c:v>
                </c:pt>
                <c:pt idx="25">
                  <c:v>-0.97390140387920465</c:v>
                </c:pt>
                <c:pt idx="26">
                  <c:v>-0.17625840301689363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0B0-4FEB-9B42-9CA97C467252}"/>
            </c:ext>
          </c:extLst>
        </c:ser>
        <c:ser>
          <c:idx val="9"/>
          <c:order val="9"/>
          <c:tx>
            <c:strRef>
              <c:f>'SATORI (D)'!$BX$1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(D)'!$BX$2:$BX$37</c:f>
              <c:numCache>
                <c:formatCode>0.00000</c:formatCode>
                <c:ptCount val="36"/>
                <c:pt idx="0">
                  <c:v>-5.9642659387870296</c:v>
                </c:pt>
                <c:pt idx="1">
                  <c:v>-6.2395060780771106</c:v>
                </c:pt>
                <c:pt idx="2">
                  <c:v>-5.7281466373111058</c:v>
                </c:pt>
                <c:pt idx="3">
                  <c:v>-5.5641165344083285</c:v>
                </c:pt>
                <c:pt idx="4">
                  <c:v>-4.9492748546144529</c:v>
                </c:pt>
                <c:pt idx="5">
                  <c:v>-5.9096752885823127</c:v>
                </c:pt>
                <c:pt idx="6">
                  <c:v>-6.4040194462768607</c:v>
                </c:pt>
                <c:pt idx="7">
                  <c:v>-6.7228252605988725</c:v>
                </c:pt>
                <c:pt idx="8">
                  <c:v>-7.2871649893658361</c:v>
                </c:pt>
                <c:pt idx="9">
                  <c:v>-6.7878272492577629</c:v>
                </c:pt>
                <c:pt idx="10">
                  <c:v>-7.1316392570949203</c:v>
                </c:pt>
                <c:pt idx="11">
                  <c:v>-8.6969911127023014</c:v>
                </c:pt>
                <c:pt idx="12">
                  <c:v>-8.6374544850089077</c:v>
                </c:pt>
                <c:pt idx="13">
                  <c:v>-7.4155999939272554</c:v>
                </c:pt>
                <c:pt idx="14">
                  <c:v>-6.6033032232568161</c:v>
                </c:pt>
                <c:pt idx="15">
                  <c:v>-5.8659845500608441</c:v>
                </c:pt>
                <c:pt idx="16">
                  <c:v>-4.1401558375012186</c:v>
                </c:pt>
                <c:pt idx="17">
                  <c:v>-3.2480432645333726</c:v>
                </c:pt>
                <c:pt idx="18">
                  <c:v>-3.1024697768801639</c:v>
                </c:pt>
                <c:pt idx="19">
                  <c:v>-3.0892920209321924</c:v>
                </c:pt>
                <c:pt idx="20">
                  <c:v>-3.1708209277254658</c:v>
                </c:pt>
                <c:pt idx="21">
                  <c:v>-1.9538868908799136</c:v>
                </c:pt>
                <c:pt idx="22">
                  <c:v>-0.67880621177228795</c:v>
                </c:pt>
                <c:pt idx="23">
                  <c:v>-0.48566702902528353</c:v>
                </c:pt>
                <c:pt idx="24">
                  <c:v>-0.43667686788264443</c:v>
                </c:pt>
                <c:pt idx="25">
                  <c:v>-0.78313706300058983</c:v>
                </c:pt>
                <c:pt idx="26">
                  <c:v>0.24096525455222298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0B0-4FEB-9B42-9CA97C467252}"/>
            </c:ext>
          </c:extLst>
        </c:ser>
        <c:ser>
          <c:idx val="10"/>
          <c:order val="10"/>
          <c:tx>
            <c:strRef>
              <c:f>'SATORI (D)'!$BY$1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(D)'!$BY$2:$BY$37</c:f>
              <c:numCache>
                <c:formatCode>0.00000</c:formatCode>
                <c:ptCount val="36"/>
                <c:pt idx="0">
                  <c:v>2.3649587362740339</c:v>
                </c:pt>
                <c:pt idx="1">
                  <c:v>2.3588966238703337</c:v>
                </c:pt>
                <c:pt idx="2">
                  <c:v>2.1718342920290463</c:v>
                </c:pt>
                <c:pt idx="3">
                  <c:v>2.5867444452312998</c:v>
                </c:pt>
                <c:pt idx="4">
                  <c:v>2.9639369519948504</c:v>
                </c:pt>
                <c:pt idx="5">
                  <c:v>3.5456039581170371</c:v>
                </c:pt>
                <c:pt idx="6">
                  <c:v>2.802100560451342</c:v>
                </c:pt>
                <c:pt idx="7">
                  <c:v>2.9738007538399818</c:v>
                </c:pt>
                <c:pt idx="8">
                  <c:v>3.0261870394716972</c:v>
                </c:pt>
                <c:pt idx="9">
                  <c:v>2.7550926998490493</c:v>
                </c:pt>
                <c:pt idx="10">
                  <c:v>3.9022335021313945</c:v>
                </c:pt>
                <c:pt idx="11">
                  <c:v>3.9964465548131818</c:v>
                </c:pt>
                <c:pt idx="12">
                  <c:v>4.507815921296543</c:v>
                </c:pt>
                <c:pt idx="13">
                  <c:v>3.9230450261793783</c:v>
                </c:pt>
                <c:pt idx="14">
                  <c:v>2.9530311085883865</c:v>
                </c:pt>
                <c:pt idx="15">
                  <c:v>2.6593595494099498</c:v>
                </c:pt>
                <c:pt idx="16">
                  <c:v>2.6170432775943917</c:v>
                </c:pt>
                <c:pt idx="17">
                  <c:v>2.5002349884424331</c:v>
                </c:pt>
                <c:pt idx="18">
                  <c:v>2.8482341440770664</c:v>
                </c:pt>
                <c:pt idx="19">
                  <c:v>2.8892293633110597</c:v>
                </c:pt>
                <c:pt idx="20">
                  <c:v>2.1782483187578605</c:v>
                </c:pt>
                <c:pt idx="21">
                  <c:v>1.7765243805221616</c:v>
                </c:pt>
                <c:pt idx="22">
                  <c:v>1.7191894775950218</c:v>
                </c:pt>
                <c:pt idx="23">
                  <c:v>1.0035171756488885</c:v>
                </c:pt>
                <c:pt idx="24">
                  <c:v>0.80778391453579645</c:v>
                </c:pt>
                <c:pt idx="25">
                  <c:v>0.87175635717588562</c:v>
                </c:pt>
                <c:pt idx="26">
                  <c:v>0.42503816036038411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0B0-4FEB-9B42-9CA97C467252}"/>
            </c:ext>
          </c:extLst>
        </c:ser>
        <c:ser>
          <c:idx val="11"/>
          <c:order val="11"/>
          <c:tx>
            <c:strRef>
              <c:f>'SATORI (D)'!$BZ$1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(D)'!$BZ$2:$BZ$37</c:f>
              <c:numCache>
                <c:formatCode>0.00000</c:formatCode>
                <c:ptCount val="36"/>
                <c:pt idx="0">
                  <c:v>0.90782903895667877</c:v>
                </c:pt>
                <c:pt idx="1">
                  <c:v>0.88073596040887436</c:v>
                </c:pt>
                <c:pt idx="2">
                  <c:v>1.1146257012546295</c:v>
                </c:pt>
                <c:pt idx="3">
                  <c:v>1.5835060983205582</c:v>
                </c:pt>
                <c:pt idx="4">
                  <c:v>2.233164904715681</c:v>
                </c:pt>
                <c:pt idx="5">
                  <c:v>2.4041506867578253</c:v>
                </c:pt>
                <c:pt idx="6">
                  <c:v>0.8794081736416024</c:v>
                </c:pt>
                <c:pt idx="7">
                  <c:v>1.3005523646043526</c:v>
                </c:pt>
                <c:pt idx="8">
                  <c:v>1.4445796308348975</c:v>
                </c:pt>
                <c:pt idx="9">
                  <c:v>1.2562204486001436</c:v>
                </c:pt>
                <c:pt idx="10">
                  <c:v>1.6233248236721702</c:v>
                </c:pt>
                <c:pt idx="11">
                  <c:v>2.3624557320896482</c:v>
                </c:pt>
                <c:pt idx="12">
                  <c:v>2.7871290915650722</c:v>
                </c:pt>
                <c:pt idx="13">
                  <c:v>2.0962950664875333</c:v>
                </c:pt>
                <c:pt idx="14">
                  <c:v>1.1386107108707111</c:v>
                </c:pt>
                <c:pt idx="15">
                  <c:v>1.4447690557468227</c:v>
                </c:pt>
                <c:pt idx="16">
                  <c:v>2.1325720165748034</c:v>
                </c:pt>
                <c:pt idx="17">
                  <c:v>2.6565814215933439</c:v>
                </c:pt>
                <c:pt idx="18">
                  <c:v>2.7715682143838953</c:v>
                </c:pt>
                <c:pt idx="19">
                  <c:v>2.6868836372910736</c:v>
                </c:pt>
                <c:pt idx="20">
                  <c:v>1.905637911438292</c:v>
                </c:pt>
                <c:pt idx="21">
                  <c:v>1.5972245936902603</c:v>
                </c:pt>
                <c:pt idx="22">
                  <c:v>1.5571477339592628</c:v>
                </c:pt>
                <c:pt idx="23">
                  <c:v>0.97180343002199687</c:v>
                </c:pt>
                <c:pt idx="24">
                  <c:v>0.50634137988081063</c:v>
                </c:pt>
                <c:pt idx="25">
                  <c:v>0.29396459455370277</c:v>
                </c:pt>
                <c:pt idx="26">
                  <c:v>0.44495742794532689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0B0-4FEB-9B42-9CA97C467252}"/>
            </c:ext>
          </c:extLst>
        </c:ser>
        <c:ser>
          <c:idx val="12"/>
          <c:order val="12"/>
          <c:tx>
            <c:strRef>
              <c:f>'SATORI (D)'!$CA$1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(D)'!$CA$2:$CA$37</c:f>
              <c:numCache>
                <c:formatCode>0.00000</c:formatCode>
                <c:ptCount val="36"/>
                <c:pt idx="0">
                  <c:v>0.64492842405476491</c:v>
                </c:pt>
                <c:pt idx="1">
                  <c:v>0.5275404221826927</c:v>
                </c:pt>
                <c:pt idx="2">
                  <c:v>0.19653439479387039</c:v>
                </c:pt>
                <c:pt idx="3">
                  <c:v>-0.1564976639160538</c:v>
                </c:pt>
                <c:pt idx="4">
                  <c:v>-0.86993312407024703</c:v>
                </c:pt>
                <c:pt idx="5">
                  <c:v>-1.0866888061099345</c:v>
                </c:pt>
                <c:pt idx="6">
                  <c:v>-0.7959301125027497</c:v>
                </c:pt>
                <c:pt idx="7">
                  <c:v>-1.5612921906527066</c:v>
                </c:pt>
                <c:pt idx="8">
                  <c:v>-1.6185116389945278</c:v>
                </c:pt>
                <c:pt idx="9">
                  <c:v>-1.6930307943395126</c:v>
                </c:pt>
                <c:pt idx="10">
                  <c:v>-2.1342397067595473</c:v>
                </c:pt>
                <c:pt idx="11">
                  <c:v>-2.1397551223461133</c:v>
                </c:pt>
                <c:pt idx="12">
                  <c:v>-1.4783691077251719</c:v>
                </c:pt>
                <c:pt idx="13">
                  <c:v>-1.254236158619757</c:v>
                </c:pt>
                <c:pt idx="14">
                  <c:v>-1.7747015158803598</c:v>
                </c:pt>
                <c:pt idx="15">
                  <c:v>-0.86613391004935369</c:v>
                </c:pt>
                <c:pt idx="16">
                  <c:v>-1.0203923786834552</c:v>
                </c:pt>
                <c:pt idx="17">
                  <c:v>-0.82212006916093783</c:v>
                </c:pt>
                <c:pt idx="18">
                  <c:v>-0.79180526154337894</c:v>
                </c:pt>
                <c:pt idx="19">
                  <c:v>-0.91243252330453239</c:v>
                </c:pt>
                <c:pt idx="20">
                  <c:v>-0.47079458893037684</c:v>
                </c:pt>
                <c:pt idx="21">
                  <c:v>-0.46769547140410661</c:v>
                </c:pt>
                <c:pt idx="22">
                  <c:v>-0.26125642891012413</c:v>
                </c:pt>
                <c:pt idx="23">
                  <c:v>-0.42699116040437224</c:v>
                </c:pt>
                <c:pt idx="24">
                  <c:v>-0.18902469204309807</c:v>
                </c:pt>
                <c:pt idx="25">
                  <c:v>0.31143271526465749</c:v>
                </c:pt>
                <c:pt idx="26">
                  <c:v>4.0870778935348552E-2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90B0-4FEB-9B42-9CA97C467252}"/>
            </c:ext>
          </c:extLst>
        </c:ser>
        <c:ser>
          <c:idx val="13"/>
          <c:order val="13"/>
          <c:tx>
            <c:strRef>
              <c:f>'SATORI (D)'!$CB$1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(D)'!$CB$2:$CB$37</c:f>
              <c:numCache>
                <c:formatCode>0.00000</c:formatCode>
                <c:ptCount val="36"/>
                <c:pt idx="0">
                  <c:v>0.98660360624265775</c:v>
                </c:pt>
                <c:pt idx="1">
                  <c:v>0.71586323745596436</c:v>
                </c:pt>
                <c:pt idx="2">
                  <c:v>0.60236527160900966</c:v>
                </c:pt>
                <c:pt idx="3">
                  <c:v>1.1733138810811901</c:v>
                </c:pt>
                <c:pt idx="4">
                  <c:v>1.3630974558013995</c:v>
                </c:pt>
                <c:pt idx="5">
                  <c:v>1.3558964764682089</c:v>
                </c:pt>
                <c:pt idx="6">
                  <c:v>1.0830599566037493</c:v>
                </c:pt>
                <c:pt idx="7">
                  <c:v>1.0464276520706313</c:v>
                </c:pt>
                <c:pt idx="8">
                  <c:v>1.1917135871556415</c:v>
                </c:pt>
                <c:pt idx="9">
                  <c:v>0.81835157079390419</c:v>
                </c:pt>
                <c:pt idx="10">
                  <c:v>1.4856106717662756</c:v>
                </c:pt>
                <c:pt idx="11">
                  <c:v>1.5030724484506948</c:v>
                </c:pt>
                <c:pt idx="12">
                  <c:v>2.4931160774919796</c:v>
                </c:pt>
                <c:pt idx="13">
                  <c:v>2.5032849830126778</c:v>
                </c:pt>
                <c:pt idx="14">
                  <c:v>2.1169047583302762</c:v>
                </c:pt>
                <c:pt idx="15">
                  <c:v>2.4186644293969795</c:v>
                </c:pt>
                <c:pt idx="16">
                  <c:v>2.3295328763178591</c:v>
                </c:pt>
                <c:pt idx="17">
                  <c:v>2.3468468655118935</c:v>
                </c:pt>
                <c:pt idx="18">
                  <c:v>2.4104607445335615</c:v>
                </c:pt>
                <c:pt idx="19">
                  <c:v>2.4287781857905522</c:v>
                </c:pt>
                <c:pt idx="20">
                  <c:v>2.2146170346233744</c:v>
                </c:pt>
                <c:pt idx="21">
                  <c:v>1.6881852375277198</c:v>
                </c:pt>
                <c:pt idx="22">
                  <c:v>1.4925055974549903</c:v>
                </c:pt>
                <c:pt idx="23">
                  <c:v>0.68430450501148277</c:v>
                </c:pt>
                <c:pt idx="24">
                  <c:v>0.60295229658402349</c:v>
                </c:pt>
                <c:pt idx="25">
                  <c:v>0.76849122927174829</c:v>
                </c:pt>
                <c:pt idx="26">
                  <c:v>0.42798087900287496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90B0-4FEB-9B42-9CA97C467252}"/>
            </c:ext>
          </c:extLst>
        </c:ser>
        <c:ser>
          <c:idx val="14"/>
          <c:order val="14"/>
          <c:tx>
            <c:strRef>
              <c:f>'SATORI (D)'!$CC$1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(D)'!$CC$2:$CC$37</c:f>
              <c:numCache>
                <c:formatCode>0.00000</c:formatCode>
                <c:ptCount val="36"/>
                <c:pt idx="0">
                  <c:v>-0.46139113785265368</c:v>
                </c:pt>
                <c:pt idx="1">
                  <c:v>-0.75744749716212789</c:v>
                </c:pt>
                <c:pt idx="2">
                  <c:v>-0.44959297019427091</c:v>
                </c:pt>
                <c:pt idx="3">
                  <c:v>0.17954966509479259</c:v>
                </c:pt>
                <c:pt idx="4">
                  <c:v>0.6386475795982709</c:v>
                </c:pt>
                <c:pt idx="5">
                  <c:v>0.21172479043173553</c:v>
                </c:pt>
                <c:pt idx="6">
                  <c:v>-0.83199423228060831</c:v>
                </c:pt>
                <c:pt idx="7">
                  <c:v>-0.61888620253978621</c:v>
                </c:pt>
                <c:pt idx="8">
                  <c:v>-0.37947846623635306</c:v>
                </c:pt>
                <c:pt idx="9">
                  <c:v>-0.67431342941736672</c:v>
                </c:pt>
                <c:pt idx="10">
                  <c:v>-0.79664249933858933</c:v>
                </c:pt>
                <c:pt idx="11">
                  <c:v>-0.12669804655370864</c:v>
                </c:pt>
                <c:pt idx="12">
                  <c:v>0.77800585585356796</c:v>
                </c:pt>
                <c:pt idx="13">
                  <c:v>0.68819873177547686</c:v>
                </c:pt>
                <c:pt idx="14">
                  <c:v>0.31033085941916461</c:v>
                </c:pt>
                <c:pt idx="15">
                  <c:v>1.1977774482818675</c:v>
                </c:pt>
                <c:pt idx="16">
                  <c:v>1.8462828961875628</c:v>
                </c:pt>
                <c:pt idx="17">
                  <c:v>2.502867013888376</c:v>
                </c:pt>
                <c:pt idx="18">
                  <c:v>2.3381072884879162</c:v>
                </c:pt>
                <c:pt idx="19">
                  <c:v>2.2263119655643768</c:v>
                </c:pt>
                <c:pt idx="20">
                  <c:v>1.9345202726670987</c:v>
                </c:pt>
                <c:pt idx="21">
                  <c:v>1.5095087359804178</c:v>
                </c:pt>
                <c:pt idx="22">
                  <c:v>1.3306013194127773</c:v>
                </c:pt>
                <c:pt idx="23">
                  <c:v>0.65622124643636737</c:v>
                </c:pt>
                <c:pt idx="24">
                  <c:v>0.3021909997361385</c:v>
                </c:pt>
                <c:pt idx="25">
                  <c:v>0.18341726837053218</c:v>
                </c:pt>
                <c:pt idx="26">
                  <c:v>0.44785278947639695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90B0-4FEB-9B42-9CA97C467252}"/>
            </c:ext>
          </c:extLst>
        </c:ser>
        <c:ser>
          <c:idx val="15"/>
          <c:order val="15"/>
          <c:tx>
            <c:strRef>
              <c:f>'SATORI (D)'!$CD$1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(D)'!$CD$2:$CD$37</c:f>
              <c:numCache>
                <c:formatCode>0.00000</c:formatCode>
                <c:ptCount val="36"/>
                <c:pt idx="0">
                  <c:v>5.8149848173585324E-2</c:v>
                </c:pt>
                <c:pt idx="1">
                  <c:v>6.8853048430457336E-2</c:v>
                </c:pt>
                <c:pt idx="2">
                  <c:v>-0.16604116447629877</c:v>
                </c:pt>
                <c:pt idx="3">
                  <c:v>-0.18637268115096134</c:v>
                </c:pt>
                <c:pt idx="4">
                  <c:v>-0.53718822811718003</c:v>
                </c:pt>
                <c:pt idx="5">
                  <c:v>-0.85899855333892161</c:v>
                </c:pt>
                <c:pt idx="6">
                  <c:v>-0.62359766278614992</c:v>
                </c:pt>
                <c:pt idx="7">
                  <c:v>-1.1252651370614355</c:v>
                </c:pt>
                <c:pt idx="8">
                  <c:v>-1.2805668048414811</c:v>
                </c:pt>
                <c:pt idx="9">
                  <c:v>-1.3182645035683331</c:v>
                </c:pt>
                <c:pt idx="10">
                  <c:v>-1.5931833166063527</c:v>
                </c:pt>
                <c:pt idx="11">
                  <c:v>-1.397686600608206</c:v>
                </c:pt>
                <c:pt idx="12">
                  <c:v>-0.43583241294756342</c:v>
                </c:pt>
                <c:pt idx="13">
                  <c:v>0.12878949303134823</c:v>
                </c:pt>
                <c:pt idx="14">
                  <c:v>-0.39635579905242352</c:v>
                </c:pt>
                <c:pt idx="15">
                  <c:v>4.9267961538879357E-2</c:v>
                </c:pt>
                <c:pt idx="16">
                  <c:v>0.20395439806962998</c:v>
                </c:pt>
                <c:pt idx="17">
                  <c:v>0.40940501414080771</c:v>
                </c:pt>
                <c:pt idx="18">
                  <c:v>0.31726034701341288</c:v>
                </c:pt>
                <c:pt idx="19">
                  <c:v>0.12078673865455902</c:v>
                </c:pt>
                <c:pt idx="20">
                  <c:v>0.43729215965166834</c:v>
                </c:pt>
                <c:pt idx="21">
                  <c:v>0.27315869441198659</c:v>
                </c:pt>
                <c:pt idx="22">
                  <c:v>0.28383747118621672</c:v>
                </c:pt>
                <c:pt idx="23">
                  <c:v>-7.9431725955012703E-2</c:v>
                </c:pt>
                <c:pt idx="24">
                  <c:v>-2.1364954805749292E-2</c:v>
                </c:pt>
                <c:pt idx="25">
                  <c:v>0.31854751071140142</c:v>
                </c:pt>
                <c:pt idx="26">
                  <c:v>-2.8181398022790013E-2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90B0-4FEB-9B42-9CA97C467252}"/>
            </c:ext>
          </c:extLst>
        </c:ser>
        <c:ser>
          <c:idx val="16"/>
          <c:order val="16"/>
          <c:tx>
            <c:strRef>
              <c:f>'SATORI (D)'!$CE$1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(D)'!$CE$2:$CE$37</c:f>
              <c:numCache>
                <c:formatCode>0.00000</c:formatCode>
                <c:ptCount val="36"/>
                <c:pt idx="0">
                  <c:v>-4.0336454492581293</c:v>
                </c:pt>
                <c:pt idx="1">
                  <c:v>-4.1953559873948665</c:v>
                </c:pt>
                <c:pt idx="2">
                  <c:v>-3.4986006725167687</c:v>
                </c:pt>
                <c:pt idx="3">
                  <c:v>-3.4923561364857938</c:v>
                </c:pt>
                <c:pt idx="4">
                  <c:v>-3.4495547882433408</c:v>
                </c:pt>
                <c:pt idx="5">
                  <c:v>-4.5275178346606433</c:v>
                </c:pt>
                <c:pt idx="6">
                  <c:v>-4.2739936689529294</c:v>
                </c:pt>
                <c:pt idx="7">
                  <c:v>-4.9938611046855099</c:v>
                </c:pt>
                <c:pt idx="8">
                  <c:v>-5.0536594212723038</c:v>
                </c:pt>
                <c:pt idx="9">
                  <c:v>-4.9504779939292147</c:v>
                </c:pt>
                <c:pt idx="10">
                  <c:v>-5.9791905030733439</c:v>
                </c:pt>
                <c:pt idx="11">
                  <c:v>-7.2168898819093226</c:v>
                </c:pt>
                <c:pt idx="12">
                  <c:v>-6.4215845709963819</c:v>
                </c:pt>
                <c:pt idx="13">
                  <c:v>-5.546755258297237</c:v>
                </c:pt>
                <c:pt idx="14">
                  <c:v>-4.3345032393760388</c:v>
                </c:pt>
                <c:pt idx="15">
                  <c:v>-2.8505345311818697</c:v>
                </c:pt>
                <c:pt idx="16">
                  <c:v>-2.4754175829568279</c:v>
                </c:pt>
                <c:pt idx="17">
                  <c:v>-1.8927672258202399</c:v>
                </c:pt>
                <c:pt idx="18">
                  <c:v>-2.1373047157044804</c:v>
                </c:pt>
                <c:pt idx="19">
                  <c:v>-2.493057224951396</c:v>
                </c:pt>
                <c:pt idx="20">
                  <c:v>-1.6544644501547046</c:v>
                </c:pt>
                <c:pt idx="21">
                  <c:v>-0.95386903097091091</c:v>
                </c:pt>
                <c:pt idx="22">
                  <c:v>-0.9417013604714255</c:v>
                </c:pt>
                <c:pt idx="23">
                  <c:v>-1.1900154385727393</c:v>
                </c:pt>
                <c:pt idx="24">
                  <c:v>-1.0794855041074078</c:v>
                </c:pt>
                <c:pt idx="25">
                  <c:v>-1.0777449055155601</c:v>
                </c:pt>
                <c:pt idx="26">
                  <c:v>-0.17476948507571705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90B0-4FEB-9B42-9CA97C467252}"/>
            </c:ext>
          </c:extLst>
        </c:ser>
        <c:ser>
          <c:idx val="17"/>
          <c:order val="17"/>
          <c:tx>
            <c:strRef>
              <c:f>'SATORI (D)'!$CF$1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(D)'!$CF$2:$CF$37</c:f>
              <c:numCache>
                <c:formatCode>0.00000</c:formatCode>
                <c:ptCount val="36"/>
                <c:pt idx="0">
                  <c:v>-7.2889687365191111</c:v>
                </c:pt>
                <c:pt idx="1">
                  <c:v>-7.8335234534404528</c:v>
                </c:pt>
                <c:pt idx="2">
                  <c:v>-7.2475274966025287</c:v>
                </c:pt>
                <c:pt idx="3">
                  <c:v>-6.9298129476839101</c:v>
                </c:pt>
                <c:pt idx="4">
                  <c:v>-6.5014068061535299</c:v>
                </c:pt>
                <c:pt idx="5">
                  <c:v>-8.060193440285925</c:v>
                </c:pt>
                <c:pt idx="6">
                  <c:v>-8.0850767007342448</c:v>
                </c:pt>
                <c:pt idx="7">
                  <c:v>-8.6146503274354025</c:v>
                </c:pt>
                <c:pt idx="8">
                  <c:v>-9.0776999314905709</c:v>
                </c:pt>
                <c:pt idx="9">
                  <c:v>-8.6857038940592002</c:v>
                </c:pt>
                <c:pt idx="10">
                  <c:v>-9.5181108390183109</c:v>
                </c:pt>
                <c:pt idx="11">
                  <c:v>-11.153938577678856</c:v>
                </c:pt>
                <c:pt idx="12">
                  <c:v>-10.624039453966956</c:v>
                </c:pt>
                <c:pt idx="13">
                  <c:v>-8.8131077597302774</c:v>
                </c:pt>
                <c:pt idx="14">
                  <c:v>-7.4247445668629251</c:v>
                </c:pt>
                <c:pt idx="15">
                  <c:v>-6.1009283241771008</c:v>
                </c:pt>
                <c:pt idx="16">
                  <c:v>-4.4224204671690401</c:v>
                </c:pt>
                <c:pt idx="17">
                  <c:v>-3.3946722755717387</c:v>
                </c:pt>
                <c:pt idx="18">
                  <c:v>-3.5357067304407117</c:v>
                </c:pt>
                <c:pt idx="19">
                  <c:v>-3.5453121499194937</c:v>
                </c:pt>
                <c:pt idx="20">
                  <c:v>-3.1329752722007949</c:v>
                </c:pt>
                <c:pt idx="21">
                  <c:v>-2.0389661795262226</c:v>
                </c:pt>
                <c:pt idx="22">
                  <c:v>-0.90030893849321558</c:v>
                </c:pt>
                <c:pt idx="23">
                  <c:v>-0.77837091054579699</c:v>
                </c:pt>
                <c:pt idx="24">
                  <c:v>-0.63549482976925975</c:v>
                </c:pt>
                <c:pt idx="25">
                  <c:v>-0.88553789821117146</c:v>
                </c:pt>
                <c:pt idx="26">
                  <c:v>0.24830964065839353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90B0-4FEB-9B42-9CA97C467252}"/>
            </c:ext>
          </c:extLst>
        </c:ser>
        <c:ser>
          <c:idx val="18"/>
          <c:order val="18"/>
          <c:tx>
            <c:strRef>
              <c:f>'SATORI (D)'!$CG$1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(D)'!$CG$2:$CG$37</c:f>
            </c:numRef>
          </c:yVal>
          <c:smooth val="1"/>
          <c:extLst>
            <c:ext xmlns:c16="http://schemas.microsoft.com/office/drawing/2014/chart" uri="{C3380CC4-5D6E-409C-BE32-E72D297353CC}">
              <c16:uniqueId val="{00000012-90B0-4FEB-9B42-9CA97C467252}"/>
            </c:ext>
          </c:extLst>
        </c:ser>
        <c:ser>
          <c:idx val="19"/>
          <c:order val="19"/>
          <c:tx>
            <c:strRef>
              <c:f>'SATORI (D)'!$CH$1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(D)'!$CH$2:$CH$37</c:f>
            </c:numRef>
          </c:yVal>
          <c:smooth val="1"/>
          <c:extLst>
            <c:ext xmlns:c16="http://schemas.microsoft.com/office/drawing/2014/chart" uri="{C3380CC4-5D6E-409C-BE32-E72D297353CC}">
              <c16:uniqueId val="{00000013-90B0-4FEB-9B42-9CA97C467252}"/>
            </c:ext>
          </c:extLst>
        </c:ser>
        <c:ser>
          <c:idx val="20"/>
          <c:order val="20"/>
          <c:tx>
            <c:strRef>
              <c:f>'SATORI (D)'!$CI$1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(D)'!$CI$2:$CI$37</c:f>
            </c:numRef>
          </c:yVal>
          <c:smooth val="1"/>
          <c:extLst>
            <c:ext xmlns:c16="http://schemas.microsoft.com/office/drawing/2014/chart" uri="{C3380CC4-5D6E-409C-BE32-E72D297353CC}">
              <c16:uniqueId val="{00000014-90B0-4FEB-9B42-9CA97C467252}"/>
            </c:ext>
          </c:extLst>
        </c:ser>
        <c:ser>
          <c:idx val="21"/>
          <c:order val="21"/>
          <c:tx>
            <c:strRef>
              <c:f>'SATORI (D)'!$CJ$1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(D)'!$CJ$2:$CJ$37</c:f>
            </c:numRef>
          </c:yVal>
          <c:smooth val="1"/>
          <c:extLst>
            <c:ext xmlns:c16="http://schemas.microsoft.com/office/drawing/2014/chart" uri="{C3380CC4-5D6E-409C-BE32-E72D297353CC}">
              <c16:uniqueId val="{00000015-90B0-4FEB-9B42-9CA97C467252}"/>
            </c:ext>
          </c:extLst>
        </c:ser>
        <c:ser>
          <c:idx val="22"/>
          <c:order val="22"/>
          <c:tx>
            <c:strRef>
              <c:f>'SATORI (D)'!$CK$1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(D)'!$CK$2:$CK$37</c:f>
            </c:numRef>
          </c:yVal>
          <c:smooth val="1"/>
          <c:extLst>
            <c:ext xmlns:c16="http://schemas.microsoft.com/office/drawing/2014/chart" uri="{C3380CC4-5D6E-409C-BE32-E72D297353CC}">
              <c16:uniqueId val="{00000016-90B0-4FEB-9B42-9CA97C467252}"/>
            </c:ext>
          </c:extLst>
        </c:ser>
        <c:ser>
          <c:idx val="23"/>
          <c:order val="23"/>
          <c:tx>
            <c:strRef>
              <c:f>'SATORI (D)'!$CL$1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(D)'!$CL$2:$CL$37</c:f>
            </c:numRef>
          </c:yVal>
          <c:smooth val="1"/>
          <c:extLst>
            <c:ext xmlns:c16="http://schemas.microsoft.com/office/drawing/2014/chart" uri="{C3380CC4-5D6E-409C-BE32-E72D297353CC}">
              <c16:uniqueId val="{00000017-90B0-4FEB-9B42-9CA97C467252}"/>
            </c:ext>
          </c:extLst>
        </c:ser>
        <c:ser>
          <c:idx val="24"/>
          <c:order val="24"/>
          <c:tx>
            <c:strRef>
              <c:f>'SATORI (D)'!$CM$1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(D)'!$CM$2:$CM$37</c:f>
            </c:numRef>
          </c:yVal>
          <c:smooth val="1"/>
          <c:extLst>
            <c:ext xmlns:c16="http://schemas.microsoft.com/office/drawing/2014/chart" uri="{C3380CC4-5D6E-409C-BE32-E72D297353CC}">
              <c16:uniqueId val="{00000018-90B0-4FEB-9B42-9CA97C467252}"/>
            </c:ext>
          </c:extLst>
        </c:ser>
        <c:ser>
          <c:idx val="25"/>
          <c:order val="25"/>
          <c:tx>
            <c:strRef>
              <c:f>'SATORI (D)'!$CN$1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(D)'!$CN$2:$CN$37</c:f>
            </c:numRef>
          </c:yVal>
          <c:smooth val="1"/>
          <c:extLst>
            <c:ext xmlns:c16="http://schemas.microsoft.com/office/drawing/2014/chart" uri="{C3380CC4-5D6E-409C-BE32-E72D297353CC}">
              <c16:uniqueId val="{00000019-90B0-4FEB-9B42-9CA97C467252}"/>
            </c:ext>
          </c:extLst>
        </c:ser>
        <c:ser>
          <c:idx val="26"/>
          <c:order val="26"/>
          <c:tx>
            <c:strRef>
              <c:f>'SATORI (D)'!$CO$1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(D)'!$CO$2:$CO$37</c:f>
            </c:numRef>
          </c:yVal>
          <c:smooth val="1"/>
          <c:extLst>
            <c:ext xmlns:c16="http://schemas.microsoft.com/office/drawing/2014/chart" uri="{C3380CC4-5D6E-409C-BE32-E72D297353CC}">
              <c16:uniqueId val="{0000001A-90B0-4FEB-9B42-9CA97C467252}"/>
            </c:ext>
          </c:extLst>
        </c:ser>
        <c:ser>
          <c:idx val="27"/>
          <c:order val="27"/>
          <c:tx>
            <c:strRef>
              <c:f>'SATORI (D)'!$CP$1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(D)'!$BN$2:$BN$37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(D)'!$CP$2:$CP$37</c:f>
            </c:numRef>
          </c:yVal>
          <c:smooth val="1"/>
          <c:extLst>
            <c:ext xmlns:c16="http://schemas.microsoft.com/office/drawing/2014/chart" uri="{C3380CC4-5D6E-409C-BE32-E72D297353CC}">
              <c16:uniqueId val="{0000001B-90B0-4FEB-9B42-9CA97C4672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4902160"/>
        <c:axId val="1224899664"/>
      </c:scatterChart>
      <c:valAx>
        <c:axId val="1224902160"/>
        <c:scaling>
          <c:orientation val="maxMin"/>
          <c:max val="3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899664"/>
        <c:crosses val="autoZero"/>
        <c:crossBetween val="midCat"/>
      </c:valAx>
      <c:valAx>
        <c:axId val="122489966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4902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Portfolio Performance-D1</a:t>
            </a:r>
          </a:p>
        </c:rich>
      </c:tx>
      <c:layout>
        <c:manualLayout>
          <c:xMode val="edge"/>
          <c:yMode val="edge"/>
          <c:x val="0.37191930785469407"/>
          <c:y val="3.71134080872486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'SATORI (D)'!$DY$1</c:f>
              <c:strCache>
                <c:ptCount val="1"/>
                <c:pt idx="0">
                  <c:v>Portfolio Performance</c:v>
                </c:pt>
              </c:strCache>
            </c:strRef>
          </c:tx>
          <c:spPr>
            <a:ln w="28575" cap="rnd">
              <a:solidFill>
                <a:schemeClr val="lt1">
                  <a:alpha val="50000"/>
                </a:schemeClr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xVal>
            <c:numRef>
              <c:f>'SATORI (D)'!$DX$2:$DX$37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(D)'!$DY$2:$DY$37</c:f>
              <c:numCache>
                <c:formatCode>0.00000</c:formatCode>
                <c:ptCount val="36"/>
                <c:pt idx="0">
                  <c:v>9.1797309499989623</c:v>
                </c:pt>
                <c:pt idx="1">
                  <c:v>10.483303799190079</c:v>
                </c:pt>
                <c:pt idx="2">
                  <c:v>5.3505454702061197</c:v>
                </c:pt>
                <c:pt idx="3">
                  <c:v>-2.5080924848480972</c:v>
                </c:pt>
                <c:pt idx="4">
                  <c:v>-11.8909478104756</c:v>
                </c:pt>
                <c:pt idx="5">
                  <c:v>-10.254688250161337</c:v>
                </c:pt>
                <c:pt idx="6">
                  <c:v>0.41742973734631583</c:v>
                </c:pt>
                <c:pt idx="7">
                  <c:v>-7.4302476348256441</c:v>
                </c:pt>
                <c:pt idx="8">
                  <c:v>-9.8568287192754802</c:v>
                </c:pt>
                <c:pt idx="9">
                  <c:v>-8.0646836189800908</c:v>
                </c:pt>
                <c:pt idx="10">
                  <c:v>-10.642661052795138</c:v>
                </c:pt>
                <c:pt idx="11">
                  <c:v>-16.083626381593056</c:v>
                </c:pt>
                <c:pt idx="12">
                  <c:v>-18.009284691533537</c:v>
                </c:pt>
                <c:pt idx="13">
                  <c:v>-15.49886878258285</c:v>
                </c:pt>
                <c:pt idx="14">
                  <c:v>-16.605302278245137</c:v>
                </c:pt>
                <c:pt idx="15">
                  <c:v>-16.48544415517512</c:v>
                </c:pt>
                <c:pt idx="16">
                  <c:v>-22.894809079273283</c:v>
                </c:pt>
                <c:pt idx="17">
                  <c:v>-26.581301827836935</c:v>
                </c:pt>
                <c:pt idx="18">
                  <c:v>-24.967995661727343</c:v>
                </c:pt>
                <c:pt idx="19">
                  <c:v>-25.082412191468471</c:v>
                </c:pt>
                <c:pt idx="20">
                  <c:v>-19.285862937197368</c:v>
                </c:pt>
                <c:pt idx="21">
                  <c:v>-15.785608047142702</c:v>
                </c:pt>
                <c:pt idx="22">
                  <c:v>-12.742163990545418</c:v>
                </c:pt>
                <c:pt idx="23">
                  <c:v>-8.7025598240699082</c:v>
                </c:pt>
                <c:pt idx="24">
                  <c:v>-3.9342794869118229</c:v>
                </c:pt>
                <c:pt idx="25">
                  <c:v>0.91725313724437063</c:v>
                </c:pt>
                <c:pt idx="26">
                  <c:v>-3.2711843454708722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D6-461C-9E58-8C73D2FB25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7606975"/>
        <c:axId val="1017598239"/>
      </c:scatterChart>
      <c:valAx>
        <c:axId val="1017606975"/>
        <c:scaling>
          <c:orientation val="maxMin"/>
          <c:max val="36"/>
          <c:min val="0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alpha val="1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598239"/>
        <c:crosses val="autoZero"/>
        <c:crossBetween val="midCat"/>
        <c:majorUnit val="4"/>
        <c:minorUnit val="1"/>
      </c:valAx>
      <c:valAx>
        <c:axId val="1017598239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alpha val="2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76069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'SATORI (D)'!$DH$1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'SATORI (D)'!$DG$2:$DG$37</c:f>
              <c:numCache>
                <c:formatCode>0.00000</c:formatCode>
                <c:ptCount val="36"/>
                <c:pt idx="0">
                  <c:v>-0.57689886916409605</c:v>
                </c:pt>
                <c:pt idx="1">
                  <c:v>-0.44767998264911602</c:v>
                </c:pt>
                <c:pt idx="2">
                  <c:v>-0.35159243295498799</c:v>
                </c:pt>
                <c:pt idx="3">
                  <c:v>-1.8234731368622248E-2</c:v>
                </c:pt>
                <c:pt idx="4">
                  <c:v>0.3459578536703547</c:v>
                </c:pt>
                <c:pt idx="5">
                  <c:v>0.23585059023691124</c:v>
                </c:pt>
                <c:pt idx="6">
                  <c:v>0.18040163610632215</c:v>
                </c:pt>
                <c:pt idx="7">
                  <c:v>0.44236651825851281</c:v>
                </c:pt>
                <c:pt idx="8">
                  <c:v>0.34767851522849086</c:v>
                </c:pt>
                <c:pt idx="9">
                  <c:v>0.38626718908866298</c:v>
                </c:pt>
                <c:pt idx="10">
                  <c:v>0.54691618194305702</c:v>
                </c:pt>
                <c:pt idx="11">
                  <c:v>0.7478679825292387</c:v>
                </c:pt>
                <c:pt idx="12">
                  <c:v>1.0480292740183916</c:v>
                </c:pt>
                <c:pt idx="13">
                  <c:v>1.3889744056390791</c:v>
                </c:pt>
                <c:pt idx="14">
                  <c:v>1.3932991039913651</c:v>
                </c:pt>
                <c:pt idx="15">
                  <c:v>0.91894672172851921</c:v>
                </c:pt>
                <c:pt idx="16">
                  <c:v>1.227227712270718</c:v>
                </c:pt>
                <c:pt idx="17">
                  <c:v>1.2344468863971974</c:v>
                </c:pt>
                <c:pt idx="18">
                  <c:v>1.1137411554047316</c:v>
                </c:pt>
                <c:pt idx="19">
                  <c:v>1.0414099944172746</c:v>
                </c:pt>
                <c:pt idx="20">
                  <c:v>0.91031896944478974</c:v>
                </c:pt>
                <c:pt idx="21">
                  <c:v>0.74273457873375059</c:v>
                </c:pt>
                <c:pt idx="22">
                  <c:v>0.54647228508175094</c:v>
                </c:pt>
                <c:pt idx="23">
                  <c:v>0.3505537988251719</c:v>
                </c:pt>
                <c:pt idx="24">
                  <c:v>0.17325788976411555</c:v>
                </c:pt>
                <c:pt idx="25">
                  <c:v>7.3610235339943569E-3</c:v>
                </c:pt>
                <c:pt idx="26">
                  <c:v>-6.8702401660547349E-2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(D)'!$DH$2:$DH$37</c:f>
              <c:numCache>
                <c:formatCode>0.00000</c:formatCode>
                <c:ptCount val="36"/>
                <c:pt idx="0">
                  <c:v>1.4279101768247888</c:v>
                </c:pt>
                <c:pt idx="1">
                  <c:v>1.697718672164156</c:v>
                </c:pt>
                <c:pt idx="2">
                  <c:v>1.3886968222680487</c:v>
                </c:pt>
                <c:pt idx="3">
                  <c:v>1.2117056718255741</c:v>
                </c:pt>
                <c:pt idx="4">
                  <c:v>1.0490338704843576</c:v>
                </c:pt>
                <c:pt idx="5">
                  <c:v>1.3178795557097609</c:v>
                </c:pt>
                <c:pt idx="6">
                  <c:v>1.0849123768692932</c:v>
                </c:pt>
                <c:pt idx="7">
                  <c:v>0.79268599794686201</c:v>
                </c:pt>
                <c:pt idx="8">
                  <c:v>0.54444437610160279</c:v>
                </c:pt>
                <c:pt idx="9">
                  <c:v>0.60913217411561515</c:v>
                </c:pt>
                <c:pt idx="10">
                  <c:v>0.81876043333594506</c:v>
                </c:pt>
                <c:pt idx="11">
                  <c:v>1.0902055967671662</c:v>
                </c:pt>
                <c:pt idx="12">
                  <c:v>1.5716988201958748</c:v>
                </c:pt>
                <c:pt idx="13">
                  <c:v>1.5432899169777308</c:v>
                </c:pt>
                <c:pt idx="14">
                  <c:v>0.43711443853680298</c:v>
                </c:pt>
                <c:pt idx="15">
                  <c:v>0.28793259724487791</c:v>
                </c:pt>
                <c:pt idx="16">
                  <c:v>0.48888998226186636</c:v>
                </c:pt>
                <c:pt idx="17">
                  <c:v>0.56027566509593818</c:v>
                </c:pt>
                <c:pt idx="18">
                  <c:v>0.75404185389480027</c:v>
                </c:pt>
                <c:pt idx="19">
                  <c:v>0.57994900437505637</c:v>
                </c:pt>
                <c:pt idx="20">
                  <c:v>0.40220567643192706</c:v>
                </c:pt>
                <c:pt idx="21">
                  <c:v>0.36209711592816801</c:v>
                </c:pt>
                <c:pt idx="22">
                  <c:v>0.51161186048489815</c:v>
                </c:pt>
                <c:pt idx="23">
                  <c:v>0.23988000494450146</c:v>
                </c:pt>
                <c:pt idx="24">
                  <c:v>0.18362799594418319</c:v>
                </c:pt>
                <c:pt idx="25">
                  <c:v>0.42212884773294446</c:v>
                </c:pt>
                <c:pt idx="26">
                  <c:v>-3.0860884499793833E-2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41-43CB-B54D-0AD9706607CF}"/>
            </c:ext>
          </c:extLst>
        </c:ser>
        <c:ser>
          <c:idx val="1"/>
          <c:order val="1"/>
          <c:tx>
            <c:strRef>
              <c:f>'SATORI (D)'!$DJ$1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'SATORI (D)'!$DI$2:$DI$37</c:f>
              <c:numCache>
                <c:formatCode>0.00000</c:formatCode>
                <c:ptCount val="36"/>
                <c:pt idx="0">
                  <c:v>-4.6813105706761045</c:v>
                </c:pt>
                <c:pt idx="1">
                  <c:v>-4.7117544660896193</c:v>
                </c:pt>
                <c:pt idx="2">
                  <c:v>-3.686119383575245</c:v>
                </c:pt>
                <c:pt idx="3">
                  <c:v>-3.3269928347698245</c:v>
                </c:pt>
                <c:pt idx="4">
                  <c:v>-2.5763109176084407</c:v>
                </c:pt>
                <c:pt idx="5">
                  <c:v>-3.437492991149917</c:v>
                </c:pt>
                <c:pt idx="6">
                  <c:v>-3.4744970500326238</c:v>
                </c:pt>
                <c:pt idx="7">
                  <c:v>-3.428263361855739</c:v>
                </c:pt>
                <c:pt idx="8">
                  <c:v>-3.4294192174200222</c:v>
                </c:pt>
                <c:pt idx="9">
                  <c:v>-3.2540373002187524</c:v>
                </c:pt>
                <c:pt idx="10">
                  <c:v>-3.8366336839431936</c:v>
                </c:pt>
                <c:pt idx="11">
                  <c:v>-5.0690549393915765</c:v>
                </c:pt>
                <c:pt idx="12">
                  <c:v>-4.9376442693144886</c:v>
                </c:pt>
                <c:pt idx="13">
                  <c:v>-4.283721900740062</c:v>
                </c:pt>
                <c:pt idx="14">
                  <c:v>-2.5619343576380964</c:v>
                </c:pt>
                <c:pt idx="15">
                  <c:v>-1.9810886006594064</c:v>
                </c:pt>
                <c:pt idx="16">
                  <c:v>-1.4520300303637157</c:v>
                </c:pt>
                <c:pt idx="17">
                  <c:v>-1.0660777891322821</c:v>
                </c:pt>
                <c:pt idx="18">
                  <c:v>-1.3410610977586153</c:v>
                </c:pt>
                <c:pt idx="19">
                  <c:v>-1.5769930858258978</c:v>
                </c:pt>
                <c:pt idx="20">
                  <c:v>-1.1770608709470651</c:v>
                </c:pt>
                <c:pt idx="21">
                  <c:v>-0.48037266416192259</c:v>
                </c:pt>
                <c:pt idx="22">
                  <c:v>-0.67483553074690839</c:v>
                </c:pt>
                <c:pt idx="23">
                  <c:v>-0.75583360704260238</c:v>
                </c:pt>
                <c:pt idx="24">
                  <c:v>-0.88424524519212633</c:v>
                </c:pt>
                <c:pt idx="25">
                  <c:v>-1.3857508942060885</c:v>
                </c:pt>
                <c:pt idx="26">
                  <c:v>-0.21546671430006667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(D)'!$DJ$2:$DJ$37</c:f>
              <c:numCache>
                <c:formatCode>0.00000</c:formatCode>
                <c:ptCount val="36"/>
                <c:pt idx="0">
                  <c:v>-2.7309672878492828</c:v>
                </c:pt>
                <c:pt idx="1">
                  <c:v>-2.5984082675235625</c:v>
                </c:pt>
                <c:pt idx="2">
                  <c:v>-1.9732122403411276</c:v>
                </c:pt>
                <c:pt idx="3">
                  <c:v>-2.1271341066699314</c:v>
                </c:pt>
                <c:pt idx="4">
                  <c:v>-1.8920931573134239</c:v>
                </c:pt>
                <c:pt idx="5">
                  <c:v>-2.374941542920348</c:v>
                </c:pt>
                <c:pt idx="6">
                  <c:v>-2.5905880089481395</c:v>
                </c:pt>
                <c:pt idx="7">
                  <c:v>-3.1002041052042522</c:v>
                </c:pt>
                <c:pt idx="8">
                  <c:v>-3.2548078008679373</c:v>
                </c:pt>
                <c:pt idx="9">
                  <c:v>-3.0497966520657798</c:v>
                </c:pt>
                <c:pt idx="10">
                  <c:v>-3.5905956320912704</c:v>
                </c:pt>
                <c:pt idx="11">
                  <c:v>-4.7394279928396879</c:v>
                </c:pt>
                <c:pt idx="12">
                  <c:v>-4.4330114592034997</c:v>
                </c:pt>
                <c:pt idx="13">
                  <c:v>-4.1541593469788793</c:v>
                </c:pt>
                <c:pt idx="14">
                  <c:v>-3.5140387537792344</c:v>
                </c:pt>
                <c:pt idx="15">
                  <c:v>-2.6051869155632792</c:v>
                </c:pt>
                <c:pt idx="16">
                  <c:v>-2.192444272124729</c:v>
                </c:pt>
                <c:pt idx="17">
                  <c:v>-1.7450473090010943</c:v>
                </c:pt>
                <c:pt idx="18">
                  <c:v>-1.7033493688793295</c:v>
                </c:pt>
                <c:pt idx="19">
                  <c:v>-2.0359505612232338</c:v>
                </c:pt>
                <c:pt idx="20">
                  <c:v>-1.6878308247102671</c:v>
                </c:pt>
                <c:pt idx="21">
                  <c:v>-0.86500676020746814</c:v>
                </c:pt>
                <c:pt idx="22">
                  <c:v>-0.71431419368598759</c:v>
                </c:pt>
                <c:pt idx="23">
                  <c:v>-0.8776588301924827</c:v>
                </c:pt>
                <c:pt idx="24">
                  <c:v>-0.87352369393975049</c:v>
                </c:pt>
                <c:pt idx="25">
                  <c:v>-0.97390140387920465</c:v>
                </c:pt>
                <c:pt idx="26">
                  <c:v>-0.17625840301689363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541-43CB-B54D-0AD9706607CF}"/>
            </c:ext>
          </c:extLst>
        </c:ser>
        <c:ser>
          <c:idx val="2"/>
          <c:order val="2"/>
          <c:tx>
            <c:strRef>
              <c:f>'SATORI (D)'!$DL$1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'SATORI (D)'!$DK$2:$DK$37</c:f>
              <c:numCache>
                <c:formatCode>0.00000</c:formatCode>
                <c:ptCount val="36"/>
                <c:pt idx="0">
                  <c:v>-0.64492842405476491</c:v>
                </c:pt>
                <c:pt idx="1">
                  <c:v>-0.5275404221826927</c:v>
                </c:pt>
                <c:pt idx="2">
                  <c:v>-0.19653439479387039</c:v>
                </c:pt>
                <c:pt idx="3">
                  <c:v>0.1564976639160538</c:v>
                </c:pt>
                <c:pt idx="4">
                  <c:v>0.86993312407024703</c:v>
                </c:pt>
                <c:pt idx="5">
                  <c:v>1.0866888061099345</c:v>
                </c:pt>
                <c:pt idx="6">
                  <c:v>0.7959301125027497</c:v>
                </c:pt>
                <c:pt idx="7">
                  <c:v>1.5612921906527066</c:v>
                </c:pt>
                <c:pt idx="8">
                  <c:v>1.6185116389945278</c:v>
                </c:pt>
                <c:pt idx="9">
                  <c:v>1.6930307943395126</c:v>
                </c:pt>
                <c:pt idx="10">
                  <c:v>2.1342397067595473</c:v>
                </c:pt>
                <c:pt idx="11">
                  <c:v>2.1397551223461133</c:v>
                </c:pt>
                <c:pt idx="12">
                  <c:v>1.4783691077251719</c:v>
                </c:pt>
                <c:pt idx="13">
                  <c:v>1.254236158619757</c:v>
                </c:pt>
                <c:pt idx="14">
                  <c:v>1.7747015158803598</c:v>
                </c:pt>
                <c:pt idx="15">
                  <c:v>0.86613391004935369</c:v>
                </c:pt>
                <c:pt idx="16">
                  <c:v>1.0203923786834552</c:v>
                </c:pt>
                <c:pt idx="17">
                  <c:v>0.82212006916093783</c:v>
                </c:pt>
                <c:pt idx="18">
                  <c:v>0.79180526154337894</c:v>
                </c:pt>
                <c:pt idx="19">
                  <c:v>0.91243252330453239</c:v>
                </c:pt>
                <c:pt idx="20">
                  <c:v>0.47079458893037684</c:v>
                </c:pt>
                <c:pt idx="21">
                  <c:v>0.46769547140410661</c:v>
                </c:pt>
                <c:pt idx="22">
                  <c:v>0.26125642891012413</c:v>
                </c:pt>
                <c:pt idx="23">
                  <c:v>0.42699116040437224</c:v>
                </c:pt>
                <c:pt idx="24">
                  <c:v>0.18902469204309807</c:v>
                </c:pt>
                <c:pt idx="25">
                  <c:v>-0.31143271526465749</c:v>
                </c:pt>
                <c:pt idx="26">
                  <c:v>-4.0870778935348552E-2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(D)'!$DL$2:$DL$37</c:f>
              <c:numCache>
                <c:formatCode>0.00000</c:formatCode>
                <c:ptCount val="36"/>
                <c:pt idx="0">
                  <c:v>1.3763836484133303</c:v>
                </c:pt>
                <c:pt idx="1">
                  <c:v>1.6457139527565707</c:v>
                </c:pt>
                <c:pt idx="2">
                  <c:v>1.5589847003861708</c:v>
                </c:pt>
                <c:pt idx="3">
                  <c:v>1.3828725521701801</c:v>
                </c:pt>
                <c:pt idx="4">
                  <c:v>1.5914231256842579</c:v>
                </c:pt>
                <c:pt idx="5">
                  <c:v>2.1680370622683744</c:v>
                </c:pt>
                <c:pt idx="6">
                  <c:v>1.7187145563593209</c:v>
                </c:pt>
                <c:pt idx="7">
                  <c:v>1.9184039284471828</c:v>
                </c:pt>
                <c:pt idx="8">
                  <c:v>1.8295742593377025</c:v>
                </c:pt>
                <c:pt idx="9">
                  <c:v>1.9253250270953746</c:v>
                </c:pt>
                <c:pt idx="10">
                  <c:v>2.3983278395445322</c:v>
                </c:pt>
                <c:pt idx="11">
                  <c:v>2.4865747450971187</c:v>
                </c:pt>
                <c:pt idx="12">
                  <c:v>2.0035393224994578</c:v>
                </c:pt>
                <c:pt idx="13">
                  <c:v>1.4025721409416492</c:v>
                </c:pt>
                <c:pt idx="14">
                  <c:v>0.82885003021091053</c:v>
                </c:pt>
                <c:pt idx="15">
                  <c:v>0.2362908633562314</c:v>
                </c:pt>
                <c:pt idx="16">
                  <c:v>0.28376804463597366</c:v>
                </c:pt>
                <c:pt idx="17">
                  <c:v>0.14589438920126285</c:v>
                </c:pt>
                <c:pt idx="18">
                  <c:v>0.41970137305730953</c:v>
                </c:pt>
                <c:pt idx="19">
                  <c:v>0.45406359830762211</c:v>
                </c:pt>
                <c:pt idx="20">
                  <c:v>-4.0101679139387572E-2</c:v>
                </c:pt>
                <c:pt idx="21">
                  <c:v>8.3584158832169547E-2</c:v>
                </c:pt>
                <c:pt idx="22">
                  <c:v>0.22846694628199485</c:v>
                </c:pt>
                <c:pt idx="23">
                  <c:v>0.30559905578584889</c:v>
                </c:pt>
                <c:pt idx="24">
                  <c:v>0.19868656959537695</c:v>
                </c:pt>
                <c:pt idx="25">
                  <c:v>9.7611607647138457E-2</c:v>
                </c:pt>
                <c:pt idx="26">
                  <c:v>-8.3319446758890782E-3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541-43CB-B54D-0AD9706607CF}"/>
            </c:ext>
          </c:extLst>
        </c:ser>
        <c:ser>
          <c:idx val="3"/>
          <c:order val="3"/>
          <c:tx>
            <c:strRef>
              <c:f>'SATORI (D)'!$DN$1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'SATORI (D)'!$DM$2:$DM$37</c:f>
              <c:numCache>
                <c:formatCode>0.00000</c:formatCode>
                <c:ptCount val="36"/>
                <c:pt idx="0">
                  <c:v>0.29634129903936796</c:v>
                </c:pt>
                <c:pt idx="1">
                  <c:v>0.15997833640577869</c:v>
                </c:pt>
                <c:pt idx="2">
                  <c:v>0.37833840770702165</c:v>
                </c:pt>
                <c:pt idx="3">
                  <c:v>1.3063604763416794</c:v>
                </c:pt>
                <c:pt idx="4">
                  <c:v>2.2094828289981039</c:v>
                </c:pt>
                <c:pt idx="5">
                  <c:v>2.4202006338946407</c:v>
                </c:pt>
                <c:pt idx="6">
                  <c:v>1.8594276112978907</c:v>
                </c:pt>
                <c:pt idx="7">
                  <c:v>2.5852205932745389</c:v>
                </c:pt>
                <c:pt idx="8">
                  <c:v>2.7936743834817728</c:v>
                </c:pt>
                <c:pt idx="9">
                  <c:v>2.4887732109016483</c:v>
                </c:pt>
                <c:pt idx="10">
                  <c:v>3.6069742723490235</c:v>
                </c:pt>
                <c:pt idx="11">
                  <c:v>3.6315224327712423</c:v>
                </c:pt>
                <c:pt idx="12">
                  <c:v>3.9655690145664741</c:v>
                </c:pt>
                <c:pt idx="13">
                  <c:v>3.7489858066773123</c:v>
                </c:pt>
                <c:pt idx="14">
                  <c:v>3.8781807988333399</c:v>
                </c:pt>
                <c:pt idx="15">
                  <c:v>3.2712863556628093</c:v>
                </c:pt>
                <c:pt idx="16">
                  <c:v>3.3340024201532827</c:v>
                </c:pt>
                <c:pt idx="17">
                  <c:v>3.1553519185576429</c:v>
                </c:pt>
                <c:pt idx="18">
                  <c:v>3.1965959610848325</c:v>
                </c:pt>
                <c:pt idx="19">
                  <c:v>3.3250756184724053</c:v>
                </c:pt>
                <c:pt idx="20">
                  <c:v>2.6746987645944653</c:v>
                </c:pt>
                <c:pt idx="21">
                  <c:v>2.1471657748881614</c:v>
                </c:pt>
                <c:pt idx="22">
                  <c:v>1.7452026290372551</c:v>
                </c:pt>
                <c:pt idx="23">
                  <c:v>1.1228208217362465</c:v>
                </c:pt>
                <c:pt idx="24">
                  <c:v>0.79475640181379203</c:v>
                </c:pt>
                <c:pt idx="25">
                  <c:v>0.45295227044210534</c:v>
                </c:pt>
                <c:pt idx="26">
                  <c:v>0.38463814426889859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(D)'!$DN$2:$DN$37</c:f>
              <c:numCache>
                <c:formatCode>0.00000</c:formatCode>
                <c:ptCount val="36"/>
                <c:pt idx="0">
                  <c:v>2.3649587362740339</c:v>
                </c:pt>
                <c:pt idx="1">
                  <c:v>2.3588966238703337</c:v>
                </c:pt>
                <c:pt idx="2">
                  <c:v>2.1718342920290463</c:v>
                </c:pt>
                <c:pt idx="3">
                  <c:v>2.5867444452312998</c:v>
                </c:pt>
                <c:pt idx="4">
                  <c:v>2.9639369519948504</c:v>
                </c:pt>
                <c:pt idx="5">
                  <c:v>3.5456039581170371</c:v>
                </c:pt>
                <c:pt idx="6">
                  <c:v>2.802100560451342</c:v>
                </c:pt>
                <c:pt idx="7">
                  <c:v>2.9738007538399818</c:v>
                </c:pt>
                <c:pt idx="8">
                  <c:v>3.0261870394716972</c:v>
                </c:pt>
                <c:pt idx="9">
                  <c:v>2.7550926998490493</c:v>
                </c:pt>
                <c:pt idx="10">
                  <c:v>3.9022335021313945</c:v>
                </c:pt>
                <c:pt idx="11">
                  <c:v>3.9964465548131818</c:v>
                </c:pt>
                <c:pt idx="12">
                  <c:v>4.507815921296543</c:v>
                </c:pt>
                <c:pt idx="13">
                  <c:v>3.9230450261793783</c:v>
                </c:pt>
                <c:pt idx="14">
                  <c:v>2.9530311085883865</c:v>
                </c:pt>
                <c:pt idx="15">
                  <c:v>2.6593595494099498</c:v>
                </c:pt>
                <c:pt idx="16">
                  <c:v>2.6170432775943917</c:v>
                </c:pt>
                <c:pt idx="17">
                  <c:v>2.5002349884424331</c:v>
                </c:pt>
                <c:pt idx="18">
                  <c:v>2.8482341440770664</c:v>
                </c:pt>
                <c:pt idx="19">
                  <c:v>2.8892293633110597</c:v>
                </c:pt>
                <c:pt idx="20">
                  <c:v>2.1782483187578605</c:v>
                </c:pt>
                <c:pt idx="21">
                  <c:v>1.7765243805221616</c:v>
                </c:pt>
                <c:pt idx="22">
                  <c:v>1.7191894775950218</c:v>
                </c:pt>
                <c:pt idx="23">
                  <c:v>1.0035171756488885</c:v>
                </c:pt>
                <c:pt idx="24">
                  <c:v>0.80778391453579645</c:v>
                </c:pt>
                <c:pt idx="25">
                  <c:v>0.87175635717588562</c:v>
                </c:pt>
                <c:pt idx="26">
                  <c:v>0.42503816036038411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541-43CB-B54D-0AD9706607CF}"/>
            </c:ext>
          </c:extLst>
        </c:ser>
        <c:ser>
          <c:idx val="4"/>
          <c:order val="4"/>
          <c:tx>
            <c:strRef>
              <c:f>'SATORI (D)'!$DP$1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'SATORI (D)'!$DO$2:$DO$37</c:f>
              <c:numCache>
                <c:formatCode>0.00000</c:formatCode>
                <c:ptCount val="36"/>
                <c:pt idx="0">
                  <c:v>-1.1711822392420799</c:v>
                </c:pt>
                <c:pt idx="1">
                  <c:v>-1.3385639345098859</c:v>
                </c:pt>
                <c:pt idx="2">
                  <c:v>-0.69251627418375339</c:v>
                </c:pt>
                <c:pt idx="3">
                  <c:v>0.29854763292052366</c:v>
                </c:pt>
                <c:pt idx="4">
                  <c:v>1.4683141809394415</c:v>
                </c:pt>
                <c:pt idx="5">
                  <c:v>1.254870568406308</c:v>
                </c:pt>
                <c:pt idx="6">
                  <c:v>-6.3214012801536379E-2</c:v>
                </c:pt>
                <c:pt idx="7">
                  <c:v>0.92053420083135884</c:v>
                </c:pt>
                <c:pt idx="8">
                  <c:v>1.2289035105841664</c:v>
                </c:pt>
                <c:pt idx="9">
                  <c:v>0.99940458324218828</c:v>
                </c:pt>
                <c:pt idx="10">
                  <c:v>1.3063423782944945</c:v>
                </c:pt>
                <c:pt idx="11">
                  <c:v>2.0034464567732941</c:v>
                </c:pt>
                <c:pt idx="12">
                  <c:v>2.2425439479334179</c:v>
                </c:pt>
                <c:pt idx="13">
                  <c:v>1.9336843783225033</c:v>
                </c:pt>
                <c:pt idx="14">
                  <c:v>2.0631026683203268</c:v>
                </c:pt>
                <c:pt idx="15">
                  <c:v>2.0446177587283305</c:v>
                </c:pt>
                <c:pt idx="16">
                  <c:v>2.8526677663514519</c:v>
                </c:pt>
                <c:pt idx="17">
                  <c:v>3.317285350340017</c:v>
                </c:pt>
                <c:pt idx="18">
                  <c:v>3.1219496276827745</c:v>
                </c:pt>
                <c:pt idx="19">
                  <c:v>3.1321420954490864</c:v>
                </c:pt>
                <c:pt idx="20">
                  <c:v>2.4002825989819088</c:v>
                </c:pt>
                <c:pt idx="21">
                  <c:v>1.9687704595548026</c:v>
                </c:pt>
                <c:pt idx="22">
                  <c:v>1.5907428936508752</c:v>
                </c:pt>
                <c:pt idx="23">
                  <c:v>1.0930979691298064</c:v>
                </c:pt>
                <c:pt idx="24">
                  <c:v>0.4876288960268606</c:v>
                </c:pt>
                <c:pt idx="25">
                  <c:v>-0.12236781558116167</c:v>
                </c:pt>
                <c:pt idx="26">
                  <c:v>0.41154295685382764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(D)'!$DP$2:$DP$37</c:f>
              <c:numCache>
                <c:formatCode>0.00000</c:formatCode>
                <c:ptCount val="36"/>
                <c:pt idx="0">
                  <c:v>0.90782903895667877</c:v>
                </c:pt>
                <c:pt idx="1">
                  <c:v>0.88073596040887436</c:v>
                </c:pt>
                <c:pt idx="2">
                  <c:v>1.1146257012546295</c:v>
                </c:pt>
                <c:pt idx="3">
                  <c:v>1.5835060983205582</c:v>
                </c:pt>
                <c:pt idx="4">
                  <c:v>2.233164904715681</c:v>
                </c:pt>
                <c:pt idx="5">
                  <c:v>2.4041506867578253</c:v>
                </c:pt>
                <c:pt idx="6">
                  <c:v>0.8794081736416024</c:v>
                </c:pt>
                <c:pt idx="7">
                  <c:v>1.3005523646043526</c:v>
                </c:pt>
                <c:pt idx="8">
                  <c:v>1.4445796308348975</c:v>
                </c:pt>
                <c:pt idx="9">
                  <c:v>1.2562204486001436</c:v>
                </c:pt>
                <c:pt idx="10">
                  <c:v>1.6233248236721702</c:v>
                </c:pt>
                <c:pt idx="11">
                  <c:v>2.3624557320896482</c:v>
                </c:pt>
                <c:pt idx="12">
                  <c:v>2.7871290915650722</c:v>
                </c:pt>
                <c:pt idx="13">
                  <c:v>2.0962950664875333</c:v>
                </c:pt>
                <c:pt idx="14">
                  <c:v>1.1386107108707111</c:v>
                </c:pt>
                <c:pt idx="15">
                  <c:v>1.4447690557468227</c:v>
                </c:pt>
                <c:pt idx="16">
                  <c:v>2.1325720165748034</c:v>
                </c:pt>
                <c:pt idx="17">
                  <c:v>2.6565814215933439</c:v>
                </c:pt>
                <c:pt idx="18">
                  <c:v>2.7715682143838953</c:v>
                </c:pt>
                <c:pt idx="19">
                  <c:v>2.6868836372910736</c:v>
                </c:pt>
                <c:pt idx="20">
                  <c:v>1.905637911438292</c:v>
                </c:pt>
                <c:pt idx="21">
                  <c:v>1.5972245936902603</c:v>
                </c:pt>
                <c:pt idx="22">
                  <c:v>1.5571477339592628</c:v>
                </c:pt>
                <c:pt idx="23">
                  <c:v>0.97180343002199687</c:v>
                </c:pt>
                <c:pt idx="24">
                  <c:v>0.50634137988081063</c:v>
                </c:pt>
                <c:pt idx="25">
                  <c:v>0.29396459455370277</c:v>
                </c:pt>
                <c:pt idx="26">
                  <c:v>0.44495742794532689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541-43CB-B54D-0AD9706607CF}"/>
            </c:ext>
          </c:extLst>
        </c:ser>
        <c:ser>
          <c:idx val="5"/>
          <c:order val="5"/>
          <c:tx>
            <c:strRef>
              <c:f>'SATORI (D)'!$DR$1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'SATORI (D)'!$DQ$2:$DQ$37</c:f>
              <c:numCache>
                <c:formatCode>0.00000</c:formatCode>
                <c:ptCount val="36"/>
                <c:pt idx="0">
                  <c:v>-7.9284038385599969</c:v>
                </c:pt>
                <c:pt idx="1">
                  <c:v>-8.344204254360422</c:v>
                </c:pt>
                <c:pt idx="2">
                  <c:v>-7.430164882455534</c:v>
                </c:pt>
                <c:pt idx="3">
                  <c:v>-6.755358990776779</c:v>
                </c:pt>
                <c:pt idx="4">
                  <c:v>-5.6266303344662987</c:v>
                </c:pt>
                <c:pt idx="5">
                  <c:v>-6.9632310648788831</c:v>
                </c:pt>
                <c:pt idx="6">
                  <c:v>-7.2819322892908431</c:v>
                </c:pt>
                <c:pt idx="7">
                  <c:v>-7.0482207599749973</c:v>
                </c:pt>
                <c:pt idx="8">
                  <c:v>-7.4356114653261614</c:v>
                </c:pt>
                <c:pt idx="9">
                  <c:v>-6.9895193544346004</c:v>
                </c:pt>
                <c:pt idx="10">
                  <c:v>-7.3753065716546171</c:v>
                </c:pt>
                <c:pt idx="11">
                  <c:v>-9.0059634756231848</c:v>
                </c:pt>
                <c:pt idx="12">
                  <c:v>-9.1398369270611202</c:v>
                </c:pt>
                <c:pt idx="13">
                  <c:v>-7.5453194460710904</c:v>
                </c:pt>
                <c:pt idx="14">
                  <c:v>-5.6515271739221564</c:v>
                </c:pt>
                <c:pt idx="15">
                  <c:v>-5.2314151440475269</c:v>
                </c:pt>
                <c:pt idx="16">
                  <c:v>-3.4023304719603908</c:v>
                </c:pt>
                <c:pt idx="17">
                  <c:v>-2.5713451050933354</c:v>
                </c:pt>
                <c:pt idx="18">
                  <c:v>-2.7410758120444876</c:v>
                </c:pt>
                <c:pt idx="19">
                  <c:v>-2.6312942059850553</c:v>
                </c:pt>
                <c:pt idx="20">
                  <c:v>-2.6605345420539952</c:v>
                </c:pt>
                <c:pt idx="21">
                  <c:v>-1.5692398346405128</c:v>
                </c:pt>
                <c:pt idx="22">
                  <c:v>-0.63521378123484307</c:v>
                </c:pt>
                <c:pt idx="23">
                  <c:v>-0.34762212329751996</c:v>
                </c:pt>
                <c:pt idx="24">
                  <c:v>-0.44357799630531214</c:v>
                </c:pt>
                <c:pt idx="25">
                  <c:v>-1.1971618413116139</c:v>
                </c:pt>
                <c:pt idx="26">
                  <c:v>0.20242402773208748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(D)'!$DR$2:$DR$37</c:f>
              <c:numCache>
                <c:formatCode>0.00000</c:formatCode>
                <c:ptCount val="36"/>
                <c:pt idx="0">
                  <c:v>-5.9642659387870296</c:v>
                </c:pt>
                <c:pt idx="1">
                  <c:v>-6.2395060780771106</c:v>
                </c:pt>
                <c:pt idx="2">
                  <c:v>-5.7281466373111058</c:v>
                </c:pt>
                <c:pt idx="3">
                  <c:v>-5.5641165344083285</c:v>
                </c:pt>
                <c:pt idx="4">
                  <c:v>-4.9492748546144529</c:v>
                </c:pt>
                <c:pt idx="5">
                  <c:v>-5.9096752885823127</c:v>
                </c:pt>
                <c:pt idx="6">
                  <c:v>-6.4040194462768607</c:v>
                </c:pt>
                <c:pt idx="7">
                  <c:v>-6.7228252605988725</c:v>
                </c:pt>
                <c:pt idx="8">
                  <c:v>-7.2871649893658361</c:v>
                </c:pt>
                <c:pt idx="9">
                  <c:v>-6.7878272492577629</c:v>
                </c:pt>
                <c:pt idx="10">
                  <c:v>-7.1316392570949203</c:v>
                </c:pt>
                <c:pt idx="11">
                  <c:v>-8.6969911127023014</c:v>
                </c:pt>
                <c:pt idx="12">
                  <c:v>-8.6374544850089077</c:v>
                </c:pt>
                <c:pt idx="13">
                  <c:v>-7.4155999939272554</c:v>
                </c:pt>
                <c:pt idx="14">
                  <c:v>-6.6033032232568161</c:v>
                </c:pt>
                <c:pt idx="15">
                  <c:v>-5.8659845500608441</c:v>
                </c:pt>
                <c:pt idx="16">
                  <c:v>-4.1401558375012186</c:v>
                </c:pt>
                <c:pt idx="17">
                  <c:v>-3.2480432645333726</c:v>
                </c:pt>
                <c:pt idx="18">
                  <c:v>-3.1024697768801639</c:v>
                </c:pt>
                <c:pt idx="19">
                  <c:v>-3.0892920209321924</c:v>
                </c:pt>
                <c:pt idx="20">
                  <c:v>-3.1708209277254658</c:v>
                </c:pt>
                <c:pt idx="21">
                  <c:v>-1.9538868908799136</c:v>
                </c:pt>
                <c:pt idx="22">
                  <c:v>-0.67880621177228795</c:v>
                </c:pt>
                <c:pt idx="23">
                  <c:v>-0.48566702902528353</c:v>
                </c:pt>
                <c:pt idx="24">
                  <c:v>-0.43667686788264443</c:v>
                </c:pt>
                <c:pt idx="25">
                  <c:v>-0.78313706300058983</c:v>
                </c:pt>
                <c:pt idx="26">
                  <c:v>0.24096525455222298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541-43CB-B54D-0AD9706607CF}"/>
            </c:ext>
          </c:extLst>
        </c:ser>
        <c:ser>
          <c:idx val="6"/>
          <c:order val="6"/>
          <c:tx>
            <c:strRef>
              <c:f>'SATORI (D)'!$DT$1</c:f>
              <c:strCache>
                <c:ptCount val="1"/>
                <c:pt idx="0">
                  <c:v>EU-D1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'SATORI (D)'!$DS$2:$DS$37</c:f>
              <c:numCache>
                <c:formatCode>0.00000</c:formatCode>
                <c:ptCount val="36"/>
                <c:pt idx="0">
                  <c:v>-2.0247400259813526</c:v>
                </c:pt>
                <c:pt idx="1">
                  <c:v>-2.1559170250828821</c:v>
                </c:pt>
                <c:pt idx="2">
                  <c:v>-1.7508688072048406</c:v>
                </c:pt>
                <c:pt idx="3">
                  <c:v>-1.2385644349363611</c:v>
                </c:pt>
                <c:pt idx="4">
                  <c:v>-0.71537645185339338</c:v>
                </c:pt>
                <c:pt idx="5">
                  <c:v>-1.0885954887484866</c:v>
                </c:pt>
                <c:pt idx="6">
                  <c:v>-0.91120665241926213</c:v>
                </c:pt>
                <c:pt idx="7">
                  <c:v>-0.35596109118216945</c:v>
                </c:pt>
                <c:pt idx="8">
                  <c:v>-0.2048012832009381</c:v>
                </c:pt>
                <c:pt idx="9">
                  <c:v>-0.2341085330818663</c:v>
                </c:pt>
                <c:pt idx="10">
                  <c:v>-0.27713503557648533</c:v>
                </c:pt>
                <c:pt idx="11">
                  <c:v>-0.3484897692312201</c:v>
                </c:pt>
                <c:pt idx="12">
                  <c:v>-0.53020501504904427</c:v>
                </c:pt>
                <c:pt idx="13">
                  <c:v>-0.15716986542253608</c:v>
                </c:pt>
                <c:pt idx="14">
                  <c:v>0.94742364972393867</c:v>
                </c:pt>
                <c:pt idx="15">
                  <c:v>0.62781973688528137</c:v>
                </c:pt>
                <c:pt idx="16">
                  <c:v>0.73508511698385914</c:v>
                </c:pt>
                <c:pt idx="17">
                  <c:v>0.67132139392171464</c:v>
                </c:pt>
                <c:pt idx="18">
                  <c:v>0.35627082001379978</c:v>
                </c:pt>
                <c:pt idx="19">
                  <c:v>0.45309052328446109</c:v>
                </c:pt>
                <c:pt idx="20">
                  <c:v>0.50567743006724575</c:v>
                </c:pt>
                <c:pt idx="21">
                  <c:v>0.3785236477029284</c:v>
                </c:pt>
                <c:pt idx="22">
                  <c:v>3.4186840393792758E-2</c:v>
                </c:pt>
                <c:pt idx="23">
                  <c:v>0.10861895095763691</c:v>
                </c:pt>
                <c:pt idx="24">
                  <c:v>-1.5280864569300945E-2</c:v>
                </c:pt>
                <c:pt idx="25">
                  <c:v>-0.41474702420950577</c:v>
                </c:pt>
                <c:pt idx="26">
                  <c:v>-3.8551916581003723E-2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xVal>
          <c:yVal>
            <c:numRef>
              <c:f>'SATORI (D)'!$DT$2:$DT$37</c:f>
              <c:numCache>
                <c:formatCode>0.00000</c:formatCode>
                <c:ptCount val="36"/>
                <c:pt idx="0">
                  <c:v>2.0247400259813526</c:v>
                </c:pt>
                <c:pt idx="1">
                  <c:v>2.1559170250828821</c:v>
                </c:pt>
                <c:pt idx="2">
                  <c:v>1.7508688072048406</c:v>
                </c:pt>
                <c:pt idx="3">
                  <c:v>1.2385644349363611</c:v>
                </c:pt>
                <c:pt idx="4">
                  <c:v>0.71537645185339338</c:v>
                </c:pt>
                <c:pt idx="5">
                  <c:v>1.0885954887484866</c:v>
                </c:pt>
                <c:pt idx="6">
                  <c:v>0.91120665241926213</c:v>
                </c:pt>
                <c:pt idx="7">
                  <c:v>0.35596109118216945</c:v>
                </c:pt>
                <c:pt idx="8">
                  <c:v>0.2048012832009381</c:v>
                </c:pt>
                <c:pt idx="9">
                  <c:v>0.2341085330818663</c:v>
                </c:pt>
                <c:pt idx="10">
                  <c:v>0.27713503557648533</c:v>
                </c:pt>
                <c:pt idx="11">
                  <c:v>0.3484897692312201</c:v>
                </c:pt>
                <c:pt idx="12">
                  <c:v>0.53020501504904427</c:v>
                </c:pt>
                <c:pt idx="13">
                  <c:v>0.15716986542253608</c:v>
                </c:pt>
                <c:pt idx="14">
                  <c:v>-0.94742364972393867</c:v>
                </c:pt>
                <c:pt idx="15">
                  <c:v>-0.62781973688528137</c:v>
                </c:pt>
                <c:pt idx="16">
                  <c:v>-0.73508511698385914</c:v>
                </c:pt>
                <c:pt idx="17">
                  <c:v>-0.67132139392171464</c:v>
                </c:pt>
                <c:pt idx="18">
                  <c:v>-0.35627082001379978</c:v>
                </c:pt>
                <c:pt idx="19">
                  <c:v>-0.45309052328446109</c:v>
                </c:pt>
                <c:pt idx="20">
                  <c:v>-0.50567743006724575</c:v>
                </c:pt>
                <c:pt idx="21">
                  <c:v>-0.3785236477029284</c:v>
                </c:pt>
                <c:pt idx="22">
                  <c:v>-3.4186840393792758E-2</c:v>
                </c:pt>
                <c:pt idx="23">
                  <c:v>-0.10861895095763691</c:v>
                </c:pt>
                <c:pt idx="24">
                  <c:v>1.5280864569300945E-2</c:v>
                </c:pt>
                <c:pt idx="25">
                  <c:v>0.41474702420950577</c:v>
                </c:pt>
                <c:pt idx="26">
                  <c:v>3.8551916581003723E-2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541-43CB-B54D-0AD970660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8699999"/>
        <c:axId val="648692927"/>
      </c:scatterChart>
      <c:valAx>
        <c:axId val="6486999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2927"/>
        <c:crosses val="autoZero"/>
        <c:crossBetween val="midCat"/>
      </c:valAx>
      <c:valAx>
        <c:axId val="64869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86999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6759456834118791E-2"/>
          <c:y val="6.5484876807221093E-2"/>
          <c:w val="0.95351629715889274"/>
          <c:h val="0.8531694776021154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'SATORI (D)'!$AI$1</c:f>
              <c:strCache>
                <c:ptCount val="1"/>
                <c:pt idx="0">
                  <c:v>AUDUSD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(D)'!$AI$2:$AI$37</c:f>
              <c:numCache>
                <c:formatCode>0.00000</c:formatCode>
                <c:ptCount val="36"/>
                <c:pt idx="0">
                  <c:v>-0.13636296263358855</c:v>
                </c:pt>
                <c:pt idx="1">
                  <c:v>0.21836007130124352</c:v>
                </c:pt>
                <c:pt idx="2">
                  <c:v>0.92802206863465753</c:v>
                </c:pt>
                <c:pt idx="3">
                  <c:v>0.90312235265642493</c:v>
                </c:pt>
                <c:pt idx="4">
                  <c:v>0.21071780489653641</c:v>
                </c:pt>
                <c:pt idx="5">
                  <c:v>-0.56077302259674944</c:v>
                </c:pt>
                <c:pt idx="6">
                  <c:v>0.7257929819766481</c:v>
                </c:pt>
                <c:pt idx="7">
                  <c:v>0.20845379020723384</c:v>
                </c:pt>
                <c:pt idx="8">
                  <c:v>-0.30490117258012472</c:v>
                </c:pt>
                <c:pt idx="9">
                  <c:v>1.1182010614473754</c:v>
                </c:pt>
                <c:pt idx="10">
                  <c:v>2.4548160422218843E-2</c:v>
                </c:pt>
                <c:pt idx="11">
                  <c:v>0.33404658179523178</c:v>
                </c:pt>
                <c:pt idx="12">
                  <c:v>-0.21658320788916197</c:v>
                </c:pt>
                <c:pt idx="13">
                  <c:v>0.129194992156028</c:v>
                </c:pt>
                <c:pt idx="14">
                  <c:v>-0.60689444317053109</c:v>
                </c:pt>
                <c:pt idx="15">
                  <c:v>6.2716064490473497E-2</c:v>
                </c:pt>
                <c:pt idx="16">
                  <c:v>-0.17865050159563978</c:v>
                </c:pt>
                <c:pt idx="17">
                  <c:v>4.1244042527189363E-2</c:v>
                </c:pt>
                <c:pt idx="18">
                  <c:v>0.12847965738757294</c:v>
                </c:pt>
                <c:pt idx="19">
                  <c:v>-0.65037685387794042</c:v>
                </c:pt>
                <c:pt idx="20">
                  <c:v>-0.52753298970630369</c:v>
                </c:pt>
                <c:pt idx="21">
                  <c:v>-0.40196314585090642</c:v>
                </c:pt>
                <c:pt idx="22">
                  <c:v>-0.62238180730100856</c:v>
                </c:pt>
                <c:pt idx="23">
                  <c:v>-0.3280644199224545</c:v>
                </c:pt>
                <c:pt idx="24">
                  <c:v>-0.34180413137168669</c:v>
                </c:pt>
                <c:pt idx="25">
                  <c:v>-6.8314126173206743E-2</c:v>
                </c:pt>
                <c:pt idx="26">
                  <c:v>-0.38463814426889859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A8-42FD-BF11-83B4A3A93D9A}"/>
            </c:ext>
          </c:extLst>
        </c:ser>
        <c:ser>
          <c:idx val="1"/>
          <c:order val="1"/>
          <c:tx>
            <c:strRef>
              <c:f>'SATORI (D)'!$AJ$1</c:f>
              <c:strCache>
                <c:ptCount val="1"/>
                <c:pt idx="0">
                  <c:v>AUDNZD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(D)'!$AJ$2:$AJ$37</c:f>
              <c:numCache>
                <c:formatCode>0.00000</c:formatCode>
                <c:ptCount val="36"/>
                <c:pt idx="0">
                  <c:v>2.9189889352064357E-2</c:v>
                </c:pt>
                <c:pt idx="1">
                  <c:v>-0.42056499227903643</c:v>
                </c:pt>
                <c:pt idx="2">
                  <c:v>-5.0841610226437267E-2</c:v>
                </c:pt>
                <c:pt idx="3">
                  <c:v>-0.2779462757915046</c:v>
                </c:pt>
                <c:pt idx="4">
                  <c:v>0.41729548884485468</c:v>
                </c:pt>
                <c:pt idx="5">
                  <c:v>0.77417108722936956</c:v>
                </c:pt>
                <c:pt idx="6">
                  <c:v>-0.25313910770748627</c:v>
                </c:pt>
                <c:pt idx="7">
                  <c:v>-8.9478105255467372E-2</c:v>
                </c:pt>
                <c:pt idx="8">
                  <c:v>-8.5752339944164369E-2</c:v>
                </c:pt>
                <c:pt idx="9">
                  <c:v>0.79352673440300814</c:v>
                </c:pt>
                <c:pt idx="10">
                  <c:v>-0.64588624362791747</c:v>
                </c:pt>
                <c:pt idx="11">
                  <c:v>8.7778651500452595E-2</c:v>
                </c:pt>
                <c:pt idx="12">
                  <c:v>9.8848596899080141E-2</c:v>
                </c:pt>
                <c:pt idx="13">
                  <c:v>-1.6472052417717244E-2</c:v>
                </c:pt>
                <c:pt idx="14">
                  <c:v>-0.58859383386552189</c:v>
                </c:pt>
                <c:pt idx="15">
                  <c:v>-0.73507499751664185</c:v>
                </c:pt>
                <c:pt idx="16">
                  <c:v>-0.63796568803387677</c:v>
                </c:pt>
                <c:pt idx="17">
                  <c:v>0.24014894631276479</c:v>
                </c:pt>
                <c:pt idx="18">
                  <c:v>0.1179648806843694</c:v>
                </c:pt>
                <c:pt idx="19">
                  <c:v>7.9306429228023279E-2</c:v>
                </c:pt>
                <c:pt idx="20">
                  <c:v>-9.9034860270804423E-2</c:v>
                </c:pt>
                <c:pt idx="21">
                  <c:v>-1.8003096532601626E-2</c:v>
                </c:pt>
                <c:pt idx="22">
                  <c:v>-0.11778139413611792</c:v>
                </c:pt>
                <c:pt idx="23">
                  <c:v>0.26141905474476712</c:v>
                </c:pt>
                <c:pt idx="24">
                  <c:v>0.27388592605982698</c:v>
                </c:pt>
                <c:pt idx="25">
                  <c:v>-0.59572479850483984</c:v>
                </c:pt>
                <c:pt idx="26">
                  <c:v>1.9771548741351019E-2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A8-42FD-BF11-83B4A3A93D9A}"/>
            </c:ext>
          </c:extLst>
        </c:ser>
        <c:ser>
          <c:idx val="2"/>
          <c:order val="2"/>
          <c:tx>
            <c:strRef>
              <c:f>'SATORI (D)'!$AK$1</c:f>
              <c:strCache>
                <c:ptCount val="1"/>
                <c:pt idx="0">
                  <c:v>AUDJPY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(D)'!$AK$2:$AK$37</c:f>
              <c:numCache>
                <c:formatCode>0.00000</c:formatCode>
                <c:ptCount val="36"/>
                <c:pt idx="0">
                  <c:v>0.27856574355626451</c:v>
                </c:pt>
                <c:pt idx="1">
                  <c:v>-0.6981386347286046</c:v>
                </c:pt>
                <c:pt idx="2">
                  <c:v>0.25905156650005634</c:v>
                </c:pt>
                <c:pt idx="3">
                  <c:v>-0.24524210056951928</c:v>
                </c:pt>
                <c:pt idx="4">
                  <c:v>1.5508742320239481</c:v>
                </c:pt>
                <c:pt idx="5">
                  <c:v>-0.24433060600149836</c:v>
                </c:pt>
                <c:pt idx="6">
                  <c:v>0.48898746582762032</c:v>
                </c:pt>
                <c:pt idx="7">
                  <c:v>0.6134268869883005</c:v>
                </c:pt>
                <c:pt idx="8">
                  <c:v>-0.77040332880155382</c:v>
                </c:pt>
                <c:pt idx="9">
                  <c:v>1.5139475555183735</c:v>
                </c:pt>
                <c:pt idx="10">
                  <c:v>1.6570122761332964</c:v>
                </c:pt>
                <c:pt idx="11">
                  <c:v>0.4655682388493127</c:v>
                </c:pt>
                <c:pt idx="12">
                  <c:v>-1.786013927342901</c:v>
                </c:pt>
                <c:pt idx="13">
                  <c:v>-1.7769399548811711</c:v>
                </c:pt>
                <c:pt idx="14">
                  <c:v>-1.0357517865698931</c:v>
                </c:pt>
                <c:pt idx="15">
                  <c:v>-1.7684935759420695</c:v>
                </c:pt>
                <c:pt idx="16">
                  <c:v>-1.0081684444268311</c:v>
                </c:pt>
                <c:pt idx="17">
                  <c:v>0.21259263674474838</c:v>
                </c:pt>
                <c:pt idx="18">
                  <c:v>1.6891052710030423E-2</c:v>
                </c:pt>
                <c:pt idx="19">
                  <c:v>-0.62108734719671865</c:v>
                </c:pt>
                <c:pt idx="20">
                  <c:v>-1.6117280172539477</c:v>
                </c:pt>
                <c:pt idx="21">
                  <c:v>-1.3333461140293617</c:v>
                </c:pt>
                <c:pt idx="22">
                  <c:v>-0.90805471124620352</c:v>
                </c:pt>
                <c:pt idx="23">
                  <c:v>-0.23217247097844543</c:v>
                </c:pt>
                <c:pt idx="24">
                  <c:v>0.40819821877141094</c:v>
                </c:pt>
                <c:pt idx="25">
                  <c:v>-1.4663416463528904</c:v>
                </c:pt>
                <c:pt idx="26">
                  <c:v>-0.1787535914497782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A8-42FD-BF11-83B4A3A93D9A}"/>
            </c:ext>
          </c:extLst>
        </c:ser>
        <c:ser>
          <c:idx val="3"/>
          <c:order val="3"/>
          <c:tx>
            <c:strRef>
              <c:f>'SATORI (D)'!$AL$1</c:f>
              <c:strCache>
                <c:ptCount val="1"/>
                <c:pt idx="0">
                  <c:v>AUDCHF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(D)'!$AL$2:$AL$37</c:f>
              <c:numCache>
                <c:formatCode>0.00000</c:formatCode>
                <c:ptCount val="36"/>
                <c:pt idx="0">
                  <c:v>-0.10413593210336081</c:v>
                </c:pt>
                <c:pt idx="1">
                  <c:v>-0.80913113088987854</c:v>
                </c:pt>
                <c:pt idx="2">
                  <c:v>0.5731006302375572</c:v>
                </c:pt>
                <c:pt idx="3">
                  <c:v>0.13870587419375682</c:v>
                </c:pt>
                <c:pt idx="4">
                  <c:v>1.074251266144451</c:v>
                </c:pt>
                <c:pt idx="5">
                  <c:v>-0.52298519951885414</c:v>
                </c:pt>
                <c:pt idx="6">
                  <c:v>0.67746634606946221</c:v>
                </c:pt>
                <c:pt idx="7">
                  <c:v>0.21105580667287735</c:v>
                </c:pt>
                <c:pt idx="8">
                  <c:v>-0.48308333187474573</c:v>
                </c:pt>
                <c:pt idx="9">
                  <c:v>1.710816777041944</c:v>
                </c:pt>
                <c:pt idx="10">
                  <c:v>1.2582471067527106</c:v>
                </c:pt>
                <c:pt idx="11">
                  <c:v>0.20049491537670563</c:v>
                </c:pt>
                <c:pt idx="12">
                  <c:v>-0.85777730023997556</c:v>
                </c:pt>
                <c:pt idx="13">
                  <c:v>-1.5982660487409508</c:v>
                </c:pt>
                <c:pt idx="14">
                  <c:v>-1.1892324836328183</c:v>
                </c:pt>
                <c:pt idx="15">
                  <c:v>-0.47137113544987258</c:v>
                </c:pt>
                <c:pt idx="16">
                  <c:v>-0.56349192672881654</c:v>
                </c:pt>
                <c:pt idx="17">
                  <c:v>0.31634628682063309</c:v>
                </c:pt>
                <c:pt idx="18">
                  <c:v>0.36434296818071249</c:v>
                </c:pt>
                <c:pt idx="19">
                  <c:v>-1.0472462573822268</c:v>
                </c:pt>
                <c:pt idx="20">
                  <c:v>-1.2193260637305661</c:v>
                </c:pt>
                <c:pt idx="21">
                  <c:v>-0.20984583100641702</c:v>
                </c:pt>
                <c:pt idx="22">
                  <c:v>-0.5402948899212171</c:v>
                </c:pt>
                <c:pt idx="23">
                  <c:v>-0.19989585258101231</c:v>
                </c:pt>
                <c:pt idx="24">
                  <c:v>0.15646556075237833</c:v>
                </c:pt>
                <c:pt idx="25">
                  <c:v>-1.2362500415406603</c:v>
                </c:pt>
                <c:pt idx="26">
                  <c:v>-0.59955405070609002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A8-42FD-BF11-83B4A3A93D9A}"/>
            </c:ext>
          </c:extLst>
        </c:ser>
        <c:ser>
          <c:idx val="4"/>
          <c:order val="4"/>
          <c:tx>
            <c:strRef>
              <c:f>'SATORI (D)'!$AM$1</c:f>
              <c:strCache>
                <c:ptCount val="1"/>
                <c:pt idx="0">
                  <c:v>AUDCAD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(D)'!$AM$2:$AM$37</c:f>
              <c:numCache>
                <c:formatCode>0.00000</c:formatCode>
                <c:ptCount val="36"/>
                <c:pt idx="0">
                  <c:v>-0.26445525482385235</c:v>
                </c:pt>
                <c:pt idx="1">
                  <c:v>0.12203759193680304</c:v>
                </c:pt>
                <c:pt idx="2">
                  <c:v>0.59849389996600966</c:v>
                </c:pt>
                <c:pt idx="3">
                  <c:v>0.53557850192302292</c:v>
                </c:pt>
                <c:pt idx="4">
                  <c:v>0.3150633443144783</c:v>
                </c:pt>
                <c:pt idx="5">
                  <c:v>-0.50485607752125372</c:v>
                </c:pt>
                <c:pt idx="6">
                  <c:v>0.46077348066298418</c:v>
                </c:pt>
                <c:pt idx="7">
                  <c:v>0.3059053023585725</c:v>
                </c:pt>
                <c:pt idx="8">
                  <c:v>-0.34131200777616189</c:v>
                </c:pt>
                <c:pt idx="9">
                  <c:v>0.95115967885815411</c:v>
                </c:pt>
                <c:pt idx="10">
                  <c:v>-0.17476095595355592</c:v>
                </c:pt>
                <c:pt idx="11">
                  <c:v>3.1177276219526654E-2</c:v>
                </c:pt>
                <c:pt idx="12">
                  <c:v>-0.55585698309175113</c:v>
                </c:pt>
                <c:pt idx="13">
                  <c:v>0.12972038051311666</c:v>
                </c:pt>
                <c:pt idx="14">
                  <c:v>-0.14060960352520382</c:v>
                </c:pt>
                <c:pt idx="15">
                  <c:v>-0.24628909701361384</c:v>
                </c:pt>
                <c:pt idx="16">
                  <c:v>-0.18630185309712713</c:v>
                </c:pt>
                <c:pt idx="17">
                  <c:v>0.1634185391707654</c:v>
                </c:pt>
                <c:pt idx="18">
                  <c:v>0.20469130338569452</c:v>
                </c:pt>
                <c:pt idx="19">
                  <c:v>-0.52500082547298954</c:v>
                </c:pt>
                <c:pt idx="20">
                  <c:v>-0.360801000153534</c:v>
                </c:pt>
                <c:pt idx="21">
                  <c:v>-0.20683994528043201</c:v>
                </c:pt>
                <c:pt idx="22">
                  <c:v>-0.42825385755384227</c:v>
                </c:pt>
                <c:pt idx="23">
                  <c:v>-0.14798050139274863</c:v>
                </c:pt>
                <c:pt idx="24">
                  <c:v>-0.18138175972891141</c:v>
                </c:pt>
                <c:pt idx="25">
                  <c:v>8.6897016173794039E-3</c:v>
                </c:pt>
                <c:pt idx="26">
                  <c:v>-0.45306113622110544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A8-42FD-BF11-83B4A3A93D9A}"/>
            </c:ext>
          </c:extLst>
        </c:ser>
        <c:ser>
          <c:idx val="5"/>
          <c:order val="5"/>
          <c:tx>
            <c:strRef>
              <c:f>'SATORI (D)'!$AN$1</c:f>
              <c:strCache>
                <c:ptCount val="1"/>
                <c:pt idx="0">
                  <c:v>EURUSD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(D)'!$AN$2:$AN$37</c:f>
              <c:numCache>
                <c:formatCode>0.00000</c:formatCode>
                <c:ptCount val="36"/>
                <c:pt idx="0">
                  <c:v>-0.13117699910152891</c:v>
                </c:pt>
                <c:pt idx="1">
                  <c:v>0.40504821787804191</c:v>
                </c:pt>
                <c:pt idx="2">
                  <c:v>0.51230437226847969</c:v>
                </c:pt>
                <c:pt idx="3">
                  <c:v>0.52318798308296777</c:v>
                </c:pt>
                <c:pt idx="4">
                  <c:v>-0.37321903689509334</c:v>
                </c:pt>
                <c:pt idx="5">
                  <c:v>0.17738883632922423</c:v>
                </c:pt>
                <c:pt idx="6">
                  <c:v>0.55524556123709257</c:v>
                </c:pt>
                <c:pt idx="7">
                  <c:v>0.15115980798123138</c:v>
                </c:pt>
                <c:pt idx="8">
                  <c:v>-2.9307249880927935E-2</c:v>
                </c:pt>
                <c:pt idx="9">
                  <c:v>-4.3026502494618986E-2</c:v>
                </c:pt>
                <c:pt idx="10">
                  <c:v>-7.1354733654734839E-2</c:v>
                </c:pt>
                <c:pt idx="11">
                  <c:v>-0.18171524581782436</c:v>
                </c:pt>
                <c:pt idx="12">
                  <c:v>0.37303514962650819</c:v>
                </c:pt>
                <c:pt idx="13">
                  <c:v>1.1045935151464747</c:v>
                </c:pt>
                <c:pt idx="14">
                  <c:v>-0.31960391283865719</c:v>
                </c:pt>
                <c:pt idx="15">
                  <c:v>0.10726538009857781</c:v>
                </c:pt>
                <c:pt idx="16">
                  <c:v>-6.3763723062144631E-2</c:v>
                </c:pt>
                <c:pt idx="17">
                  <c:v>-0.31505057390791485</c:v>
                </c:pt>
                <c:pt idx="18">
                  <c:v>9.6819703270661361E-2</c:v>
                </c:pt>
                <c:pt idx="19">
                  <c:v>5.2586906782784652E-2</c:v>
                </c:pt>
                <c:pt idx="20">
                  <c:v>-0.1271537823643174</c:v>
                </c:pt>
                <c:pt idx="21">
                  <c:v>-0.34433680730913563</c:v>
                </c:pt>
                <c:pt idx="22">
                  <c:v>7.4432110563844134E-2</c:v>
                </c:pt>
                <c:pt idx="23">
                  <c:v>-0.12389981552693786</c:v>
                </c:pt>
                <c:pt idx="24">
                  <c:v>-0.39946615964020482</c:v>
                </c:pt>
                <c:pt idx="25">
                  <c:v>0.37619510762850206</c:v>
                </c:pt>
                <c:pt idx="26">
                  <c:v>3.8551916581003723E-2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EA8-42FD-BF11-83B4A3A93D9A}"/>
            </c:ext>
          </c:extLst>
        </c:ser>
        <c:ser>
          <c:idx val="6"/>
          <c:order val="6"/>
          <c:tx>
            <c:strRef>
              <c:f>'SATORI (D)'!$AO$1</c:f>
              <c:strCache>
                <c:ptCount val="1"/>
                <c:pt idx="0">
                  <c:v>EURCAD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(D)'!$AO$2:$AO$37</c:f>
              <c:numCache>
                <c:formatCode>0.00000</c:formatCode>
                <c:ptCount val="36"/>
                <c:pt idx="0">
                  <c:v>-0.26980849533936679</c:v>
                </c:pt>
                <c:pt idx="1">
                  <c:v>0.30902184989610726</c:v>
                </c:pt>
                <c:pt idx="2">
                  <c:v>0.17699115044247457</c:v>
                </c:pt>
                <c:pt idx="3">
                  <c:v>0.16267180134121662</c:v>
                </c:pt>
                <c:pt idx="4">
                  <c:v>-0.26884568522540342</c:v>
                </c:pt>
                <c:pt idx="5">
                  <c:v>0.23296717884046739</c:v>
                </c:pt>
                <c:pt idx="6">
                  <c:v>0.29222637892243131</c:v>
                </c:pt>
                <c:pt idx="7">
                  <c:v>0.24824162184525908</c:v>
                </c:pt>
                <c:pt idx="8">
                  <c:v>-6.4687798014012268E-2</c:v>
                </c:pt>
                <c:pt idx="9">
                  <c:v>-0.20962825922032982</c:v>
                </c:pt>
                <c:pt idx="10">
                  <c:v>-0.27144516343122133</c:v>
                </c:pt>
                <c:pt idx="11">
                  <c:v>-0.48149322342870854</c:v>
                </c:pt>
                <c:pt idx="12">
                  <c:v>2.8408903218144207E-2</c:v>
                </c:pt>
                <c:pt idx="13">
                  <c:v>1.1061754784409277</c:v>
                </c:pt>
                <c:pt idx="14">
                  <c:v>0.14918184129192505</c:v>
                </c:pt>
                <c:pt idx="15">
                  <c:v>-0.2009573850169884</c:v>
                </c:pt>
                <c:pt idx="16">
                  <c:v>-7.1385682834071942E-2</c:v>
                </c:pt>
                <c:pt idx="17">
                  <c:v>-0.19376618879886204</c:v>
                </c:pt>
                <c:pt idx="18">
                  <c:v>0.17409284951974394</c:v>
                </c:pt>
                <c:pt idx="19">
                  <c:v>0.17774332794312928</c:v>
                </c:pt>
                <c:pt idx="20">
                  <c:v>4.0108560503759098E-2</c:v>
                </c:pt>
                <c:pt idx="21">
                  <c:v>-0.14951474455673014</c:v>
                </c:pt>
                <c:pt idx="22">
                  <c:v>0.27173185554039669</c:v>
                </c:pt>
                <c:pt idx="23">
                  <c:v>5.6252009000318223E-2</c:v>
                </c:pt>
                <c:pt idx="24">
                  <c:v>-0.23850085178876126</c:v>
                </c:pt>
                <c:pt idx="25">
                  <c:v>0.45298973223273831</c:v>
                </c:pt>
                <c:pt idx="26">
                  <c:v>-3.0860884499793833E-2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EA8-42FD-BF11-83B4A3A93D9A}"/>
            </c:ext>
          </c:extLst>
        </c:ser>
        <c:ser>
          <c:idx val="7"/>
          <c:order val="7"/>
          <c:tx>
            <c:strRef>
              <c:f>'SATORI (D)'!$AP$1</c:f>
              <c:strCache>
                <c:ptCount val="1"/>
                <c:pt idx="0">
                  <c:v>EURGBP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(D)'!$AP$2:$AP$37</c:f>
              <c:numCache>
                <c:formatCode>0.00000</c:formatCode>
                <c:ptCount val="36"/>
                <c:pt idx="0">
                  <c:v>-0.26933030434324023</c:v>
                </c:pt>
                <c:pt idx="1">
                  <c:v>8.672925237039987E-2</c:v>
                </c:pt>
                <c:pt idx="2">
                  <c:v>0.17611214821599061</c:v>
                </c:pt>
                <c:pt idx="3">
                  <c:v>-0.2085505735140776</c:v>
                </c:pt>
                <c:pt idx="4">
                  <c:v>-0.57661393658411686</c:v>
                </c:pt>
                <c:pt idx="5">
                  <c:v>0.44932250590905365</c:v>
                </c:pt>
                <c:pt idx="6">
                  <c:v>-0.19968937208786205</c:v>
                </c:pt>
                <c:pt idx="7">
                  <c:v>8.8829669109480563E-2</c:v>
                </c:pt>
                <c:pt idx="8">
                  <c:v>-9.575076775767255E-2</c:v>
                </c:pt>
                <c:pt idx="9">
                  <c:v>-0.47300281244915721</c:v>
                </c:pt>
                <c:pt idx="10">
                  <c:v>-8.82469055525862E-2</c:v>
                </c:pt>
                <c:pt idx="11">
                  <c:v>0.48303542259766097</c:v>
                </c:pt>
                <c:pt idx="12">
                  <c:v>0.60096718155780815</c:v>
                </c:pt>
                <c:pt idx="13">
                  <c:v>0.57372211073073864</c:v>
                </c:pt>
                <c:pt idx="14">
                  <c:v>0.59255916685467913</c:v>
                </c:pt>
                <c:pt idx="15">
                  <c:v>-4.7477181279742195E-2</c:v>
                </c:pt>
                <c:pt idx="16">
                  <c:v>0.13787365543471075</c:v>
                </c:pt>
                <c:pt idx="17">
                  <c:v>-0.27380698385604668</c:v>
                </c:pt>
                <c:pt idx="18">
                  <c:v>-3.4362225250312517E-2</c:v>
                </c:pt>
                <c:pt idx="19">
                  <c:v>0.49416527744700967</c:v>
                </c:pt>
                <c:pt idx="20">
                  <c:v>-0.12368583797155712</c:v>
                </c:pt>
                <c:pt idx="21">
                  <c:v>-0.1448827874498253</c:v>
                </c:pt>
                <c:pt idx="22">
                  <c:v>-7.7132109503854046E-2</c:v>
                </c:pt>
                <c:pt idx="23">
                  <c:v>0.10691248619047196</c:v>
                </c:pt>
                <c:pt idx="24">
                  <c:v>0.10107496194823848</c:v>
                </c:pt>
                <c:pt idx="25">
                  <c:v>0.10594355232302753</c:v>
                </c:pt>
                <c:pt idx="26">
                  <c:v>-8.3319446758890782E-3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EA8-42FD-BF11-83B4A3A93D9A}"/>
            </c:ext>
          </c:extLst>
        </c:ser>
        <c:ser>
          <c:idx val="8"/>
          <c:order val="8"/>
          <c:tx>
            <c:strRef>
              <c:f>'SATORI (D)'!$AQ$1</c:f>
              <c:strCache>
                <c:ptCount val="1"/>
                <c:pt idx="0">
                  <c:v>EURCHF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(D)'!$AQ$2:$AQ$37</c:f>
              <c:numCache>
                <c:formatCode>0.00000</c:formatCode>
                <c:ptCount val="36"/>
                <c:pt idx="0">
                  <c:v>-0.13255902032572053</c:v>
                </c:pt>
                <c:pt idx="1">
                  <c:v>-0.62519602718243439</c:v>
                </c:pt>
                <c:pt idx="2">
                  <c:v>0.15392186632880342</c:v>
                </c:pt>
                <c:pt idx="3">
                  <c:v>-0.23504094935650741</c:v>
                </c:pt>
                <c:pt idx="4">
                  <c:v>0.48284838560692456</c:v>
                </c:pt>
                <c:pt idx="5">
                  <c:v>0.21564646602779172</c:v>
                </c:pt>
                <c:pt idx="6">
                  <c:v>0.50961609625611226</c:v>
                </c:pt>
                <c:pt idx="7">
                  <c:v>0.15460369566368579</c:v>
                </c:pt>
                <c:pt idx="8">
                  <c:v>-0.20501114880215809</c:v>
                </c:pt>
                <c:pt idx="9">
                  <c:v>0.54079898002549165</c:v>
                </c:pt>
                <c:pt idx="10">
                  <c:v>1.1488323607484163</c:v>
                </c:pt>
                <c:pt idx="11">
                  <c:v>-0.30641653363618765</c:v>
                </c:pt>
                <c:pt idx="12">
                  <c:v>-0.27885211222462031</c:v>
                </c:pt>
                <c:pt idx="13">
                  <c:v>-0.64012059319964543</c:v>
                </c:pt>
                <c:pt idx="14">
                  <c:v>-0.9088518382159555</c:v>
                </c:pt>
                <c:pt idx="15">
                  <c:v>-0.41274264343854999</c:v>
                </c:pt>
                <c:pt idx="16">
                  <c:v>-0.44739696312363436</c:v>
                </c:pt>
                <c:pt idx="17">
                  <c:v>-4.1697940121764962E-2</c:v>
                </c:pt>
                <c:pt idx="18">
                  <c:v>0.33260119234390462</c:v>
                </c:pt>
                <c:pt idx="19">
                  <c:v>-0.3481197365129669</c:v>
                </c:pt>
                <c:pt idx="20">
                  <c:v>-0.82282406450279899</c:v>
                </c:pt>
                <c:pt idx="21">
                  <c:v>-0.15069256652148058</c:v>
                </c:pt>
                <c:pt idx="22">
                  <c:v>0.16334463650649511</c:v>
                </c:pt>
                <c:pt idx="23">
                  <c:v>-4.1351362527321861E-3</c:v>
                </c:pt>
                <c:pt idx="24">
                  <c:v>0.10037770993945416</c:v>
                </c:pt>
                <c:pt idx="25">
                  <c:v>-0.79764300086231099</c:v>
                </c:pt>
                <c:pt idx="26">
                  <c:v>-0.17625840301689363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EA8-42FD-BF11-83B4A3A93D9A}"/>
            </c:ext>
          </c:extLst>
        </c:ser>
        <c:ser>
          <c:idx val="9"/>
          <c:order val="9"/>
          <c:tx>
            <c:strRef>
              <c:f>'SATORI (D)'!$AR$1</c:f>
              <c:strCache>
                <c:ptCount val="1"/>
                <c:pt idx="0">
                  <c:v>EURJPY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(D)'!$AR$2:$AR$37</c:f>
              <c:numCache>
                <c:formatCode>0.00000</c:formatCode>
                <c:ptCount val="36"/>
                <c:pt idx="0">
                  <c:v>0.27524013929007934</c:v>
                </c:pt>
                <c:pt idx="1">
                  <c:v>-0.5113594407660037</c:v>
                </c:pt>
                <c:pt idx="2">
                  <c:v>-0.16403010290277739</c:v>
                </c:pt>
                <c:pt idx="3">
                  <c:v>-0.61484167979387538</c:v>
                </c:pt>
                <c:pt idx="4">
                  <c:v>0.96040043396786001</c:v>
                </c:pt>
                <c:pt idx="5">
                  <c:v>0.49434415769454854</c:v>
                </c:pt>
                <c:pt idx="6">
                  <c:v>0.31880581432201049</c:v>
                </c:pt>
                <c:pt idx="7">
                  <c:v>0.56433972876696459</c:v>
                </c:pt>
                <c:pt idx="8">
                  <c:v>-0.49933774010807419</c:v>
                </c:pt>
                <c:pt idx="9">
                  <c:v>0.34381200783715898</c:v>
                </c:pt>
                <c:pt idx="10">
                  <c:v>1.5653518556073811</c:v>
                </c:pt>
                <c:pt idx="11">
                  <c:v>-5.9536627693395294E-2</c:v>
                </c:pt>
                <c:pt idx="12">
                  <c:v>-1.2218544910816527</c:v>
                </c:pt>
                <c:pt idx="13">
                  <c:v>-0.81229677067043804</c:v>
                </c:pt>
                <c:pt idx="14">
                  <c:v>-0.73731867319597322</c:v>
                </c:pt>
                <c:pt idx="15">
                  <c:v>-1.7258287125596257</c:v>
                </c:pt>
                <c:pt idx="16">
                  <c:v>-0.89211257296784607</c:v>
                </c:pt>
                <c:pt idx="17">
                  <c:v>-0.14557348765320863</c:v>
                </c:pt>
                <c:pt idx="18">
                  <c:v>-1.3177755947971692E-2</c:v>
                </c:pt>
                <c:pt idx="19">
                  <c:v>8.1528906793273667E-2</c:v>
                </c:pt>
                <c:pt idx="20">
                  <c:v>-1.2169340368455521</c:v>
                </c:pt>
                <c:pt idx="21">
                  <c:v>-1.2750806791076257</c:v>
                </c:pt>
                <c:pt idx="22">
                  <c:v>-0.19313918274700451</c:v>
                </c:pt>
                <c:pt idx="23">
                  <c:v>-4.8990161142639044E-2</c:v>
                </c:pt>
                <c:pt idx="24">
                  <c:v>0.3464601951179454</c:v>
                </c:pt>
                <c:pt idx="25">
                  <c:v>-1.0241023175528128</c:v>
                </c:pt>
                <c:pt idx="26">
                  <c:v>0.24096525455222298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EA8-42FD-BF11-83B4A3A93D9A}"/>
            </c:ext>
          </c:extLst>
        </c:ser>
        <c:ser>
          <c:idx val="10"/>
          <c:order val="10"/>
          <c:tx>
            <c:strRef>
              <c:f>'SATORI (D)'!$AS$1</c:f>
              <c:strCache>
                <c:ptCount val="1"/>
                <c:pt idx="0">
                  <c:v>EURAUD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(D)'!$AS$2:$AS$37</c:f>
              <c:numCache>
                <c:formatCode>0.00000</c:formatCode>
                <c:ptCount val="36"/>
                <c:pt idx="0">
                  <c:v>6.0621124037009829E-3</c:v>
                </c:pt>
                <c:pt idx="1">
                  <c:v>0.18706233184128684</c:v>
                </c:pt>
                <c:pt idx="2">
                  <c:v>-0.41491015320225288</c:v>
                </c:pt>
                <c:pt idx="3">
                  <c:v>-0.37719250676355165</c:v>
                </c:pt>
                <c:pt idx="4">
                  <c:v>-0.58166700612218647</c:v>
                </c:pt>
                <c:pt idx="5">
                  <c:v>0.74350339766569562</c:v>
                </c:pt>
                <c:pt idx="6">
                  <c:v>-0.17170019338864004</c:v>
                </c:pt>
                <c:pt idx="7">
                  <c:v>-5.2386285631715282E-2</c:v>
                </c:pt>
                <c:pt idx="8">
                  <c:v>0.27109433962264784</c:v>
                </c:pt>
                <c:pt idx="9">
                  <c:v>-1.1471408022823455</c:v>
                </c:pt>
                <c:pt idx="10">
                  <c:v>-9.4213052681787354E-2</c:v>
                </c:pt>
                <c:pt idx="11">
                  <c:v>-0.51136936648336107</c:v>
                </c:pt>
                <c:pt idx="12">
                  <c:v>0.58477089511716485</c:v>
                </c:pt>
                <c:pt idx="13">
                  <c:v>0.97001391759099176</c:v>
                </c:pt>
                <c:pt idx="14">
                  <c:v>0.29367155917843651</c:v>
                </c:pt>
                <c:pt idx="15">
                  <c:v>4.2316271815558179E-2</c:v>
                </c:pt>
                <c:pt idx="16">
                  <c:v>0.11680828915195896</c:v>
                </c:pt>
                <c:pt idx="17">
                  <c:v>-0.34799915563463424</c:v>
                </c:pt>
                <c:pt idx="18">
                  <c:v>-4.0995219233993109E-2</c:v>
                </c:pt>
                <c:pt idx="19">
                  <c:v>0.71098104455319966</c:v>
                </c:pt>
                <c:pt idx="20">
                  <c:v>0.4017239382356988</c:v>
                </c:pt>
                <c:pt idx="21">
                  <c:v>5.7334902927139719E-2</c:v>
                </c:pt>
                <c:pt idx="22">
                  <c:v>0.7156723019461334</c:v>
                </c:pt>
                <c:pt idx="23">
                  <c:v>0.195733261113092</c:v>
                </c:pt>
                <c:pt idx="24">
                  <c:v>-6.397244264008918E-2</c:v>
                </c:pt>
                <c:pt idx="25">
                  <c:v>0.44671819681550151</c:v>
                </c:pt>
                <c:pt idx="26">
                  <c:v>0.42503816036038411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EA8-42FD-BF11-83B4A3A93D9A}"/>
            </c:ext>
          </c:extLst>
        </c:ser>
        <c:ser>
          <c:idx val="11"/>
          <c:order val="11"/>
          <c:tx>
            <c:strRef>
              <c:f>'SATORI (D)'!$AT$1</c:f>
              <c:strCache>
                <c:ptCount val="1"/>
                <c:pt idx="0">
                  <c:v>EURNZD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(D)'!$AT$2:$AT$37</c:f>
              <c:numCache>
                <c:formatCode>0.00000</c:formatCode>
                <c:ptCount val="36"/>
                <c:pt idx="0">
                  <c:v>2.7093078547804322E-2</c:v>
                </c:pt>
                <c:pt idx="1">
                  <c:v>-0.23388974084575531</c:v>
                </c:pt>
                <c:pt idx="2">
                  <c:v>-0.46888039706592832</c:v>
                </c:pt>
                <c:pt idx="3">
                  <c:v>-0.64965880639512263</c:v>
                </c:pt>
                <c:pt idx="4">
                  <c:v>-0.17098578204214432</c:v>
                </c:pt>
                <c:pt idx="5">
                  <c:v>1.5247425131162222</c:v>
                </c:pt>
                <c:pt idx="6">
                  <c:v>-0.42114419096274974</c:v>
                </c:pt>
                <c:pt idx="7">
                  <c:v>-0.14402726623054504</c:v>
                </c:pt>
                <c:pt idx="8">
                  <c:v>0.18835918223475384</c:v>
                </c:pt>
                <c:pt idx="9">
                  <c:v>-0.36710437507202626</c:v>
                </c:pt>
                <c:pt idx="10">
                  <c:v>-0.73913090841747886</c:v>
                </c:pt>
                <c:pt idx="11">
                  <c:v>-0.42467335947542284</c:v>
                </c:pt>
                <c:pt idx="12">
                  <c:v>0.69083402507753877</c:v>
                </c:pt>
                <c:pt idx="13">
                  <c:v>0.95768435561682197</c:v>
                </c:pt>
                <c:pt idx="14">
                  <c:v>-0.30615834487611165</c:v>
                </c:pt>
                <c:pt idx="15">
                  <c:v>-0.68780296082798076</c:v>
                </c:pt>
                <c:pt idx="16">
                  <c:v>-0.52400940501854054</c:v>
                </c:pt>
                <c:pt idx="17">
                  <c:v>-0.11498679279055166</c:v>
                </c:pt>
                <c:pt idx="18">
                  <c:v>8.4684577092822205E-2</c:v>
                </c:pt>
                <c:pt idx="19">
                  <c:v>0.78124572585278174</c:v>
                </c:pt>
                <c:pt idx="20">
                  <c:v>0.30841331774803171</c:v>
                </c:pt>
                <c:pt idx="21">
                  <c:v>4.0076859730997498E-2</c:v>
                </c:pt>
                <c:pt idx="22">
                  <c:v>0.58534430393726566</c:v>
                </c:pt>
                <c:pt idx="23">
                  <c:v>0.4654620501411863</c:v>
                </c:pt>
                <c:pt idx="24">
                  <c:v>0.21237678532710788</c:v>
                </c:pt>
                <c:pt idx="25">
                  <c:v>-0.15099283339162411</c:v>
                </c:pt>
                <c:pt idx="26">
                  <c:v>0.44495742794532689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EA8-42FD-BF11-83B4A3A93D9A}"/>
            </c:ext>
          </c:extLst>
        </c:ser>
        <c:ser>
          <c:idx val="12"/>
          <c:order val="12"/>
          <c:tx>
            <c:strRef>
              <c:f>'SATORI (D)'!$AU$1</c:f>
              <c:strCache>
                <c:ptCount val="1"/>
                <c:pt idx="0">
                  <c:v>GBPUSD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(D)'!$AU$2:$AU$37</c:f>
              <c:numCache>
                <c:formatCode>0.00000</c:formatCode>
                <c:ptCount val="36"/>
                <c:pt idx="0">
                  <c:v>0.1173880018720725</c:v>
                </c:pt>
                <c:pt idx="1">
                  <c:v>0.33100602738882207</c:v>
                </c:pt>
                <c:pt idx="2">
                  <c:v>0.35303205870992377</c:v>
                </c:pt>
                <c:pt idx="3">
                  <c:v>0.7134354601541939</c:v>
                </c:pt>
                <c:pt idx="4">
                  <c:v>0.21675568203968693</c:v>
                </c:pt>
                <c:pt idx="5">
                  <c:v>-0.29075869360718459</c:v>
                </c:pt>
                <c:pt idx="6">
                  <c:v>0.76536207814995716</c:v>
                </c:pt>
                <c:pt idx="7">
                  <c:v>5.7219448341821105E-2</c:v>
                </c:pt>
                <c:pt idx="8">
                  <c:v>7.4519155344984975E-2</c:v>
                </c:pt>
                <c:pt idx="9">
                  <c:v>0.44120891242003479</c:v>
                </c:pt>
                <c:pt idx="10">
                  <c:v>5.5154155865655904E-3</c:v>
                </c:pt>
                <c:pt idx="11">
                  <c:v>-0.66138601462094115</c:v>
                </c:pt>
                <c:pt idx="12">
                  <c:v>-0.22413294910541498</c:v>
                </c:pt>
                <c:pt idx="13">
                  <c:v>0.52046535726060272</c:v>
                </c:pt>
                <c:pt idx="14">
                  <c:v>-0.90856760583100593</c:v>
                </c:pt>
                <c:pt idx="15">
                  <c:v>0.15425846863410131</c:v>
                </c:pt>
                <c:pt idx="16">
                  <c:v>-0.19827230952251768</c:v>
                </c:pt>
                <c:pt idx="17">
                  <c:v>-3.0314807617558528E-2</c:v>
                </c:pt>
                <c:pt idx="18">
                  <c:v>0.12062726176115338</c:v>
                </c:pt>
                <c:pt idx="19">
                  <c:v>-0.44163793437415549</c:v>
                </c:pt>
                <c:pt idx="20">
                  <c:v>-3.0991175262702867E-3</c:v>
                </c:pt>
                <c:pt idx="21">
                  <c:v>-0.20643904249398251</c:v>
                </c:pt>
                <c:pt idx="22">
                  <c:v>0.16573473149424814</c:v>
                </c:pt>
                <c:pt idx="23">
                  <c:v>-0.23796646836127416</c:v>
                </c:pt>
                <c:pt idx="24">
                  <c:v>-0.50045740730775556</c:v>
                </c:pt>
                <c:pt idx="25">
                  <c:v>0.27056193632930892</c:v>
                </c:pt>
                <c:pt idx="26">
                  <c:v>4.0870778935348552E-2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EA8-42FD-BF11-83B4A3A93D9A}"/>
            </c:ext>
          </c:extLst>
        </c:ser>
        <c:ser>
          <c:idx val="13"/>
          <c:order val="13"/>
          <c:tx>
            <c:strRef>
              <c:f>'SATORI (D)'!$AV$1</c:f>
              <c:strCache>
                <c:ptCount val="1"/>
                <c:pt idx="0">
                  <c:v>GBPAUD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(D)'!$AV$2:$AV$37</c:f>
              <c:numCache>
                <c:formatCode>0.00000</c:formatCode>
                <c:ptCount val="36"/>
                <c:pt idx="0">
                  <c:v>0.27074036878669322</c:v>
                </c:pt>
                <c:pt idx="1">
                  <c:v>0.11349796584695468</c:v>
                </c:pt>
                <c:pt idx="2">
                  <c:v>-0.57094860947218062</c:v>
                </c:pt>
                <c:pt idx="3">
                  <c:v>-0.18978357472020918</c:v>
                </c:pt>
                <c:pt idx="4">
                  <c:v>7.2009793331908045E-3</c:v>
                </c:pt>
                <c:pt idx="5">
                  <c:v>0.27283651986445939</c:v>
                </c:pt>
                <c:pt idx="6">
                  <c:v>3.6632304533118103E-2</c:v>
                </c:pt>
                <c:pt idx="7">
                  <c:v>-0.14528593508501003</c:v>
                </c:pt>
                <c:pt idx="8">
                  <c:v>0.37336201636173733</c:v>
                </c:pt>
                <c:pt idx="9">
                  <c:v>-0.6672591009723714</c:v>
                </c:pt>
                <c:pt idx="10">
                  <c:v>-1.7461776684419832E-2</c:v>
                </c:pt>
                <c:pt idx="11">
                  <c:v>-0.99004362904128473</c:v>
                </c:pt>
                <c:pt idx="12">
                  <c:v>-1.0168905520697687E-2</c:v>
                </c:pt>
                <c:pt idx="13">
                  <c:v>0.38638022468240141</c:v>
                </c:pt>
                <c:pt idx="14">
                  <c:v>-0.30175967106670326</c:v>
                </c:pt>
                <c:pt idx="15">
                  <c:v>8.913155307912031E-2</c:v>
                </c:pt>
                <c:pt idx="16">
                  <c:v>-1.7313989194034159E-2</c:v>
                </c:pt>
                <c:pt idx="17">
                  <c:v>-6.3613879021668082E-2</c:v>
                </c:pt>
                <c:pt idx="18">
                  <c:v>-1.8317441256990544E-2</c:v>
                </c:pt>
                <c:pt idx="19">
                  <c:v>0.21416115116717732</c:v>
                </c:pt>
                <c:pt idx="20">
                  <c:v>0.5264317970956548</c:v>
                </c:pt>
                <c:pt idx="21">
                  <c:v>0.1956796400727297</c:v>
                </c:pt>
                <c:pt idx="22">
                  <c:v>0.80820109244350746</c:v>
                </c:pt>
                <c:pt idx="23">
                  <c:v>8.1352208427459188E-2</c:v>
                </c:pt>
                <c:pt idx="24">
                  <c:v>-0.16553893268772477</c:v>
                </c:pt>
                <c:pt idx="25">
                  <c:v>0.34051035026887339</c:v>
                </c:pt>
                <c:pt idx="26">
                  <c:v>0.42798087900287496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EA8-42FD-BF11-83B4A3A93D9A}"/>
            </c:ext>
          </c:extLst>
        </c:ser>
        <c:ser>
          <c:idx val="14"/>
          <c:order val="14"/>
          <c:tx>
            <c:strRef>
              <c:f>'SATORI (D)'!$AW$1</c:f>
              <c:strCache>
                <c:ptCount val="1"/>
                <c:pt idx="0">
                  <c:v>GBPNZD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(D)'!$AW$2:$AW$37</c:f>
              <c:numCache>
                <c:formatCode>0.00000</c:formatCode>
                <c:ptCount val="36"/>
                <c:pt idx="0">
                  <c:v>0.29605635930947455</c:v>
                </c:pt>
                <c:pt idx="1">
                  <c:v>-0.30785452696785737</c:v>
                </c:pt>
                <c:pt idx="2">
                  <c:v>-0.62914263528906333</c:v>
                </c:pt>
                <c:pt idx="3">
                  <c:v>-0.45909791450347853</c:v>
                </c:pt>
                <c:pt idx="4">
                  <c:v>0.42692278916653542</c:v>
                </c:pt>
                <c:pt idx="5">
                  <c:v>1.0437190227123438</c:v>
                </c:pt>
                <c:pt idx="6">
                  <c:v>-0.21310802974082185</c:v>
                </c:pt>
                <c:pt idx="7">
                  <c:v>-0.23940773630343351</c:v>
                </c:pt>
                <c:pt idx="8">
                  <c:v>0.29483496318101399</c:v>
                </c:pt>
                <c:pt idx="9">
                  <c:v>0.12232906992122256</c:v>
                </c:pt>
                <c:pt idx="10">
                  <c:v>-0.6699444527848808</c:v>
                </c:pt>
                <c:pt idx="11">
                  <c:v>-0.90470390240727627</c:v>
                </c:pt>
                <c:pt idx="12">
                  <c:v>8.9807124078090758E-2</c:v>
                </c:pt>
                <c:pt idx="13">
                  <c:v>0.37786787235631247</c:v>
                </c:pt>
                <c:pt idx="14">
                  <c:v>-0.88744658886270311</c:v>
                </c:pt>
                <c:pt idx="15">
                  <c:v>-0.64850544790569542</c:v>
                </c:pt>
                <c:pt idx="16">
                  <c:v>-0.65658411770081304</c:v>
                </c:pt>
                <c:pt idx="17">
                  <c:v>0.16475972540045983</c:v>
                </c:pt>
                <c:pt idx="18">
                  <c:v>0.11179532292353922</c:v>
                </c:pt>
                <c:pt idx="19">
                  <c:v>0.29179169289727808</c:v>
                </c:pt>
                <c:pt idx="20">
                  <c:v>0.42501153668668135</c:v>
                </c:pt>
                <c:pt idx="21">
                  <c:v>0.1789074165676402</c:v>
                </c:pt>
                <c:pt idx="22">
                  <c:v>0.67438007297641001</c:v>
                </c:pt>
                <c:pt idx="23">
                  <c:v>0.35403024670022887</c:v>
                </c:pt>
                <c:pt idx="24">
                  <c:v>0.11877373136560633</c:v>
                </c:pt>
                <c:pt idx="25">
                  <c:v>-0.26443552110586477</c:v>
                </c:pt>
                <c:pt idx="26">
                  <c:v>0.44785278947639695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EA8-42FD-BF11-83B4A3A93D9A}"/>
            </c:ext>
          </c:extLst>
        </c:ser>
        <c:ser>
          <c:idx val="15"/>
          <c:order val="15"/>
          <c:tx>
            <c:strRef>
              <c:f>'SATORI (D)'!$AX$1</c:f>
              <c:strCache>
                <c:ptCount val="1"/>
                <c:pt idx="0">
                  <c:v>GBPCAD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(D)'!$AX$2:$AX$37</c:f>
              <c:numCache>
                <c:formatCode>0.00000</c:formatCode>
                <c:ptCount val="36"/>
                <c:pt idx="0">
                  <c:v>-1.0703200256871876E-2</c:v>
                </c:pt>
                <c:pt idx="1">
                  <c:v>0.23489421290675613</c:v>
                </c:pt>
                <c:pt idx="2">
                  <c:v>2.0331516674662747E-2</c:v>
                </c:pt>
                <c:pt idx="3">
                  <c:v>0.35081554696621858</c:v>
                </c:pt>
                <c:pt idx="4">
                  <c:v>0.32181032522174202</c:v>
                </c:pt>
                <c:pt idx="5">
                  <c:v>-0.23540089055277222</c:v>
                </c:pt>
                <c:pt idx="6">
                  <c:v>0.50166747427528535</c:v>
                </c:pt>
                <c:pt idx="7">
                  <c:v>0.15530166778004578</c:v>
                </c:pt>
                <c:pt idx="8">
                  <c:v>3.76976987268519E-2</c:v>
                </c:pt>
                <c:pt idx="9">
                  <c:v>0.27491881303801985</c:v>
                </c:pt>
                <c:pt idx="10">
                  <c:v>-0.19549671599814669</c:v>
                </c:pt>
                <c:pt idx="11">
                  <c:v>-0.96185418766064268</c:v>
                </c:pt>
                <c:pt idx="12">
                  <c:v>-0.5646219059789116</c:v>
                </c:pt>
                <c:pt idx="13">
                  <c:v>0.5251452920837717</c:v>
                </c:pt>
                <c:pt idx="14">
                  <c:v>-0.44562376059130282</c:v>
                </c:pt>
                <c:pt idx="15">
                  <c:v>-0.15468643653075057</c:v>
                </c:pt>
                <c:pt idx="16">
                  <c:v>-0.20545061607117779</c:v>
                </c:pt>
                <c:pt idx="17">
                  <c:v>9.214466712739483E-2</c:v>
                </c:pt>
                <c:pt idx="18">
                  <c:v>0.19647360835885389</c:v>
                </c:pt>
                <c:pt idx="19">
                  <c:v>-0.31650542099710932</c:v>
                </c:pt>
                <c:pt idx="20">
                  <c:v>0.16413346523968173</c:v>
                </c:pt>
                <c:pt idx="21">
                  <c:v>-1.0678776774230117E-2</c:v>
                </c:pt>
                <c:pt idx="22">
                  <c:v>0.36326919714122941</c:v>
                </c:pt>
                <c:pt idx="23">
                  <c:v>-5.8066771149263417E-2</c:v>
                </c:pt>
                <c:pt idx="24">
                  <c:v>-0.33991246551715071</c:v>
                </c:pt>
                <c:pt idx="25">
                  <c:v>0.34672890873419143</c:v>
                </c:pt>
                <c:pt idx="26">
                  <c:v>-2.8181398022790013E-2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EA8-42FD-BF11-83B4A3A93D9A}"/>
            </c:ext>
          </c:extLst>
        </c:ser>
        <c:ser>
          <c:idx val="16"/>
          <c:order val="16"/>
          <c:tx>
            <c:strRef>
              <c:f>'SATORI (D)'!$AY$1</c:f>
              <c:strCache>
                <c:ptCount val="1"/>
                <c:pt idx="0">
                  <c:v>GBPCHF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(D)'!$AY$2:$AY$37</c:f>
              <c:numCache>
                <c:formatCode>0.00000</c:formatCode>
                <c:ptCount val="36"/>
                <c:pt idx="0">
                  <c:v>0.16171053813673739</c:v>
                </c:pt>
                <c:pt idx="1">
                  <c:v>-0.6967553148780985</c:v>
                </c:pt>
                <c:pt idx="2">
                  <c:v>-6.2445360309741913E-3</c:v>
                </c:pt>
                <c:pt idx="3">
                  <c:v>-4.2801348242453047E-2</c:v>
                </c:pt>
                <c:pt idx="4">
                  <c:v>1.0779630464173025</c:v>
                </c:pt>
                <c:pt idx="5">
                  <c:v>-0.25352416570771402</c:v>
                </c:pt>
                <c:pt idx="6">
                  <c:v>0.71986743573258061</c:v>
                </c:pt>
                <c:pt idx="7">
                  <c:v>5.9798316586794083E-2</c:v>
                </c:pt>
                <c:pt idx="8">
                  <c:v>-0.10318142734309099</c:v>
                </c:pt>
                <c:pt idx="9">
                  <c:v>1.02871250914413</c:v>
                </c:pt>
                <c:pt idx="10">
                  <c:v>1.2376993788359776</c:v>
                </c:pt>
                <c:pt idx="11">
                  <c:v>-0.79530531091293799</c:v>
                </c:pt>
                <c:pt idx="12">
                  <c:v>-0.87482931269914599</c:v>
                </c:pt>
                <c:pt idx="13">
                  <c:v>-1.212252018921198</c:v>
                </c:pt>
                <c:pt idx="14">
                  <c:v>-1.4839687081941688</c:v>
                </c:pt>
                <c:pt idx="15">
                  <c:v>-0.37511694822504249</c:v>
                </c:pt>
                <c:pt idx="16">
                  <c:v>-0.58265035713658753</c:v>
                </c:pt>
                <c:pt idx="17">
                  <c:v>0.24453748988424093</c:v>
                </c:pt>
                <c:pt idx="18">
                  <c:v>0.35575250924691498</c:v>
                </c:pt>
                <c:pt idx="19">
                  <c:v>-0.83859277479669125</c:v>
                </c:pt>
                <c:pt idx="20">
                  <c:v>-0.70059541918379387</c:v>
                </c:pt>
                <c:pt idx="21">
                  <c:v>-1.2167670499485394E-2</c:v>
                </c:pt>
                <c:pt idx="22">
                  <c:v>0.24831407810131381</c:v>
                </c:pt>
                <c:pt idx="23">
                  <c:v>-0.11052993446533139</c:v>
                </c:pt>
                <c:pt idx="24">
                  <c:v>-1.7405985918478176E-3</c:v>
                </c:pt>
                <c:pt idx="25">
                  <c:v>-0.90297542043984302</c:v>
                </c:pt>
                <c:pt idx="26">
                  <c:v>-0.17476948507571705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EA8-42FD-BF11-83B4A3A93D9A}"/>
            </c:ext>
          </c:extLst>
        </c:ser>
        <c:ser>
          <c:idx val="17"/>
          <c:order val="17"/>
          <c:tx>
            <c:strRef>
              <c:f>'SATORI (D)'!$AZ$1</c:f>
              <c:strCache>
                <c:ptCount val="1"/>
                <c:pt idx="0">
                  <c:v>GBPJPY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(D)'!$AZ$2:$AZ$37</c:f>
              <c:numCache>
                <c:formatCode>0.00000</c:formatCode>
                <c:ptCount val="36"/>
                <c:pt idx="0">
                  <c:v>0.54455471692134105</c:v>
                </c:pt>
                <c:pt idx="1">
                  <c:v>-0.5859959568379246</c:v>
                </c:pt>
                <c:pt idx="2">
                  <c:v>-0.31771454891861867</c:v>
                </c:pt>
                <c:pt idx="3">
                  <c:v>-0.42840614153038076</c:v>
                </c:pt>
                <c:pt idx="4">
                  <c:v>1.5587866341323953</c:v>
                </c:pt>
                <c:pt idx="5">
                  <c:v>2.4883260448320666E-2</c:v>
                </c:pt>
                <c:pt idx="6">
                  <c:v>0.52957362670115793</c:v>
                </c:pt>
                <c:pt idx="7">
                  <c:v>0.46304960405516704</c:v>
                </c:pt>
                <c:pt idx="8">
                  <c:v>-0.39199603743137057</c:v>
                </c:pt>
                <c:pt idx="9">
                  <c:v>0.83240694495911083</c:v>
                </c:pt>
                <c:pt idx="10">
                  <c:v>1.6358277386605455</c:v>
                </c:pt>
                <c:pt idx="11">
                  <c:v>-0.5298991237118994</c:v>
                </c:pt>
                <c:pt idx="12">
                  <c:v>-1.81093169423668</c:v>
                </c:pt>
                <c:pt idx="13">
                  <c:v>-1.3883631928673519</c:v>
                </c:pt>
                <c:pt idx="14">
                  <c:v>-1.3238162426858222</c:v>
                </c:pt>
                <c:pt idx="15">
                  <c:v>-1.6785078570080618</c:v>
                </c:pt>
                <c:pt idx="16">
                  <c:v>-1.027748191597301</c:v>
                </c:pt>
                <c:pt idx="17">
                  <c:v>0.14103445486897259</c:v>
                </c:pt>
                <c:pt idx="18">
                  <c:v>9.6054194787823649E-3</c:v>
                </c:pt>
                <c:pt idx="19">
                  <c:v>-0.41233687771869887</c:v>
                </c:pt>
                <c:pt idx="20">
                  <c:v>-1.0940090926745722</c:v>
                </c:pt>
                <c:pt idx="21">
                  <c:v>-1.1386572410330069</c:v>
                </c:pt>
                <c:pt idx="22">
                  <c:v>-0.12193802794741858</c:v>
                </c:pt>
                <c:pt idx="23">
                  <c:v>-0.1428760807765373</c:v>
                </c:pt>
                <c:pt idx="24">
                  <c:v>0.25004306844191165</c:v>
                </c:pt>
                <c:pt idx="25">
                  <c:v>-1.133847538869565</c:v>
                </c:pt>
                <c:pt idx="26">
                  <c:v>0.24830964065839353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EA8-42FD-BF11-83B4A3A93D9A}"/>
            </c:ext>
          </c:extLst>
        </c:ser>
        <c:ser>
          <c:idx val="18"/>
          <c:order val="18"/>
          <c:tx>
            <c:strRef>
              <c:f>'SATORI (D)'!$BA$1</c:f>
              <c:strCache>
                <c:ptCount val="1"/>
                <c:pt idx="0">
                  <c:v>NZDJPY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(D)'!$BA$2:$BA$37</c:f>
              <c:numCache>
                <c:formatCode>0.00000</c:formatCode>
                <c:ptCount val="36"/>
                <c:pt idx="0">
                  <c:v>0.26293706293706232</c:v>
                </c:pt>
                <c:pt idx="1">
                  <c:v>-0.27337647846463348</c:v>
                </c:pt>
                <c:pt idx="2">
                  <c:v>0.29881481315681635</c:v>
                </c:pt>
                <c:pt idx="3">
                  <c:v>3.9185830403722192E-2</c:v>
                </c:pt>
                <c:pt idx="4">
                  <c:v>1.1517423358738812</c:v>
                </c:pt>
                <c:pt idx="5">
                  <c:v>-1.0333658361633178</c:v>
                </c:pt>
                <c:pt idx="6">
                  <c:v>0.74750736780297411</c:v>
                </c:pt>
                <c:pt idx="7">
                  <c:v>0.70158282543437234</c:v>
                </c:pt>
                <c:pt idx="8">
                  <c:v>-0.6798726085876311</c:v>
                </c:pt>
                <c:pt idx="9">
                  <c:v>0.74065646510041583</c:v>
                </c:pt>
                <c:pt idx="10">
                  <c:v>2.2926971195810286</c:v>
                </c:pt>
                <c:pt idx="11">
                  <c:v>0.37263743195570714</c:v>
                </c:pt>
                <c:pt idx="12">
                  <c:v>-1.9078502595363938</c:v>
                </c:pt>
                <c:pt idx="13">
                  <c:v>-1.758355566062159</c:v>
                </c:pt>
                <c:pt idx="14">
                  <c:v>-0.40808547372669968</c:v>
                </c:pt>
                <c:pt idx="15">
                  <c:v>-1.0659065196654745</c:v>
                </c:pt>
                <c:pt idx="16">
                  <c:v>-0.36909340052159656</c:v>
                </c:pt>
                <c:pt idx="17">
                  <c:v>-4.08708811540964E-2</c:v>
                </c:pt>
                <c:pt idx="18">
                  <c:v>-8.4983334437011004E-2</c:v>
                </c:pt>
                <c:pt idx="19">
                  <c:v>-0.67309800482350834</c:v>
                </c:pt>
                <c:pt idx="20">
                  <c:v>-1.5476935696246223</c:v>
                </c:pt>
                <c:pt idx="21">
                  <c:v>-1.3090761905776331</c:v>
                </c:pt>
                <c:pt idx="22">
                  <c:v>-0.79777679156365267</c:v>
                </c:pt>
                <c:pt idx="23">
                  <c:v>-0.49522127243477426</c:v>
                </c:pt>
                <c:pt idx="24">
                  <c:v>0.16956649955765407</c:v>
                </c:pt>
                <c:pt idx="25">
                  <c:v>-0.90383451270169257</c:v>
                </c:pt>
                <c:pt idx="26">
                  <c:v>-0.20518482257241644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EA8-42FD-BF11-83B4A3A93D9A}"/>
            </c:ext>
          </c:extLst>
        </c:ser>
        <c:ser>
          <c:idx val="19"/>
          <c:order val="19"/>
          <c:tx>
            <c:strRef>
              <c:f>'SATORI (D)'!$BB$1</c:f>
              <c:strCache>
                <c:ptCount val="1"/>
                <c:pt idx="0">
                  <c:v>NZDCHF</c:v>
                </c:pt>
              </c:strCache>
            </c:strRef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(D)'!$BB$2:$BB$37</c:f>
              <c:numCache>
                <c:formatCode>0.00000</c:formatCode>
                <c:ptCount val="36"/>
                <c:pt idx="0">
                  <c:v>-0.11989494918738237</c:v>
                </c:pt>
                <c:pt idx="1">
                  <c:v>-0.38672985781989211</c:v>
                </c:pt>
                <c:pt idx="2">
                  <c:v>0.61609476033340738</c:v>
                </c:pt>
                <c:pt idx="3">
                  <c:v>0.4233229896946798</c:v>
                </c:pt>
                <c:pt idx="4">
                  <c:v>0.66912204246128404</c:v>
                </c:pt>
                <c:pt idx="5">
                  <c:v>-1.30554762584451</c:v>
                </c:pt>
                <c:pt idx="6">
                  <c:v>0.93743396661351897</c:v>
                </c:pt>
                <c:pt idx="7">
                  <c:v>0.29863974413316252</c:v>
                </c:pt>
                <c:pt idx="8">
                  <c:v>-0.39342122939336294</c:v>
                </c:pt>
                <c:pt idx="9">
                  <c:v>0.918017546917684</c:v>
                </c:pt>
                <c:pt idx="10">
                  <c:v>1.912600663192795</c:v>
                </c:pt>
                <c:pt idx="11">
                  <c:v>0.10669828097213692</c:v>
                </c:pt>
                <c:pt idx="12">
                  <c:v>-0.97246952472264658</c:v>
                </c:pt>
                <c:pt idx="13">
                  <c:v>-1.584825726940104</c:v>
                </c:pt>
                <c:pt idx="14">
                  <c:v>-0.60863573725311426</c:v>
                </c:pt>
                <c:pt idx="15">
                  <c:v>0.30909823948394038</c:v>
                </c:pt>
                <c:pt idx="16">
                  <c:v>6.7240451855850397E-2</c:v>
                </c:pt>
                <c:pt idx="17">
                  <c:v>5.3821313240032857E-2</c:v>
                </c:pt>
                <c:pt idx="18">
                  <c:v>0.25630648860111643</c:v>
                </c:pt>
                <c:pt idx="19">
                  <c:v>-1.1053724914714846</c:v>
                </c:pt>
                <c:pt idx="20">
                  <c:v>-1.1473247927656443</c:v>
                </c:pt>
                <c:pt idx="21">
                  <c:v>-0.18428673511602181</c:v>
                </c:pt>
                <c:pt idx="22">
                  <c:v>-0.42878274383508042</c:v>
                </c:pt>
                <c:pt idx="23">
                  <c:v>-0.4659224332333054</c:v>
                </c:pt>
                <c:pt idx="24">
                  <c:v>-8.7516758528223312E-2</c:v>
                </c:pt>
                <c:pt idx="25">
                  <c:v>-0.66587747854395674</c:v>
                </c:pt>
                <c:pt idx="26">
                  <c:v>-0.62678062678063118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EA8-42FD-BF11-83B4A3A93D9A}"/>
            </c:ext>
          </c:extLst>
        </c:ser>
        <c:ser>
          <c:idx val="20"/>
          <c:order val="20"/>
          <c:tx>
            <c:strRef>
              <c:f>'SATORI (D)'!$BC$1</c:f>
              <c:strCache>
                <c:ptCount val="1"/>
                <c:pt idx="0">
                  <c:v>NZDUSD</c:v>
                </c:pt>
              </c:strCache>
            </c:strRef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(D)'!$BC$2:$BC$37</c:f>
              <c:numCache>
                <c:formatCode>0.00000</c:formatCode>
                <c:ptCount val="36"/>
                <c:pt idx="0">
                  <c:v>-0.16738169526780672</c:v>
                </c:pt>
                <c:pt idx="1">
                  <c:v>0.64604766032613292</c:v>
                </c:pt>
                <c:pt idx="2">
                  <c:v>0.99106390710427728</c:v>
                </c:pt>
                <c:pt idx="3">
                  <c:v>1.1697665480189179</c:v>
                </c:pt>
                <c:pt idx="4">
                  <c:v>-0.21344361253313346</c:v>
                </c:pt>
                <c:pt idx="5">
                  <c:v>-1.3180845812078448</c:v>
                </c:pt>
                <c:pt idx="6">
                  <c:v>0.98374821363289522</c:v>
                </c:pt>
                <c:pt idx="7">
                  <c:v>0.30836930975280757</c:v>
                </c:pt>
                <c:pt idx="8">
                  <c:v>-0.22949892734197799</c:v>
                </c:pt>
                <c:pt idx="9">
                  <c:v>0.30693779505230684</c:v>
                </c:pt>
                <c:pt idx="10">
                  <c:v>0.69710407847879918</c:v>
                </c:pt>
                <c:pt idx="11">
                  <c:v>0.23909749116012408</c:v>
                </c:pt>
                <c:pt idx="12">
                  <c:v>-0.30885956961091476</c:v>
                </c:pt>
                <c:pt idx="13">
                  <c:v>0.12941828999782315</c:v>
                </c:pt>
                <c:pt idx="14">
                  <c:v>-1.8484909591996789E-2</c:v>
                </c:pt>
                <c:pt idx="15">
                  <c:v>0.80805000762312207</c:v>
                </c:pt>
                <c:pt idx="16">
                  <c:v>0.46461758398856501</c:v>
                </c:pt>
                <c:pt idx="17">
                  <c:v>-0.19533572265724261</c:v>
                </c:pt>
                <c:pt idx="18">
                  <c:v>1.0192467766312023E-2</c:v>
                </c:pt>
                <c:pt idx="19">
                  <c:v>-0.73185949646717763</c:v>
                </c:pt>
                <c:pt idx="20">
                  <c:v>-0.43151213942710653</c:v>
                </c:pt>
                <c:pt idx="21">
                  <c:v>-0.37802756590392739</c:v>
                </c:pt>
                <c:pt idx="22">
                  <c:v>-0.49764492452106873</c:v>
                </c:pt>
                <c:pt idx="23">
                  <c:v>-0.60546907310294573</c:v>
                </c:pt>
                <c:pt idx="24">
                  <c:v>-0.60999671160802227</c:v>
                </c:pt>
                <c:pt idx="25">
                  <c:v>0.5339107724349893</c:v>
                </c:pt>
                <c:pt idx="26">
                  <c:v>-0.41154295685382764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EA8-42FD-BF11-83B4A3A93D9A}"/>
            </c:ext>
          </c:extLst>
        </c:ser>
        <c:ser>
          <c:idx val="21"/>
          <c:order val="21"/>
          <c:tx>
            <c:strRef>
              <c:f>'SATORI (D)'!$BD$1</c:f>
              <c:strCache>
                <c:ptCount val="1"/>
                <c:pt idx="0">
                  <c:v>NZDCAD</c:v>
                </c:pt>
              </c:strCache>
            </c:strRef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(D)'!$BD$2:$BD$37</c:f>
              <c:numCache>
                <c:formatCode>0.00000</c:formatCode>
                <c:ptCount val="36"/>
                <c:pt idx="0">
                  <c:v>-0.29233486063383723</c:v>
                </c:pt>
                <c:pt idx="1">
                  <c:v>0.54828376384207433</c:v>
                </c:pt>
                <c:pt idx="2">
                  <c:v>0.65208728309040587</c:v>
                </c:pt>
                <c:pt idx="3">
                  <c:v>0.81076145839673741</c:v>
                </c:pt>
                <c:pt idx="4">
                  <c:v>-0.10336860026754437</c:v>
                </c:pt>
                <c:pt idx="5">
                  <c:v>-1.2691056227262321</c:v>
                </c:pt>
                <c:pt idx="6">
                  <c:v>0.719537561069996</c:v>
                </c:pt>
                <c:pt idx="7">
                  <c:v>0.40310830500242711</c:v>
                </c:pt>
                <c:pt idx="8">
                  <c:v>-0.26278503699577427</c:v>
                </c:pt>
                <c:pt idx="9">
                  <c:v>0.14553039766180903</c:v>
                </c:pt>
                <c:pt idx="10">
                  <c:v>0.48991530071293932</c:v>
                </c:pt>
                <c:pt idx="11">
                  <c:v>-6.2114827174629191E-2</c:v>
                </c:pt>
                <c:pt idx="12">
                  <c:v>-0.65459121323218339</c:v>
                </c:pt>
                <c:pt idx="13">
                  <c:v>0.13570000605803717</c:v>
                </c:pt>
                <c:pt idx="14">
                  <c:v>0.46009469673917081</c:v>
                </c:pt>
                <c:pt idx="15">
                  <c:v>0.48802563663495307</c:v>
                </c:pt>
                <c:pt idx="16">
                  <c:v>0.45708107045437119</c:v>
                </c:pt>
                <c:pt idx="17">
                  <c:v>-7.6122188390132836E-2</c:v>
                </c:pt>
                <c:pt idx="18">
                  <c:v>8.9708141321045584E-2</c:v>
                </c:pt>
                <c:pt idx="19">
                  <c:v>-0.60218888943176696</c:v>
                </c:pt>
                <c:pt idx="20">
                  <c:v>-0.27043488853697162</c:v>
                </c:pt>
                <c:pt idx="21">
                  <c:v>-0.18360671684439772</c:v>
                </c:pt>
                <c:pt idx="22">
                  <c:v>-0.30427192939921593</c:v>
                </c:pt>
                <c:pt idx="23">
                  <c:v>-0.42369300966889334</c:v>
                </c:pt>
                <c:pt idx="24">
                  <c:v>-0.44583844064700545</c:v>
                </c:pt>
                <c:pt idx="25">
                  <c:v>0.60692523454879876</c:v>
                </c:pt>
                <c:pt idx="26">
                  <c:v>-0.48008085572307502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EA8-42FD-BF11-83B4A3A93D9A}"/>
            </c:ext>
          </c:extLst>
        </c:ser>
        <c:ser>
          <c:idx val="22"/>
          <c:order val="22"/>
          <c:tx>
            <c:strRef>
              <c:f>'SATORI (D)'!$BE$1</c:f>
              <c:strCache>
                <c:ptCount val="1"/>
                <c:pt idx="0">
                  <c:v>CADJPY</c:v>
                </c:pt>
              </c:strCache>
            </c:strRef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(D)'!$BE$2:$BE$37</c:f>
              <c:numCache>
                <c:formatCode>0.00000</c:formatCode>
                <c:ptCount val="36"/>
                <c:pt idx="0">
                  <c:v>0.55228932834491229</c:v>
                </c:pt>
                <c:pt idx="1">
                  <c:v>-0.81563185893381507</c:v>
                </c:pt>
                <c:pt idx="2">
                  <c:v>-0.34292917122361255</c:v>
                </c:pt>
                <c:pt idx="3">
                  <c:v>-0.77526508916007375</c:v>
                </c:pt>
                <c:pt idx="4">
                  <c:v>1.2279133850937352</c:v>
                </c:pt>
                <c:pt idx="5">
                  <c:v>0.26602447425164122</c:v>
                </c:pt>
                <c:pt idx="6">
                  <c:v>2.8944370786718923E-2</c:v>
                </c:pt>
                <c:pt idx="7">
                  <c:v>0.30813033257472183</c:v>
                </c:pt>
                <c:pt idx="8">
                  <c:v>-0.43547183886609359</c:v>
                </c:pt>
                <c:pt idx="9">
                  <c:v>0.55698291543986089</c:v>
                </c:pt>
                <c:pt idx="10">
                  <c:v>1.8411352394048752</c:v>
                </c:pt>
                <c:pt idx="11">
                  <c:v>0.42965378344682797</c:v>
                </c:pt>
                <c:pt idx="12">
                  <c:v>-1.2473126426548791</c:v>
                </c:pt>
                <c:pt idx="13">
                  <c:v>-1.8954351603222166</c:v>
                </c:pt>
                <c:pt idx="14">
                  <c:v>-0.89503586589195883</c:v>
                </c:pt>
                <c:pt idx="15">
                  <c:v>-1.5296592495874342</c:v>
                </c:pt>
                <c:pt idx="16">
                  <c:v>-0.8219424460431668</c:v>
                </c:pt>
                <c:pt idx="17">
                  <c:v>5.7587100489496799E-2</c:v>
                </c:pt>
                <c:pt idx="18">
                  <c:v>-0.19846080623580345</c:v>
                </c:pt>
                <c:pt idx="19">
                  <c:v>-9.1513471321296502E-2</c:v>
                </c:pt>
                <c:pt idx="20">
                  <c:v>-1.2562346625087415</c:v>
                </c:pt>
                <c:pt idx="21">
                  <c:v>-1.1316557033870855</c:v>
                </c:pt>
                <c:pt idx="22">
                  <c:v>-0.47856482853606808</c:v>
                </c:pt>
                <c:pt idx="23">
                  <c:v>-8.5353957636565433E-2</c:v>
                </c:pt>
                <c:pt idx="24">
                  <c:v>0.58873002523128415</c:v>
                </c:pt>
                <c:pt idx="25">
                  <c:v>-1.471743390102632</c:v>
                </c:pt>
                <c:pt idx="26">
                  <c:v>0.2752507984869843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EA8-42FD-BF11-83B4A3A93D9A}"/>
            </c:ext>
          </c:extLst>
        </c:ser>
        <c:ser>
          <c:idx val="23"/>
          <c:order val="23"/>
          <c:tx>
            <c:strRef>
              <c:f>'SATORI (D)'!$BF$1</c:f>
              <c:strCache>
                <c:ptCount val="1"/>
                <c:pt idx="0">
                  <c:v>CADCHF</c:v>
                </c:pt>
              </c:strCache>
            </c:strRef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(D)'!$BF$2:$BF$37</c:f>
              <c:numCache>
                <c:formatCode>0.00000</c:formatCode>
                <c:ptCount val="36"/>
                <c:pt idx="0">
                  <c:v>0.16587186398506035</c:v>
                </c:pt>
                <c:pt idx="1">
                  <c:v>-0.9275353158676376</c:v>
                </c:pt>
                <c:pt idx="2">
                  <c:v>-3.0013427059477685E-2</c:v>
                </c:pt>
                <c:pt idx="3">
                  <c:v>-0.39336008181888865</c:v>
                </c:pt>
                <c:pt idx="4">
                  <c:v>0.75301204819275847</c:v>
                </c:pt>
                <c:pt idx="5">
                  <c:v>-1.5850372483751624E-2</c:v>
                </c:pt>
                <c:pt idx="6">
                  <c:v>0.21762267088144843</c:v>
                </c:pt>
                <c:pt idx="7">
                  <c:v>-9.3632958801494859E-2</c:v>
                </c:pt>
                <c:pt idx="8">
                  <c:v>-0.14579107505071498</c:v>
                </c:pt>
                <c:pt idx="9">
                  <c:v>0.75199974454360985</c:v>
                </c:pt>
                <c:pt idx="10">
                  <c:v>1.4414589508122408</c:v>
                </c:pt>
                <c:pt idx="11">
                  <c:v>0.16384932351319983</c:v>
                </c:pt>
                <c:pt idx="12">
                  <c:v>-0.30889654391669141</c:v>
                </c:pt>
                <c:pt idx="13">
                  <c:v>-1.7213427427045593</c:v>
                </c:pt>
                <c:pt idx="14">
                  <c:v>-1.0505787619526781</c:v>
                </c:pt>
                <c:pt idx="15">
                  <c:v>-0.22909147967990223</c:v>
                </c:pt>
                <c:pt idx="16">
                  <c:v>-0.37517586368611355</c:v>
                </c:pt>
                <c:pt idx="17">
                  <c:v>0.16284094823537421</c:v>
                </c:pt>
                <c:pt idx="18">
                  <c:v>0.14582973985855868</c:v>
                </c:pt>
                <c:pt idx="19">
                  <c:v>-0.51945215736435657</c:v>
                </c:pt>
                <c:pt idx="20">
                  <c:v>-0.86292218235803997</c:v>
                </c:pt>
                <c:pt idx="21">
                  <c:v>-4.6391513445767536E-3</c:v>
                </c:pt>
                <c:pt idx="22">
                  <c:v>-0.10967283512002046</c:v>
                </c:pt>
                <c:pt idx="23">
                  <c:v>-5.4034860204108574E-2</c:v>
                </c:pt>
                <c:pt idx="24">
                  <c:v>0.33614226408079889</c:v>
                </c:pt>
                <c:pt idx="25">
                  <c:v>-1.2406871969036288</c:v>
                </c:pt>
                <c:pt idx="26">
                  <c:v>-0.14817304167176257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EA8-42FD-BF11-83B4A3A93D9A}"/>
            </c:ext>
          </c:extLst>
        </c:ser>
        <c:ser>
          <c:idx val="24"/>
          <c:order val="24"/>
          <c:tx>
            <c:strRef>
              <c:f>'SATORI (D)'!$BG$1</c:f>
              <c:strCache>
                <c:ptCount val="1"/>
                <c:pt idx="0">
                  <c:v>CHFJPY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(D)'!$BG$2:$BG$37</c:f>
              <c:numCache>
                <c:formatCode>0.00000</c:formatCode>
                <c:ptCount val="36"/>
                <c:pt idx="0">
                  <c:v>0.38747155700064784</c:v>
                </c:pt>
                <c:pt idx="1">
                  <c:v>0.1112497645507587</c:v>
                </c:pt>
                <c:pt idx="2">
                  <c:v>-0.31158497585363482</c:v>
                </c:pt>
                <c:pt idx="3">
                  <c:v>-0.37879895011895698</c:v>
                </c:pt>
                <c:pt idx="4">
                  <c:v>0.47162054221679112</c:v>
                </c:pt>
                <c:pt idx="5">
                  <c:v>0.27621543626138728</c:v>
                </c:pt>
                <c:pt idx="6">
                  <c:v>-0.18693456702310349</c:v>
                </c:pt>
                <c:pt idx="7">
                  <c:v>0.40785730306571905</c:v>
                </c:pt>
                <c:pt idx="8">
                  <c:v>-0.30540010944975343</c:v>
                </c:pt>
                <c:pt idx="9">
                  <c:v>-0.18149779735682672</c:v>
                </c:pt>
                <c:pt idx="10">
                  <c:v>0.40989649376308168</c:v>
                </c:pt>
                <c:pt idx="11">
                  <c:v>0.25780663319911251</c:v>
                </c:pt>
                <c:pt idx="12">
                  <c:v>-0.93721261253872989</c:v>
                </c:pt>
                <c:pt idx="13">
                  <c:v>-0.20109550282644062</c:v>
                </c:pt>
                <c:pt idx="14">
                  <c:v>0.20913148922709182</c:v>
                </c:pt>
                <c:pt idx="15">
                  <c:v>-1.332285230418879</c:v>
                </c:pt>
                <c:pt idx="16">
                  <c:v>-0.46370608168361643</c:v>
                </c:pt>
                <c:pt idx="17">
                  <c:v>-0.10402418418601546</c:v>
                </c:pt>
                <c:pt idx="18">
                  <c:v>-0.34478808705613051</c:v>
                </c:pt>
                <c:pt idx="19">
                  <c:v>0.43198407813677664</c:v>
                </c:pt>
                <c:pt idx="20">
                  <c:v>-0.39989229262033005</c:v>
                </c:pt>
                <c:pt idx="21">
                  <c:v>-1.1233218149889561</c:v>
                </c:pt>
                <c:pt idx="22">
                  <c:v>-0.35504828995421667</c:v>
                </c:pt>
                <c:pt idx="23">
                  <c:v>-4.6264690449739083E-2</c:v>
                </c:pt>
                <c:pt idx="24">
                  <c:v>0.25453784412103392</c:v>
                </c:pt>
                <c:pt idx="25">
                  <c:v>-0.23362771930815476</c:v>
                </c:pt>
                <c:pt idx="26">
                  <c:v>0.41877755488309604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EA8-42FD-BF11-83B4A3A93D9A}"/>
            </c:ext>
          </c:extLst>
        </c:ser>
        <c:ser>
          <c:idx val="25"/>
          <c:order val="25"/>
          <c:tx>
            <c:strRef>
              <c:f>'SATORI (D)'!$BH$1</c:f>
              <c:strCache>
                <c:ptCount val="1"/>
                <c:pt idx="0">
                  <c:v>USDCAD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(D)'!$BH$2:$BH$37</c:f>
              <c:numCache>
                <c:formatCode>0.00000</c:formatCode>
                <c:ptCount val="36"/>
                <c:pt idx="0">
                  <c:v>-0.12921888651498012</c:v>
                </c:pt>
                <c:pt idx="1">
                  <c:v>-9.6087549694127833E-2</c:v>
                </c:pt>
                <c:pt idx="2">
                  <c:v>-0.3333577015863658</c:v>
                </c:pt>
                <c:pt idx="3">
                  <c:v>-0.364192585038977</c:v>
                </c:pt>
                <c:pt idx="4">
                  <c:v>0.11010726343344346</c:v>
                </c:pt>
                <c:pt idx="5">
                  <c:v>5.5448954130589138E-2</c:v>
                </c:pt>
                <c:pt idx="6">
                  <c:v>-0.26196488215219049</c:v>
                </c:pt>
                <c:pt idx="7">
                  <c:v>9.4688003030021839E-2</c:v>
                </c:pt>
                <c:pt idx="8">
                  <c:v>-3.8588673860172083E-2</c:v>
                </c:pt>
                <c:pt idx="9">
                  <c:v>-0.16064899285439424</c:v>
                </c:pt>
                <c:pt idx="10">
                  <c:v>-0.20095180058618156</c:v>
                </c:pt>
                <c:pt idx="11">
                  <c:v>-0.30016129148915266</c:v>
                </c:pt>
                <c:pt idx="12">
                  <c:v>-0.34094513162068757</c:v>
                </c:pt>
                <c:pt idx="13">
                  <c:v>-4.3246983522862506E-3</c:v>
                </c:pt>
                <c:pt idx="14">
                  <c:v>0.47435238226284593</c:v>
                </c:pt>
                <c:pt idx="15">
                  <c:v>-0.30828099054219882</c:v>
                </c:pt>
                <c:pt idx="16">
                  <c:v>-7.2191741264791354E-3</c:v>
                </c:pt>
                <c:pt idx="17">
                  <c:v>0.12070573099246568</c:v>
                </c:pt>
                <c:pt idx="18">
                  <c:v>7.2331160987457038E-2</c:v>
                </c:pt>
                <c:pt idx="19">
                  <c:v>0.13109102497248459</c:v>
                </c:pt>
                <c:pt idx="20">
                  <c:v>0.16758439071103912</c:v>
                </c:pt>
                <c:pt idx="21">
                  <c:v>0.19626229365199968</c:v>
                </c:pt>
                <c:pt idx="22">
                  <c:v>0.19591848625657904</c:v>
                </c:pt>
                <c:pt idx="23">
                  <c:v>0.17729590906105636</c:v>
                </c:pt>
                <c:pt idx="24">
                  <c:v>0.1658968662301212</c:v>
                </c:pt>
                <c:pt idx="25">
                  <c:v>7.6063425194541706E-2</c:v>
                </c:pt>
                <c:pt idx="26">
                  <c:v>-6.8702401660547349E-2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EA8-42FD-BF11-83B4A3A93D9A}"/>
            </c:ext>
          </c:extLst>
        </c:ser>
        <c:ser>
          <c:idx val="26"/>
          <c:order val="26"/>
          <c:tx>
            <c:strRef>
              <c:f>'SATORI (D)'!$BI$1</c:f>
              <c:strCache>
                <c:ptCount val="1"/>
                <c:pt idx="0">
                  <c:v>USDCHF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(D)'!$BI$2:$BI$37</c:f>
              <c:numCache>
                <c:formatCode>0.00000</c:formatCode>
                <c:ptCount val="36"/>
                <c:pt idx="0">
                  <c:v>3.0443895413514513E-2</c:v>
                </c:pt>
                <c:pt idx="1">
                  <c:v>-1.0256350825143734</c:v>
                </c:pt>
                <c:pt idx="2">
                  <c:v>-0.35912654880542005</c:v>
                </c:pt>
                <c:pt idx="3">
                  <c:v>-0.75068191716138455</c:v>
                </c:pt>
                <c:pt idx="4">
                  <c:v>0.86118207354147625</c:v>
                </c:pt>
                <c:pt idx="5">
                  <c:v>3.7004058882707185E-2</c:v>
                </c:pt>
                <c:pt idx="6">
                  <c:v>-4.6233688176885002E-2</c:v>
                </c:pt>
                <c:pt idx="7">
                  <c:v>1.1558555642834261E-3</c:v>
                </c:pt>
                <c:pt idx="8">
                  <c:v>-0.17538191720126989</c:v>
                </c:pt>
                <c:pt idx="9">
                  <c:v>0.58259638372444167</c:v>
                </c:pt>
                <c:pt idx="10">
                  <c:v>1.2324212554483827</c:v>
                </c:pt>
                <c:pt idx="11">
                  <c:v>-0.13141067007708759</c:v>
                </c:pt>
                <c:pt idx="12">
                  <c:v>-0.65392236857442643</c:v>
                </c:pt>
                <c:pt idx="13">
                  <c:v>-1.7217875431019656</c:v>
                </c:pt>
                <c:pt idx="14">
                  <c:v>-0.58084575697869023</c:v>
                </c:pt>
                <c:pt idx="15">
                  <c:v>-0.52905857029569081</c:v>
                </c:pt>
                <c:pt idx="16">
                  <c:v>-0.38595224123143351</c:v>
                </c:pt>
                <c:pt idx="17">
                  <c:v>0.27498330862633313</c:v>
                </c:pt>
                <c:pt idx="18">
                  <c:v>0.23593198806728266</c:v>
                </c:pt>
                <c:pt idx="19">
                  <c:v>-0.39993221487883268</c:v>
                </c:pt>
                <c:pt idx="20">
                  <c:v>-0.69668820678514276</c:v>
                </c:pt>
                <c:pt idx="21">
                  <c:v>0.19446286658498582</c:v>
                </c:pt>
                <c:pt idx="22">
                  <c:v>8.0998076295694041E-2</c:v>
                </c:pt>
                <c:pt idx="23">
                  <c:v>0.12841163814952408</c:v>
                </c:pt>
                <c:pt idx="24">
                  <c:v>0.50150564901396222</c:v>
                </c:pt>
                <c:pt idx="25">
                  <c:v>-1.170284179906022</c:v>
                </c:pt>
                <c:pt idx="26">
                  <c:v>-0.21546671430006667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EA8-42FD-BF11-83B4A3A93D9A}"/>
            </c:ext>
          </c:extLst>
        </c:ser>
        <c:ser>
          <c:idx val="27"/>
          <c:order val="27"/>
          <c:tx>
            <c:strRef>
              <c:f>'SATORI (D)'!$BJ$1</c:f>
              <c:strCache>
                <c:ptCount val="1"/>
                <c:pt idx="0">
                  <c:v>USDJPY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'SATORI (D)'!$AH$2:$AH$37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</c:numCache>
            </c:numRef>
          </c:xVal>
          <c:yVal>
            <c:numRef>
              <c:f>'SATORI (D)'!$BJ$2:$BJ$37</c:f>
              <c:numCache>
                <c:formatCode>0.00000</c:formatCode>
                <c:ptCount val="36"/>
                <c:pt idx="0">
                  <c:v>0.41580041580042504</c:v>
                </c:pt>
                <c:pt idx="1">
                  <c:v>-0.9140393719048876</c:v>
                </c:pt>
                <c:pt idx="2">
                  <c:v>-0.67480589167875527</c:v>
                </c:pt>
                <c:pt idx="3">
                  <c:v>-1.1287286563104801</c:v>
                </c:pt>
                <c:pt idx="4">
                  <c:v>1.3366007304125842</c:v>
                </c:pt>
                <c:pt idx="5">
                  <c:v>0.31870122441196169</c:v>
                </c:pt>
                <c:pt idx="6">
                  <c:v>-0.23371152931584624</c:v>
                </c:pt>
                <c:pt idx="7">
                  <c:v>0.38739070535116393</c:v>
                </c:pt>
                <c:pt idx="8">
                  <c:v>-0.44609211089156109</c:v>
                </c:pt>
                <c:pt idx="9">
                  <c:v>0.3857872172200163</c:v>
                </c:pt>
                <c:pt idx="10">
                  <c:v>1.6306569039685679</c:v>
                </c:pt>
                <c:pt idx="11">
                  <c:v>0.13387345143793408</c:v>
                </c:pt>
                <c:pt idx="12">
                  <c:v>-1.5945174809900291</c:v>
                </c:pt>
                <c:pt idx="13">
                  <c:v>-1.8937922721489338</c:v>
                </c:pt>
                <c:pt idx="14">
                  <c:v>-0.4201120298746302</c:v>
                </c:pt>
                <c:pt idx="15">
                  <c:v>-1.8290846720871354</c:v>
                </c:pt>
                <c:pt idx="16">
                  <c:v>-0.83098536686705615</c:v>
                </c:pt>
                <c:pt idx="17">
                  <c:v>0.16973070695115247</c:v>
                </c:pt>
                <c:pt idx="18">
                  <c:v>-0.10978160605943221</c:v>
                </c:pt>
                <c:pt idx="19">
                  <c:v>2.9240336068939561E-2</c:v>
                </c:pt>
                <c:pt idx="20">
                  <c:v>-1.0912947074134822</c:v>
                </c:pt>
                <c:pt idx="21">
                  <c:v>-0.93402605340566969</c:v>
                </c:pt>
                <c:pt idx="22">
                  <c:v>-0.28759165793732316</c:v>
                </c:pt>
                <c:pt idx="23">
                  <c:v>9.5955873007792153E-2</c:v>
                </c:pt>
                <c:pt idx="24">
                  <c:v>0.75358384500630171</c:v>
                </c:pt>
                <c:pt idx="25">
                  <c:v>-1.3995858690437013</c:v>
                </c:pt>
                <c:pt idx="26">
                  <c:v>0.20242402773208748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EA8-42FD-BF11-83B4A3A93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063599"/>
        <c:axId val="190073583"/>
      </c:scatterChart>
      <c:valAx>
        <c:axId val="190063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73583"/>
        <c:crosses val="autoZero"/>
        <c:crossBetween val="midCat"/>
      </c:valAx>
      <c:valAx>
        <c:axId val="19007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063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7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>
            <a:alpha val="25000"/>
          </a:schemeClr>
        </a:solidFill>
        <a:round/>
      </a:ln>
    </cs:spPr>
    <cs:defRPr sz="900" b="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gradFill>
          <a:gsLst>
            <a:gs pos="79000">
              <a:schemeClr val="phClr"/>
            </a:gs>
            <a:gs pos="0">
              <a:schemeClr val="lt1">
                <a:alpha val="6000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504824</xdr:colOff>
      <xdr:row>39</xdr:row>
      <xdr:rowOff>78363</xdr:rowOff>
    </xdr:from>
    <xdr:to>
      <xdr:col>107</xdr:col>
      <xdr:colOff>828674</xdr:colOff>
      <xdr:row>69</xdr:row>
      <xdr:rowOff>90270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867A90-55D2-46C4-9FF3-78782CC9D7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0C91D7B-337A-44C2-BFAC-C568B4A2B3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206828</xdr:colOff>
      <xdr:row>2</xdr:row>
      <xdr:rowOff>27547</xdr:rowOff>
    </xdr:from>
    <xdr:to>
      <xdr:col>142</xdr:col>
      <xdr:colOff>263978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76B4954-37CD-42BC-97BE-F9DDA2EDAC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163654</xdr:colOff>
      <xdr:row>38</xdr:row>
      <xdr:rowOff>138544</xdr:rowOff>
    </xdr:from>
    <xdr:to>
      <xdr:col>124</xdr:col>
      <xdr:colOff>318655</xdr:colOff>
      <xdr:row>78</xdr:row>
      <xdr:rowOff>110835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A9DA272-086F-4FD3-8246-AFCFCE0E89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9A3E9E-64C3-4F59-B2F9-25ECC31CB9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129</xdr:col>
      <xdr:colOff>167269</xdr:colOff>
      <xdr:row>33</xdr:row>
      <xdr:rowOff>167268</xdr:rowOff>
    </xdr:from>
    <xdr:to>
      <xdr:col>142</xdr:col>
      <xdr:colOff>222110</xdr:colOff>
      <xdr:row>65</xdr:row>
      <xdr:rowOff>152400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7189235-A589-4012-B0CE-F91A769810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143</xdr:col>
      <xdr:colOff>30480</xdr:colOff>
      <xdr:row>33</xdr:row>
      <xdr:rowOff>152400</xdr:rowOff>
    </xdr:from>
    <xdr:to>
      <xdr:col>152</xdr:col>
      <xdr:colOff>2282190</xdr:colOff>
      <xdr:row>65</xdr:row>
      <xdr:rowOff>58996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A45E398-4737-4DEF-B719-9F51707E7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121</xdr:col>
      <xdr:colOff>443345</xdr:colOff>
      <xdr:row>108</xdr:row>
      <xdr:rowOff>103214</xdr:rowOff>
    </xdr:from>
    <xdr:to>
      <xdr:col>135</xdr:col>
      <xdr:colOff>484909</xdr:colOff>
      <xdr:row>134</xdr:row>
      <xdr:rowOff>41562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6F41B4A-328E-9CE3-79FD-6DF2DEF91E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121</xdr:col>
      <xdr:colOff>477288</xdr:colOff>
      <xdr:row>79</xdr:row>
      <xdr:rowOff>13854</xdr:rowOff>
    </xdr:from>
    <xdr:to>
      <xdr:col>135</xdr:col>
      <xdr:colOff>554181</xdr:colOff>
      <xdr:row>106</xdr:row>
      <xdr:rowOff>96983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F21DF0C-B1F8-4853-8AF3-4F18646ED9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110</xdr:col>
      <xdr:colOff>845128</xdr:colOff>
      <xdr:row>79</xdr:row>
      <xdr:rowOff>13855</xdr:rowOff>
    </xdr:from>
    <xdr:to>
      <xdr:col>121</xdr:col>
      <xdr:colOff>360218</xdr:colOff>
      <xdr:row>104</xdr:row>
      <xdr:rowOff>83127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F5DB11E-1A72-4885-91FB-66BFD22D79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200024</xdr:colOff>
      <xdr:row>37</xdr:row>
      <xdr:rowOff>147636</xdr:rowOff>
    </xdr:from>
    <xdr:to>
      <xdr:col>107</xdr:col>
      <xdr:colOff>523874</xdr:colOff>
      <xdr:row>67</xdr:row>
      <xdr:rowOff>159543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710733-350F-49E8-A7F3-B3E072DC25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17543C3-E622-4BDE-B78B-E4CD44A6D0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206828</xdr:colOff>
      <xdr:row>2</xdr:row>
      <xdr:rowOff>27547</xdr:rowOff>
    </xdr:from>
    <xdr:to>
      <xdr:col>142</xdr:col>
      <xdr:colOff>263978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5279F8B-F28A-45F1-9ECD-4F20F22493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828674</xdr:colOff>
      <xdr:row>37</xdr:row>
      <xdr:rowOff>150158</xdr:rowOff>
    </xdr:from>
    <xdr:to>
      <xdr:col>123</xdr:col>
      <xdr:colOff>19050</xdr:colOff>
      <xdr:row>68</xdr:row>
      <xdr:rowOff>31376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F0D61DD-B01D-4B70-9B2C-F64BFE6447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01896B6-E241-469B-BA75-C8E40E3430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96</xdr:col>
      <xdr:colOff>61478</xdr:colOff>
      <xdr:row>38</xdr:row>
      <xdr:rowOff>22945</xdr:rowOff>
    </xdr:from>
    <xdr:to>
      <xdr:col>107</xdr:col>
      <xdr:colOff>568036</xdr:colOff>
      <xdr:row>71</xdr:row>
      <xdr:rowOff>138545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E5296EA-F74C-43CF-B9D9-C42A90CEB7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70</xdr:col>
      <xdr:colOff>269331</xdr:colOff>
      <xdr:row>38</xdr:row>
      <xdr:rowOff>0</xdr:rowOff>
    </xdr:from>
    <xdr:to>
      <xdr:col>81</xdr:col>
      <xdr:colOff>89646</xdr:colOff>
      <xdr:row>63</xdr:row>
      <xdr:rowOff>145676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746802A-774B-4F5F-B99C-D5D9A5087C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129</xdr:col>
      <xdr:colOff>109846</xdr:colOff>
      <xdr:row>2</xdr:row>
      <xdr:rowOff>27547</xdr:rowOff>
    </xdr:from>
    <xdr:to>
      <xdr:col>142</xdr:col>
      <xdr:colOff>166996</xdr:colOff>
      <xdr:row>33</xdr:row>
      <xdr:rowOff>117023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DF47751-F271-4BF6-8E74-425B9C1CC6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110</xdr:col>
      <xdr:colOff>828674</xdr:colOff>
      <xdr:row>37</xdr:row>
      <xdr:rowOff>150158</xdr:rowOff>
    </xdr:from>
    <xdr:to>
      <xdr:col>123</xdr:col>
      <xdr:colOff>19050</xdr:colOff>
      <xdr:row>68</xdr:row>
      <xdr:rowOff>31376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98EDB19-C21A-441A-9B87-202A2D881E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938893</xdr:colOff>
      <xdr:row>38</xdr:row>
      <xdr:rowOff>156082</xdr:rowOff>
    </xdr:from>
    <xdr:to>
      <xdr:col>54</xdr:col>
      <xdr:colOff>1104900</xdr:colOff>
      <xdr:row>78</xdr:row>
      <xdr:rowOff>144876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3AA07C3-E8B8-4228-A4CC-33F6622EFE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aya\OneDrive\Desktop\RT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"/>
      <sheetName val="SATORI"/>
      <sheetName val="Data"/>
      <sheetName val="PreviousPriceData"/>
      <sheetName val="Position sizing"/>
      <sheetName val="ProbScalping(Day)"/>
      <sheetName val="ProbScalping(Week)"/>
      <sheetName val="IdentifyTrend"/>
      <sheetName val="ProbManual"/>
      <sheetName val="ProbAuto"/>
      <sheetName val="RTD"/>
    </sheetNames>
    <sheetDataSet>
      <sheetData sheetId="0"/>
      <sheetData sheetId="1">
        <row r="1">
          <cell r="AH1" t="str">
            <v>AUDUSD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B9F06B-43F0-4B2E-86C8-2472C1C3F880}" name="Table124" displayName="Table124" ref="C1:AD37" headerRowDxfId="210" dataDxfId="208" totalsRowDxfId="206" headerRowBorderDxfId="209" tableBorderDxfId="207" totalsRowBorderDxfId="205">
  <tableColumns count="28">
    <tableColumn id="1" xr3:uid="{18E4C186-070D-40F2-B013-8BB8B05B7ECC}" name="AUDUSD" totalsRowLabel="Total" dataDxfId="204" totalsRowDxfId="203">
      <calculatedColumnFormula>RTD("fxbluelabs.excelrtd", , "2000072004","@bh,AUDUSD,h1,close,1")</calculatedColumnFormula>
    </tableColumn>
    <tableColumn id="2" xr3:uid="{F350DE49-A415-414E-B323-88BDA9F6518E}" name="AUDNZD" dataDxfId="202" totalsRowDxfId="201">
      <calculatedColumnFormula>RTD("fxbluelabs.excelrtd", , "2000072004","@bh,AUDNZD,h1,close,1")</calculatedColumnFormula>
    </tableColumn>
    <tableColumn id="3" xr3:uid="{10736815-72AB-4629-9E66-914976F8DAAC}" name="AUDJPY" dataDxfId="200" totalsRowDxfId="199">
      <calculatedColumnFormula>RTD("fxbluelabs.excelrtd", , "2000072004","@bh,AUDJPY,h1,close,1")</calculatedColumnFormula>
    </tableColumn>
    <tableColumn id="4" xr3:uid="{AAD5D3D0-B1E8-4570-B687-AA877E60643E}" name="AUDCHF" dataDxfId="198" totalsRowDxfId="197">
      <calculatedColumnFormula>RTD("fxbluelabs.excelrtd", , "2000072004","@bh,AUDCHF,h1,close,1")</calculatedColumnFormula>
    </tableColumn>
    <tableColumn id="5" xr3:uid="{76F0531E-436E-4C68-9059-71CDF7D21787}" name="AUDCAD" dataDxfId="196" totalsRowDxfId="195">
      <calculatedColumnFormula>RTD("fxbluelabs.excelrtd", , "2000072004","@bh,AUDCAD,h1,close,1")</calculatedColumnFormula>
    </tableColumn>
    <tableColumn id="6" xr3:uid="{279D3BDB-B2B1-4323-BB58-BA230BC6DEFC}" name="EURUSD" dataDxfId="194" totalsRowDxfId="193">
      <calculatedColumnFormula>RTD("fxbluelabs.excelrtd", , "2000072004","@bh,EURUSD,h1,close,1")</calculatedColumnFormula>
    </tableColumn>
    <tableColumn id="7" xr3:uid="{0757C1F0-6515-411E-8117-1068D37B7303}" name="EURCAD" dataDxfId="192" totalsRowDxfId="191">
      <calculatedColumnFormula>RTD("fxbluelabs.excelrtd", , "2000072004","@bh,EURCAD,h1,close,1")</calculatedColumnFormula>
    </tableColumn>
    <tableColumn id="8" xr3:uid="{129DFCF4-5951-4C36-B20E-CD70562FCDC6}" name="EURGBP" dataDxfId="190" totalsRowDxfId="189">
      <calculatedColumnFormula>RTD("fxbluelabs.excelrtd", , "2000072004","@bh,EURGBP,h1,close,1")</calculatedColumnFormula>
    </tableColumn>
    <tableColumn id="9" xr3:uid="{DDFD7643-0C34-4B6A-B250-B9C484C0251B}" name="EURCHF" dataDxfId="188" totalsRowDxfId="187">
      <calculatedColumnFormula>RTD("fxbluelabs.excelrtd", , "2000072004","@bh,EURCHF,h1,close,1")</calculatedColumnFormula>
    </tableColumn>
    <tableColumn id="10" xr3:uid="{B03BB671-E70C-46FF-8C0C-61039182B22D}" name="EURJPY" dataDxfId="186" totalsRowDxfId="185">
      <calculatedColumnFormula>RTD("fxbluelabs.excelrtd", , "2000072004","@bh,EURJPY,h1,close,1")</calculatedColumnFormula>
    </tableColumn>
    <tableColumn id="11" xr3:uid="{2D0C1E34-18C3-4458-BC34-A6A3794B468D}" name="EURAUD" dataDxfId="184" totalsRowDxfId="183">
      <calculatedColumnFormula>RTD("fxbluelabs.excelrtd", , "2000072004","@bh,EURAUD,h1,close,1")</calculatedColumnFormula>
    </tableColumn>
    <tableColumn id="12" xr3:uid="{F568802C-939C-4FB6-8F7B-7FF4B5ED16CC}" name="EURNZD" dataDxfId="182" totalsRowDxfId="181">
      <calculatedColumnFormula>RTD("fxbluelabs.excelrtd", , "2000072004","@bh,EURNZD,h1,close,1")</calculatedColumnFormula>
    </tableColumn>
    <tableColumn id="13" xr3:uid="{175CE806-EF82-46C4-8111-DBE497D242AC}" name="GBPUSD" dataDxfId="180" totalsRowDxfId="179">
      <calculatedColumnFormula>RTD("fxbluelabs.excelrtd", , "2000072004","@bh,GBPUSD,h1,close,1")</calculatedColumnFormula>
    </tableColumn>
    <tableColumn id="14" xr3:uid="{96C03226-9486-43B2-8515-DD0CC935B7FB}" name="GBPAUD" dataDxfId="178" totalsRowDxfId="177">
      <calculatedColumnFormula>RTD("fxbluelabs.excelrtd", , "2000072004","@bh,GBPAUD,h1,close,1")</calculatedColumnFormula>
    </tableColumn>
    <tableColumn id="15" xr3:uid="{25FFFFB9-D46C-4E1E-BE60-32EDE8CA03B4}" name="GBPNZD" dataDxfId="176" totalsRowDxfId="175">
      <calculatedColumnFormula>RTD("fxbluelabs.excelrtd", , "2000072004","@bh,GBPNZD,h1,close,1")</calculatedColumnFormula>
    </tableColumn>
    <tableColumn id="16" xr3:uid="{87096E31-0191-423A-8BC7-B5EC1C98C2B5}" name="GBPCAD" dataDxfId="174" totalsRowDxfId="173">
      <calculatedColumnFormula>RTD("fxbluelabs.excelrtd", , "2000072004","@bh,GBPCAD,h1,close,1")</calculatedColumnFormula>
    </tableColumn>
    <tableColumn id="17" xr3:uid="{167AED93-E66B-4216-8247-D135A758F972}" name="GBPCHF" dataDxfId="172" totalsRowDxfId="171">
      <calculatedColumnFormula>RTD("fxbluelabs.excelrtd", , "2000072004","@bh,GBPCHF,h1,close,1")</calculatedColumnFormula>
    </tableColumn>
    <tableColumn id="18" xr3:uid="{D88582C5-6263-4CC4-8C34-7FB89D83768B}" name="GBPJPY" dataDxfId="170" totalsRowDxfId="169">
      <calculatedColumnFormula>RTD("fxbluelabs.excelrtd", , "2000072004","@bh,GBPJPY,h1,close,1")</calculatedColumnFormula>
    </tableColumn>
    <tableColumn id="19" xr3:uid="{12007F3D-F588-45E1-B64A-7E95A7F46117}" name="NZDJPY" dataDxfId="168" totalsRowDxfId="167">
      <calculatedColumnFormula>RTD("fxbluelabs.excelrtd", , "2000072004","@bh,NZDJPY,h1,close,1")</calculatedColumnFormula>
    </tableColumn>
    <tableColumn id="20" xr3:uid="{3481813E-9FEF-4425-BAFE-FE1B6FFD39DA}" name="NZDCHF" dataDxfId="166" totalsRowDxfId="165">
      <calculatedColumnFormula>RTD("fxbluelabs.excelrtd", , "2000072004","@bh,NZDCHF,h1,close,1")</calculatedColumnFormula>
    </tableColumn>
    <tableColumn id="21" xr3:uid="{7D7EE9CA-164F-4873-A4CB-7EA91C554507}" name="NZDUSD" dataDxfId="164" totalsRowDxfId="163">
      <calculatedColumnFormula>RTD("fxbluelabs.excelrtd", , "2000072004","@bh,NZDUSD,h1,close,1")</calculatedColumnFormula>
    </tableColumn>
    <tableColumn id="22" xr3:uid="{9C17CC30-87FC-4F48-BBD4-9CDD07C753E7}" name="NZDCAD" dataDxfId="162" totalsRowDxfId="161">
      <calculatedColumnFormula>RTD("fxbluelabs.excelrtd", , "2000072004","@bh,NZDCAD,h1,close,1")</calculatedColumnFormula>
    </tableColumn>
    <tableColumn id="23" xr3:uid="{818C894F-D2E5-44ED-BD41-0424AE30111C}" name="CADJPY" dataDxfId="160" totalsRowDxfId="159">
      <calculatedColumnFormula>RTD("fxbluelabs.excelrtd", , "2000072004","@bh,CADJPY,h1,close,1")</calculatedColumnFormula>
    </tableColumn>
    <tableColumn id="24" xr3:uid="{00515F5B-FDFF-4524-95CD-836B126F5C1F}" name="CADCHF" dataDxfId="158" totalsRowDxfId="157">
      <calculatedColumnFormula>RTD("fxbluelabs.excelrtd", , "2000072004","@bh,CADCHF,h1,close,1")</calculatedColumnFormula>
    </tableColumn>
    <tableColumn id="25" xr3:uid="{483A6DF0-45E6-40B6-8153-B0BE74BE8093}" name="CHFJPY" dataDxfId="156" totalsRowDxfId="155">
      <calculatedColumnFormula>RTD("fxbluelabs.excelrtd", , "2000072004","@bh,CHFJPY,h1,close,1")</calculatedColumnFormula>
    </tableColumn>
    <tableColumn id="26" xr3:uid="{E631BE92-21E5-41E0-8792-E3C647A28211}" name="USDCAD" dataDxfId="154" totalsRowDxfId="153">
      <calculatedColumnFormula>RTD("fxbluelabs.excelrtd", , "2000072004","@bh,USDCAD,h1,close,1")</calculatedColumnFormula>
    </tableColumn>
    <tableColumn id="27" xr3:uid="{1D5F5A85-CBF7-4B1A-ADB8-628770A8692E}" name="USDCHF" dataDxfId="152" totalsRowDxfId="151">
      <calculatedColumnFormula>RTD("fxbluelabs.excelrtd", , "2000072004","@bh,USDCHF,h1,close,1")</calculatedColumnFormula>
    </tableColumn>
    <tableColumn id="28" xr3:uid="{C47A2A97-1500-454C-8EFB-306EC9708080}" name="USDJPY" totalsRowFunction="sum" dataDxfId="150" totalsRowDxfId="149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1E5FD7-31E7-4AD0-8370-E6631440E7A3}" name="Table12" displayName="Table12" ref="C1:AD37" headerRowDxfId="148" dataDxfId="146" totalsRowDxfId="144" headerRowBorderDxfId="147" tableBorderDxfId="145" totalsRowBorderDxfId="143">
  <autoFilter ref="C1:AD37" xr:uid="{D18A96FC-AEB6-4D48-9267-B437337CEAF9}"/>
  <tableColumns count="28">
    <tableColumn id="1" xr3:uid="{EB4FA872-710D-4B10-8B8B-3BCC635920C3}" name="AUDUSD" totalsRowLabel="Total" dataDxfId="142" totalsRowDxfId="141">
      <calculatedColumnFormula>RTD("fxbluelabs.excelrtd", , "2000072004","@bh,AUDUSD,h1,close,1")</calculatedColumnFormula>
    </tableColumn>
    <tableColumn id="2" xr3:uid="{D74B0953-1351-487C-8667-2CB6AEAC36FC}" name="AUDNZD" dataDxfId="140" totalsRowDxfId="139">
      <calculatedColumnFormula>RTD("fxbluelabs.excelrtd", , "2000072004","@bh,AUDNZD,h1,close,1")</calculatedColumnFormula>
    </tableColumn>
    <tableColumn id="3" xr3:uid="{9BED96C9-A47A-4E4A-B362-34EF5B909E4F}" name="AUDJPY" dataDxfId="138" totalsRowDxfId="137">
      <calculatedColumnFormula>RTD("fxbluelabs.excelrtd", , "2000072004","@bh,AUDJPY,h1,close,1")</calculatedColumnFormula>
    </tableColumn>
    <tableColumn id="4" xr3:uid="{4EEBFD83-8250-4024-8BF3-CDCE81C1487D}" name="AUDCHF" dataDxfId="136" totalsRowDxfId="135">
      <calculatedColumnFormula>RTD("fxbluelabs.excelrtd", , "2000072004","@bh,AUDCHF,h1,close,1")</calculatedColumnFormula>
    </tableColumn>
    <tableColumn id="5" xr3:uid="{F28166C8-5CF7-444C-97AD-480A6C3B3459}" name="AUDCAD" dataDxfId="134" totalsRowDxfId="133">
      <calculatedColumnFormula>RTD("fxbluelabs.excelrtd", , "2000072004","@bh,AUDCAD,h1,close,1")</calculatedColumnFormula>
    </tableColumn>
    <tableColumn id="6" xr3:uid="{3D700969-4B46-480D-AA7F-A20A94DEB529}" name="EURUSD" dataDxfId="132" totalsRowDxfId="131">
      <calculatedColumnFormula>RTD("fxbluelabs.excelrtd", , "2000072004","@bh,EURUSD,h1,close,1")</calculatedColumnFormula>
    </tableColumn>
    <tableColumn id="7" xr3:uid="{1082A056-E306-4C2F-AEDE-AE4D9CA042C8}" name="EURCAD" dataDxfId="130" totalsRowDxfId="129">
      <calculatedColumnFormula>RTD("fxbluelabs.excelrtd", , "2000072004","@bh,EURCAD,h1,close,1")</calculatedColumnFormula>
    </tableColumn>
    <tableColumn id="8" xr3:uid="{44A8FB4C-529B-4600-BC18-3B69D6C75386}" name="EURGBP" dataDxfId="128" totalsRowDxfId="127">
      <calculatedColumnFormula>RTD("fxbluelabs.excelrtd", , "2000072004","@bh,EURGBP,h1,close,1")</calculatedColumnFormula>
    </tableColumn>
    <tableColumn id="9" xr3:uid="{FADC918C-267D-43C4-B422-4547FF0FA982}" name="EURCHF" dataDxfId="126" totalsRowDxfId="125">
      <calculatedColumnFormula>RTD("fxbluelabs.excelrtd", , "2000072004","@bh,EURCHF,h1,close,1")</calculatedColumnFormula>
    </tableColumn>
    <tableColumn id="10" xr3:uid="{4FA74C95-BE2D-4C6F-A793-67C37A692A44}" name="EURJPY" dataDxfId="124" totalsRowDxfId="123">
      <calculatedColumnFormula>RTD("fxbluelabs.excelrtd", , "2000072004","@bh,EURJPY,h1,close,1")</calculatedColumnFormula>
    </tableColumn>
    <tableColumn id="11" xr3:uid="{935ABB75-0BD8-47EA-8778-8715A80CA610}" name="EURAUD" dataDxfId="122" totalsRowDxfId="121">
      <calculatedColumnFormula>RTD("fxbluelabs.excelrtd", , "2000072004","@bh,EURAUD,h1,close,1")</calculatedColumnFormula>
    </tableColumn>
    <tableColumn id="12" xr3:uid="{925DB239-8DB1-4F4A-983C-15CCE7F827A2}" name="EURNZD" dataDxfId="120" totalsRowDxfId="119">
      <calculatedColumnFormula>RTD("fxbluelabs.excelrtd", , "2000072004","@bh,EURNZD,h1,close,1")</calculatedColumnFormula>
    </tableColumn>
    <tableColumn id="13" xr3:uid="{DDC0A9B8-B9A8-4DA8-8562-FB68EE9349FE}" name="GBPUSD" dataDxfId="118" totalsRowDxfId="117">
      <calculatedColumnFormula>RTD("fxbluelabs.excelrtd", , "2000072004","@bh,GBPUSD,h1,close,1")</calculatedColumnFormula>
    </tableColumn>
    <tableColumn id="14" xr3:uid="{3E799141-A000-4784-B163-574D795605FD}" name="GBPAUD" dataDxfId="116" totalsRowDxfId="115">
      <calculatedColumnFormula>RTD("fxbluelabs.excelrtd", , "2000072004","@bh,GBPAUD,h1,close,1")</calculatedColumnFormula>
    </tableColumn>
    <tableColumn id="15" xr3:uid="{3ECE5E39-A072-4668-87C4-7B213E249ADB}" name="GBPNZD" dataDxfId="114" totalsRowDxfId="113">
      <calculatedColumnFormula>RTD("fxbluelabs.excelrtd", , "2000072004","@bh,GBPNZD,h1,close,1")</calculatedColumnFormula>
    </tableColumn>
    <tableColumn id="16" xr3:uid="{E6FF7D47-126E-478D-9129-A4BA550D9BE1}" name="GBPCAD" dataDxfId="112" totalsRowDxfId="111">
      <calculatedColumnFormula>RTD("fxbluelabs.excelrtd", , "2000072004","@bh,GBPCAD,h1,close,1")</calculatedColumnFormula>
    </tableColumn>
    <tableColumn id="17" xr3:uid="{DB3B0D34-F6A9-41B4-A2CB-80C753DA7A9E}" name="GBPCHF" dataDxfId="110" totalsRowDxfId="109">
      <calculatedColumnFormula>RTD("fxbluelabs.excelrtd", , "2000072004","@bh,GBPCHF,h1,close,1")</calculatedColumnFormula>
    </tableColumn>
    <tableColumn id="18" xr3:uid="{B275E7F8-A96E-4C2F-ADB7-D919F42AA89E}" name="GBPJPY" dataDxfId="108" totalsRowDxfId="107">
      <calculatedColumnFormula>RTD("fxbluelabs.excelrtd", , "2000072004","@bh,GBPJPY,h1,close,1")</calculatedColumnFormula>
    </tableColumn>
    <tableColumn id="19" xr3:uid="{B46ED6D6-8BD8-4BD2-9A63-14AA78319073}" name="NZDJPY" dataDxfId="106" totalsRowDxfId="105">
      <calculatedColumnFormula>RTD("fxbluelabs.excelrtd", , "2000072004","@bh,NZDJPY,h1,close,1")</calculatedColumnFormula>
    </tableColumn>
    <tableColumn id="20" xr3:uid="{E9DCA58A-3F1B-468C-8858-640FE189D75F}" name="NZDCHF" dataDxfId="104" totalsRowDxfId="103">
      <calculatedColumnFormula>RTD("fxbluelabs.excelrtd", , "2000072004","@bh,NZDCHF,h1,close,1")</calculatedColumnFormula>
    </tableColumn>
    <tableColumn id="21" xr3:uid="{40D1DB06-7D91-4BDF-9FFC-F36A2BAE57BD}" name="NZDUSD" dataDxfId="102" totalsRowDxfId="101">
      <calculatedColumnFormula>RTD("fxbluelabs.excelrtd", , "2000072004","@bh,NZDUSD,h1,close,1")</calculatedColumnFormula>
    </tableColumn>
    <tableColumn id="22" xr3:uid="{81E6A963-80FB-4E9D-A05D-AA6A1DC11042}" name="NZDCAD" dataDxfId="100" totalsRowDxfId="99">
      <calculatedColumnFormula>RTD("fxbluelabs.excelrtd", , "2000072004","@bh,NZDCAD,h1,close,1")</calculatedColumnFormula>
    </tableColumn>
    <tableColumn id="23" xr3:uid="{4CC03A84-AD0D-4014-9DD1-1DF22EAC77B3}" name="CADJPY" dataDxfId="98" totalsRowDxfId="97">
      <calculatedColumnFormula>RTD("fxbluelabs.excelrtd", , "2000072004","@bh,CADJPY,h1,close,1")</calculatedColumnFormula>
    </tableColumn>
    <tableColumn id="24" xr3:uid="{793D1379-AE8C-41BF-AB3A-6B3384E8C5A2}" name="CADCHF" dataDxfId="96" totalsRowDxfId="95">
      <calculatedColumnFormula>RTD("fxbluelabs.excelrtd", , "2000072004","@bh,CADCHF,h1,close,1")</calculatedColumnFormula>
    </tableColumn>
    <tableColumn id="25" xr3:uid="{062FCB5D-3619-4B3C-8E75-C5E2BAEDA3F6}" name="CHFJPY" dataDxfId="94" totalsRowDxfId="93">
      <calculatedColumnFormula>RTD("fxbluelabs.excelrtd", , "2000072004","@bh,CHFJPY,h1,close,1")</calculatedColumnFormula>
    </tableColumn>
    <tableColumn id="26" xr3:uid="{E663EE24-5D02-447E-9718-5693A87EA595}" name="USDCAD" dataDxfId="92" totalsRowDxfId="91">
      <calculatedColumnFormula>RTD("fxbluelabs.excelrtd", , "2000072004","@bh,USDCAD,h1,close,1")</calculatedColumnFormula>
    </tableColumn>
    <tableColumn id="27" xr3:uid="{D23DF339-8F56-41FE-8D0F-66D934499E20}" name="USDCHF" dataDxfId="90" totalsRowDxfId="89">
      <calculatedColumnFormula>RTD("fxbluelabs.excelrtd", , "2000072004","@bh,USDCHF,h1,close,1")</calculatedColumnFormula>
    </tableColumn>
    <tableColumn id="28" xr3:uid="{04265221-BE18-46B1-9973-8B15280BC795}" name="USDJPY" totalsRowFunction="sum" dataDxfId="88" totalsRowDxfId="87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CAAD1B-A245-4449-AD2A-8A48DFFEEFFB}" name="Table123" displayName="Table123" ref="C1:AD37" headerRowDxfId="86" dataDxfId="84" totalsRowDxfId="82" headerRowBorderDxfId="85" tableBorderDxfId="83" totalsRowBorderDxfId="81">
  <autoFilter ref="C1:AD37" xr:uid="{D18A96FC-AEB6-4D48-9267-B437337CEAF9}"/>
  <tableColumns count="28">
    <tableColumn id="1" xr3:uid="{2A9CBF9A-D4F7-4A97-A174-16619C7AF77E}" name="AUDUSD" totalsRowLabel="Total" dataDxfId="80" totalsRowDxfId="79">
      <calculatedColumnFormula>RTD("fxbluelabs.excelrtd", , "2000072004","@bh,AUDUSD,h1,close,1")</calculatedColumnFormula>
    </tableColumn>
    <tableColumn id="2" xr3:uid="{789BC27C-0E15-4A39-8C7C-14BDCE6AE998}" name="AUDNZD" dataDxfId="78" totalsRowDxfId="77">
      <calculatedColumnFormula>RTD("fxbluelabs.excelrtd", , "2000072004","@bh,AUDNZD,h1,close,1")</calculatedColumnFormula>
    </tableColumn>
    <tableColumn id="3" xr3:uid="{1C459A98-59B1-4D3C-AD15-F078D2C6DF54}" name="AUDJPY" dataDxfId="76" totalsRowDxfId="75">
      <calculatedColumnFormula>RTD("fxbluelabs.excelrtd", , "2000072004","@bh,AUDJPY,h1,close,1")</calculatedColumnFormula>
    </tableColumn>
    <tableColumn id="4" xr3:uid="{F5101549-B97D-4AB3-AFEA-224DC6085389}" name="AUDCHF" dataDxfId="74" totalsRowDxfId="73">
      <calculatedColumnFormula>RTD("fxbluelabs.excelrtd", , "2000072004","@bh,AUDCHF,h1,close,1")</calculatedColumnFormula>
    </tableColumn>
    <tableColumn id="5" xr3:uid="{72199B20-EE01-4F26-8E02-88B327929693}" name="AUDCAD" dataDxfId="72" totalsRowDxfId="71">
      <calculatedColumnFormula>RTD("fxbluelabs.excelrtd", , "2000072004","@bh,AUDCAD,h1,close,1")</calculatedColumnFormula>
    </tableColumn>
    <tableColumn id="6" xr3:uid="{3B4C2A3E-E343-43CF-86C9-DE4E978CEFA8}" name="EURUSD" dataDxfId="70" totalsRowDxfId="69">
      <calculatedColumnFormula>RTD("fxbluelabs.excelrtd", , "2000072004","@bh,EURUSD,h1,close,1")</calculatedColumnFormula>
    </tableColumn>
    <tableColumn id="7" xr3:uid="{1CBA76E4-24F2-4E02-8224-77FF859D99C7}" name="EURCAD" dataDxfId="68" totalsRowDxfId="67">
      <calculatedColumnFormula>RTD("fxbluelabs.excelrtd", , "2000072004","@bh,EURCAD,h1,close,1")</calculatedColumnFormula>
    </tableColumn>
    <tableColumn id="8" xr3:uid="{5D118019-DA23-4F9A-84AB-E67744F5E2AB}" name="EURGBP" dataDxfId="66" totalsRowDxfId="65">
      <calculatedColumnFormula>RTD("fxbluelabs.excelrtd", , "2000072004","@bh,EURGBP,h1,close,1")</calculatedColumnFormula>
    </tableColumn>
    <tableColumn id="9" xr3:uid="{A74E3EF9-9683-43F5-A396-98378FDAFD93}" name="EURCHF" dataDxfId="64" totalsRowDxfId="63">
      <calculatedColumnFormula>RTD("fxbluelabs.excelrtd", , "2000072004","@bh,EURCHF,h1,close,1")</calculatedColumnFormula>
    </tableColumn>
    <tableColumn id="10" xr3:uid="{934039DF-039D-457F-91AD-A7FC0B2D514B}" name="EURJPY" dataDxfId="62" totalsRowDxfId="61">
      <calculatedColumnFormula>RTD("fxbluelabs.excelrtd", , "2000072004","@bh,EURJPY,h1,close,1")</calculatedColumnFormula>
    </tableColumn>
    <tableColumn id="11" xr3:uid="{547376ED-EF62-44DA-8391-1AEA90DA664F}" name="EURAUD" dataDxfId="60" totalsRowDxfId="59">
      <calculatedColumnFormula>RTD("fxbluelabs.excelrtd", , "2000072004","@bh,EURAUD,h1,close,1")</calculatedColumnFormula>
    </tableColumn>
    <tableColumn id="12" xr3:uid="{8B4727AD-CC76-434B-BF81-C04B9EC25D3F}" name="EURNZD" dataDxfId="58" totalsRowDxfId="57">
      <calculatedColumnFormula>RTD("fxbluelabs.excelrtd", , "2000072004","@bh,EURNZD,h1,close,1")</calculatedColumnFormula>
    </tableColumn>
    <tableColumn id="13" xr3:uid="{8CCFF440-39D7-4ED7-8728-6B7F50C6B223}" name="GBPUSD" dataDxfId="56" totalsRowDxfId="55">
      <calculatedColumnFormula>RTD("fxbluelabs.excelrtd", , "2000072004","@bh,GBPUSD,h1,close,1")</calculatedColumnFormula>
    </tableColumn>
    <tableColumn id="14" xr3:uid="{C6051ED5-19CE-4D4A-9E93-3B9131319D6B}" name="GBPAUD" dataDxfId="54" totalsRowDxfId="53">
      <calculatedColumnFormula>RTD("fxbluelabs.excelrtd", , "2000072004","@bh,GBPAUD,h1,close,1")</calculatedColumnFormula>
    </tableColumn>
    <tableColumn id="15" xr3:uid="{842CCED6-1177-413F-80EC-B545D09F79E2}" name="GBPNZD" dataDxfId="52" totalsRowDxfId="51">
      <calculatedColumnFormula>RTD("fxbluelabs.excelrtd", , "2000072004","@bh,GBPNZD,h1,close,1")</calculatedColumnFormula>
    </tableColumn>
    <tableColumn id="16" xr3:uid="{56526D9D-D4C0-4F04-9D1C-D743231C6DD4}" name="GBPCAD" dataDxfId="50" totalsRowDxfId="49">
      <calculatedColumnFormula>RTD("fxbluelabs.excelrtd", , "2000072004","@bh,GBPCAD,h1,close,1")</calculatedColumnFormula>
    </tableColumn>
    <tableColumn id="17" xr3:uid="{47F17757-D185-4590-916E-9F56F9248F95}" name="GBPCHF" dataDxfId="48" totalsRowDxfId="47">
      <calculatedColumnFormula>RTD("fxbluelabs.excelrtd", , "2000072004","@bh,GBPCHF,h1,close,1")</calculatedColumnFormula>
    </tableColumn>
    <tableColumn id="18" xr3:uid="{365E680A-6A3F-4833-AFBB-88215442FAEB}" name="GBPJPY" dataDxfId="46" totalsRowDxfId="45">
      <calculatedColumnFormula>RTD("fxbluelabs.excelrtd", , "2000072004","@bh,GBPJPY,h1,close,1")</calculatedColumnFormula>
    </tableColumn>
    <tableColumn id="19" xr3:uid="{C9082031-F7D9-455E-979C-4B1A1C37113C}" name="NZDJPY" dataDxfId="44" totalsRowDxfId="43">
      <calculatedColumnFormula>RTD("fxbluelabs.excelrtd", , "2000072004","@bh,NZDJPY,h1,close,1")</calculatedColumnFormula>
    </tableColumn>
    <tableColumn id="20" xr3:uid="{C84D4F71-2CC4-4F17-9DE9-8B14A15CD5AB}" name="NZDCHF" dataDxfId="42" totalsRowDxfId="41">
      <calculatedColumnFormula>RTD("fxbluelabs.excelrtd", , "2000072004","@bh,NZDCHF,h1,close,1")</calculatedColumnFormula>
    </tableColumn>
    <tableColumn id="21" xr3:uid="{F9D317E9-5C91-4A2F-A86D-6DC8059183A4}" name="NZDUSD" dataDxfId="40" totalsRowDxfId="39">
      <calculatedColumnFormula>RTD("fxbluelabs.excelrtd", , "2000072004","@bh,NZDUSD,h1,close,1")</calculatedColumnFormula>
    </tableColumn>
    <tableColumn id="22" xr3:uid="{C4960751-C877-4380-9632-04812A62590D}" name="NZDCAD" dataDxfId="38" totalsRowDxfId="37">
      <calculatedColumnFormula>RTD("fxbluelabs.excelrtd", , "2000072004","@bh,NZDCAD,h1,close,1")</calculatedColumnFormula>
    </tableColumn>
    <tableColumn id="23" xr3:uid="{AFACC940-99E6-4D54-A8A1-033559A1002E}" name="CADJPY" dataDxfId="36" totalsRowDxfId="35">
      <calculatedColumnFormula>RTD("fxbluelabs.excelrtd", , "2000072004","@bh,CADJPY,h1,close,1")</calculatedColumnFormula>
    </tableColumn>
    <tableColumn id="24" xr3:uid="{86957DF6-C15D-4A35-81F4-447C3B8F2840}" name="CADCHF" dataDxfId="34" totalsRowDxfId="33">
      <calculatedColumnFormula>RTD("fxbluelabs.excelrtd", , "2000072004","@bh,CADCHF,h1,close,1")</calculatedColumnFormula>
    </tableColumn>
    <tableColumn id="25" xr3:uid="{09D7A94D-7F38-4C29-8D43-6B825FA7F95C}" name="CHFJPY" dataDxfId="32" totalsRowDxfId="31">
      <calculatedColumnFormula>RTD("fxbluelabs.excelrtd", , "2000072004","@bh,CHFJPY,h1,close,1")</calculatedColumnFormula>
    </tableColumn>
    <tableColumn id="26" xr3:uid="{7B53DC70-45BB-4E4F-9440-9869BFC4C533}" name="USDCAD" dataDxfId="30" totalsRowDxfId="29">
      <calculatedColumnFormula>RTD("fxbluelabs.excelrtd", , "2000072004","@bh,USDCAD,h1,close,1")</calculatedColumnFormula>
    </tableColumn>
    <tableColumn id="27" xr3:uid="{851B3E8C-7BFD-48E3-963C-5CB24643B208}" name="USDCHF" dataDxfId="28" totalsRowDxfId="27">
      <calculatedColumnFormula>RTD("fxbluelabs.excelrtd", , "2000072004","@bh,USDCHF,h1,close,1")</calculatedColumnFormula>
    </tableColumn>
    <tableColumn id="28" xr3:uid="{D3B500F9-ACE0-4CEE-98C5-DD003C8C39F8}" name="USDJPY" totalsRowFunction="sum" dataDxfId="26" totalsRowDxfId="25">
      <calculatedColumnFormula>RTD("fxbluelabs.excelrtd", , "2000072004","@bh,USDJPY,h1,close,1")</calculatedColumnFormula>
    </tableColumn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24635-57A6-48D6-BFF2-5F0804818FCE}">
  <dimension ref="A1:FN119"/>
  <sheetViews>
    <sheetView tabSelected="1" topLeftCell="DQ1" zoomScale="40" zoomScaleNormal="40" workbookViewId="0">
      <selection activeCell="FD42" sqref="FD42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91" width="14.6640625" bestFit="1" customWidth="1"/>
    <col min="92" max="92" width="13.88671875" bestFit="1" customWidth="1"/>
    <col min="93" max="93" width="14.6640625" bestFit="1" customWidth="1"/>
    <col min="94" max="94" width="14.6640625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38.5546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60" t="s">
        <v>1</v>
      </c>
      <c r="D1" s="61" t="s">
        <v>2</v>
      </c>
      <c r="E1" s="61" t="s">
        <v>3</v>
      </c>
      <c r="F1" s="61" t="s">
        <v>4</v>
      </c>
      <c r="G1" s="61" t="s">
        <v>5</v>
      </c>
      <c r="H1" s="61" t="s">
        <v>6</v>
      </c>
      <c r="I1" s="61" t="s">
        <v>7</v>
      </c>
      <c r="J1" s="61" t="s">
        <v>8</v>
      </c>
      <c r="K1" s="61" t="s">
        <v>9</v>
      </c>
      <c r="L1" s="61" t="s">
        <v>10</v>
      </c>
      <c r="M1" s="61" t="s">
        <v>11</v>
      </c>
      <c r="N1" s="61" t="s">
        <v>12</v>
      </c>
      <c r="O1" s="61" t="s">
        <v>13</v>
      </c>
      <c r="P1" s="61" t="s">
        <v>14</v>
      </c>
      <c r="Q1" s="61" t="s">
        <v>15</v>
      </c>
      <c r="R1" s="61" t="s">
        <v>16</v>
      </c>
      <c r="S1" s="61" t="s">
        <v>17</v>
      </c>
      <c r="T1" s="61" t="s">
        <v>18</v>
      </c>
      <c r="U1" s="61" t="s">
        <v>19</v>
      </c>
      <c r="V1" s="61" t="s">
        <v>20</v>
      </c>
      <c r="W1" s="61" t="s">
        <v>21</v>
      </c>
      <c r="X1" s="61" t="s">
        <v>22</v>
      </c>
      <c r="Y1" s="61" t="s">
        <v>23</v>
      </c>
      <c r="Z1" s="61" t="s">
        <v>24</v>
      </c>
      <c r="AA1" s="61" t="s">
        <v>25</v>
      </c>
      <c r="AB1" s="61" t="s">
        <v>26</v>
      </c>
      <c r="AC1" s="61" t="s">
        <v>27</v>
      </c>
      <c r="AD1" s="62" t="s">
        <v>28</v>
      </c>
      <c r="AH1" s="50" t="s">
        <v>29</v>
      </c>
      <c r="AI1" s="73" t="s">
        <v>1</v>
      </c>
      <c r="AJ1" s="73" t="s">
        <v>2</v>
      </c>
      <c r="AK1" s="73" t="s">
        <v>3</v>
      </c>
      <c r="AL1" s="73" t="s">
        <v>4</v>
      </c>
      <c r="AM1" s="73" t="s">
        <v>5</v>
      </c>
      <c r="AN1" s="73" t="s">
        <v>6</v>
      </c>
      <c r="AO1" s="73" t="s">
        <v>7</v>
      </c>
      <c r="AP1" s="73" t="s">
        <v>8</v>
      </c>
      <c r="AQ1" s="73" t="s">
        <v>9</v>
      </c>
      <c r="AR1" s="73" t="s">
        <v>10</v>
      </c>
      <c r="AS1" s="73" t="s">
        <v>11</v>
      </c>
      <c r="AT1" s="73" t="s">
        <v>12</v>
      </c>
      <c r="AU1" s="73" t="s">
        <v>13</v>
      </c>
      <c r="AV1" s="73" t="s">
        <v>14</v>
      </c>
      <c r="AW1" s="73" t="s">
        <v>15</v>
      </c>
      <c r="AX1" s="73" t="s">
        <v>16</v>
      </c>
      <c r="AY1" s="73" t="s">
        <v>17</v>
      </c>
      <c r="AZ1" s="73" t="s">
        <v>18</v>
      </c>
      <c r="BA1" s="73" t="s">
        <v>19</v>
      </c>
      <c r="BB1" s="73" t="s">
        <v>20</v>
      </c>
      <c r="BC1" s="73" t="s">
        <v>21</v>
      </c>
      <c r="BD1" s="73" t="s">
        <v>22</v>
      </c>
      <c r="BE1" s="73" t="s">
        <v>23</v>
      </c>
      <c r="BF1" s="73" t="s">
        <v>24</v>
      </c>
      <c r="BG1" s="73" t="s">
        <v>25</v>
      </c>
      <c r="BH1" s="73" t="s">
        <v>26</v>
      </c>
      <c r="BI1" s="73" t="s">
        <v>27</v>
      </c>
      <c r="BJ1" s="73" t="s">
        <v>28</v>
      </c>
      <c r="BN1" s="76" t="s">
        <v>29</v>
      </c>
      <c r="BO1" s="77" t="s">
        <v>1</v>
      </c>
      <c r="BP1" s="77" t="s">
        <v>2</v>
      </c>
      <c r="BQ1" s="77" t="s">
        <v>3</v>
      </c>
      <c r="BR1" s="77" t="s">
        <v>4</v>
      </c>
      <c r="BS1" s="77" t="s">
        <v>5</v>
      </c>
      <c r="BT1" s="77" t="s">
        <v>6</v>
      </c>
      <c r="BU1" s="77" t="s">
        <v>7</v>
      </c>
      <c r="BV1" s="77" t="s">
        <v>8</v>
      </c>
      <c r="BW1" s="77" t="s">
        <v>9</v>
      </c>
      <c r="BX1" s="77" t="s">
        <v>10</v>
      </c>
      <c r="BY1" s="77" t="s">
        <v>11</v>
      </c>
      <c r="BZ1" s="77" t="s">
        <v>12</v>
      </c>
      <c r="CA1" s="77" t="s">
        <v>13</v>
      </c>
      <c r="CB1" s="77" t="s">
        <v>14</v>
      </c>
      <c r="CC1" s="77" t="s">
        <v>15</v>
      </c>
      <c r="CD1" s="77" t="s">
        <v>16</v>
      </c>
      <c r="CE1" s="77" t="s">
        <v>17</v>
      </c>
      <c r="CF1" s="77" t="s">
        <v>18</v>
      </c>
      <c r="CG1" s="77" t="s">
        <v>19</v>
      </c>
      <c r="CH1" s="77" t="s">
        <v>20</v>
      </c>
      <c r="CI1" s="77" t="s">
        <v>21</v>
      </c>
      <c r="CJ1" s="77" t="s">
        <v>22</v>
      </c>
      <c r="CK1" s="77" t="s">
        <v>23</v>
      </c>
      <c r="CL1" s="77" t="s">
        <v>24</v>
      </c>
      <c r="CM1" s="77" t="s">
        <v>25</v>
      </c>
      <c r="CN1" s="77" t="s">
        <v>26</v>
      </c>
      <c r="CO1" s="77" t="s">
        <v>27</v>
      </c>
      <c r="CP1" s="77" t="s">
        <v>28</v>
      </c>
      <c r="CU1" s="55" t="s">
        <v>29</v>
      </c>
      <c r="CV1" s="55" t="s">
        <v>30</v>
      </c>
      <c r="CW1" s="55" t="s">
        <v>31</v>
      </c>
      <c r="CX1" s="55" t="s">
        <v>32</v>
      </c>
      <c r="CY1" s="55" t="s">
        <v>33</v>
      </c>
      <c r="CZ1" s="55" t="s">
        <v>34</v>
      </c>
      <c r="DA1" s="55" t="s">
        <v>35</v>
      </c>
      <c r="DB1" s="55" t="s">
        <v>36</v>
      </c>
      <c r="DC1" s="55" t="s">
        <v>37</v>
      </c>
      <c r="DF1" s="50" t="s">
        <v>29</v>
      </c>
      <c r="DG1" s="50" t="s">
        <v>26</v>
      </c>
      <c r="DH1" s="50" t="s">
        <v>7</v>
      </c>
      <c r="DI1" s="50" t="s">
        <v>27</v>
      </c>
      <c r="DJ1" s="50" t="s">
        <v>9</v>
      </c>
      <c r="DK1" s="50" t="s">
        <v>38</v>
      </c>
      <c r="DL1" s="50" t="s">
        <v>8</v>
      </c>
      <c r="DM1" s="50" t="s">
        <v>39</v>
      </c>
      <c r="DN1" s="50" t="s">
        <v>11</v>
      </c>
      <c r="DO1" s="50" t="s">
        <v>40</v>
      </c>
      <c r="DP1" s="50" t="s">
        <v>12</v>
      </c>
      <c r="DQ1" s="50" t="s">
        <v>28</v>
      </c>
      <c r="DR1" s="50" t="s">
        <v>10</v>
      </c>
      <c r="DS1" s="50" t="s">
        <v>41</v>
      </c>
      <c r="DT1" s="50" t="s">
        <v>42</v>
      </c>
      <c r="DX1" s="10" t="s">
        <v>29</v>
      </c>
      <c r="DY1" s="10" t="s">
        <v>43</v>
      </c>
      <c r="DZ1" s="10"/>
      <c r="EA1" s="10" t="s">
        <v>44</v>
      </c>
      <c r="EB1" s="10" t="s">
        <v>30</v>
      </c>
      <c r="EC1" s="10" t="s">
        <v>31</v>
      </c>
      <c r="ED1" s="10" t="s">
        <v>32</v>
      </c>
      <c r="EE1" s="10" t="s">
        <v>33</v>
      </c>
      <c r="EF1" s="10" t="s">
        <v>45</v>
      </c>
      <c r="EG1" s="10" t="s">
        <v>35</v>
      </c>
      <c r="EH1" s="10" t="s">
        <v>36</v>
      </c>
      <c r="EI1" s="10" t="s">
        <v>37</v>
      </c>
      <c r="EJ1" s="2" t="s">
        <v>46</v>
      </c>
      <c r="EM1" s="9" t="s">
        <v>29</v>
      </c>
      <c r="EN1" s="9" t="s">
        <v>30</v>
      </c>
      <c r="EO1" s="9" t="s">
        <v>31</v>
      </c>
      <c r="EP1" s="9" t="s">
        <v>32</v>
      </c>
      <c r="EQ1" s="9" t="s">
        <v>33</v>
      </c>
      <c r="ER1" s="9" t="s">
        <v>34</v>
      </c>
      <c r="ES1" s="9" t="s">
        <v>35</v>
      </c>
      <c r="ET1" s="9" t="s">
        <v>36</v>
      </c>
      <c r="EU1" s="9" t="s">
        <v>37</v>
      </c>
      <c r="EW1" s="11" t="s">
        <v>52</v>
      </c>
      <c r="FB1" s="9" t="s">
        <v>29</v>
      </c>
      <c r="FC1" s="9" t="s">
        <v>30</v>
      </c>
      <c r="FD1" s="9" t="s">
        <v>31</v>
      </c>
      <c r="FE1" s="9" t="s">
        <v>32</v>
      </c>
      <c r="FF1" s="9" t="s">
        <v>33</v>
      </c>
      <c r="FG1" s="9" t="s">
        <v>34</v>
      </c>
      <c r="FH1" s="9" t="s">
        <v>35</v>
      </c>
      <c r="FI1" s="9" t="s">
        <v>36</v>
      </c>
      <c r="FJ1" s="9" t="s">
        <v>37</v>
      </c>
    </row>
    <row r="2" spans="1:170" ht="18.600000000000001" thickBot="1" x14ac:dyDescent="0.4">
      <c r="A2" s="12">
        <f ca="1">NOW()</f>
        <v>45525.889024999997</v>
      </c>
      <c r="B2" s="12" t="s">
        <v>50</v>
      </c>
      <c r="C2" s="63">
        <f>RTD("fxbluelabs.excelrtd", , "21422436","@bh,AUDUSD,h1,close,0")</f>
        <v>0.67374999999999996</v>
      </c>
      <c r="D2" s="64">
        <f>RTD("fxbluelabs.excelrtd", , "21422436","@bh,AUDNZD,h1,close,0")</f>
        <v>1.09659</v>
      </c>
      <c r="E2" s="65">
        <f>RTD("fxbluelabs.excelrtd", , "21422436","@bh,AUDJPY,h1,close,0")</f>
        <v>98.275000000000006</v>
      </c>
      <c r="F2" s="64">
        <f>RTD("fxbluelabs.excelrtd", , "21422436","@bh,AUDCHF,h1,close,0")</f>
        <v>0.57557000000000003</v>
      </c>
      <c r="G2" s="64">
        <f>RTD("fxbluelabs.excelrtd", , "21422436","@bh,AUDCAD,h1,close,0")</f>
        <v>0.91644000000000003</v>
      </c>
      <c r="H2" s="64">
        <f>RTD("fxbluelabs.excelrtd", , "21422436","@bh,EURUSD,h1,close,0")</f>
        <v>1.11154</v>
      </c>
      <c r="I2" s="64">
        <f>RTD("fxbluelabs.excelrtd", , "21422436","@bh,EURCAD,h1,close,0")</f>
        <v>1.5118</v>
      </c>
      <c r="J2" s="64">
        <f>RTD("fxbluelabs.excelrtd", , "21422436","@bh,EURGBP,h1,close,0")</f>
        <v>0.85167000000000004</v>
      </c>
      <c r="K2" s="64">
        <f>RTD("fxbluelabs.excelrtd", , "21422436","@bh,EURCHF,h1,close,0")</f>
        <v>0.94925999999999999</v>
      </c>
      <c r="L2" s="65">
        <f>RTD("fxbluelabs.excelrtd", , "21422436","@bh,EURJPY,h1,close,0")</f>
        <v>162.12200000000001</v>
      </c>
      <c r="M2" s="64">
        <f>RTD("fxbluelabs.excelrtd", , "21422436","@bh,EURAUD,h1,close,0")</f>
        <v>1.6496900000000001</v>
      </c>
      <c r="N2" s="64">
        <f>RTD("fxbluelabs.excelrtd", , "21422436","@bh,EURNZD,h1,close,0")</f>
        <v>1.80907</v>
      </c>
      <c r="O2" s="64">
        <f>RTD("fxbluelabs.excelrtd", , "21422436","@bh,GBPUSD,h1,close,0")</f>
        <v>1.3048999999999999</v>
      </c>
      <c r="P2" s="64">
        <f>RTD("fxbluelabs.excelrtd", , "21422436","@bh,GBPAUD,h1,close,0")</f>
        <v>1.9369700000000001</v>
      </c>
      <c r="Q2" s="64">
        <f>RTD("fxbluelabs.excelrtd", , "21422436","@bh,GBPNZD,h1,close,0")</f>
        <v>2.1241099999999999</v>
      </c>
      <c r="R2" s="64">
        <f>RTD("fxbluelabs.excelrtd", , "21422436","@bh,GBPCAD,h1,close,0")</f>
        <v>1.77498</v>
      </c>
      <c r="S2" s="64">
        <f>RTD("fxbluelabs.excelrtd", , "21422436","@bh,GBPCHF,h1,close,0")</f>
        <v>1.1149</v>
      </c>
      <c r="T2" s="65">
        <f>RTD("fxbluelabs.excelrtd", , "21422436","@bh,GBPJPY,h1,close,0")</f>
        <v>190.36</v>
      </c>
      <c r="U2" s="65">
        <f>RTD("fxbluelabs.excelrtd", , "21422436","@bh,NZDJPY,h1,close,0")</f>
        <v>89.61</v>
      </c>
      <c r="V2" s="64">
        <f>RTD("fxbluelabs.excelrtd", , "21422436","@bh,NZDCHF,h1,close,0")</f>
        <v>0.52483000000000002</v>
      </c>
      <c r="W2" s="64">
        <f>RTD("fxbluelabs.excelrtd", , "21422436","@bh,NZDUSD,h1,close,0")</f>
        <v>0.61433000000000004</v>
      </c>
      <c r="X2" s="64">
        <f>RTD("fxbluelabs.excelrtd", , "21422436","@bh,NZDCAD,h1,close,0")</f>
        <v>0.83562999999999998</v>
      </c>
      <c r="Y2" s="65">
        <f>RTD("fxbluelabs.excelrtd", , "21422436","@bh,CADJPY,h1,close,0")</f>
        <v>107.236</v>
      </c>
      <c r="Z2" s="64">
        <f>RTD("fxbluelabs.excelrtd", , "21422436","@bh,CADCHF,h1,close,0")</f>
        <v>0.62802999999999998</v>
      </c>
      <c r="AA2" s="65">
        <f>RTD("fxbluelabs.excelrtd", , "21422436","@bh,CHFJPY,h1,close,0")</f>
        <v>170.73599999999999</v>
      </c>
      <c r="AB2" s="64">
        <f>RTD("fxbluelabs.excelrtd", , "21422436","@bh,USDCAD,h1,close,0")</f>
        <v>1.3602700000000001</v>
      </c>
      <c r="AC2" s="64">
        <f>RTD("fxbluelabs.excelrtd", , "21422436","@bh,USDCHF,h1,close,0")</f>
        <v>0.85428999999999999</v>
      </c>
      <c r="AD2" s="66">
        <f>RTD("fxbluelabs.excelrtd", , "21422436","@bh,USDJPY,h1,close,0")</f>
        <v>145.86600000000001</v>
      </c>
      <c r="AH2" s="56">
        <v>1</v>
      </c>
      <c r="AI2" s="74">
        <f>IF(C2=0,0,(C2-C3)*100/C3)</f>
        <v>-5.9333976118084546E-2</v>
      </c>
      <c r="AJ2" s="74">
        <f t="shared" ref="AJ2:AY3" si="0">IF(D2=0,0,(D2-D3)*100/D3)</f>
        <v>-2.1881239572223404E-2</v>
      </c>
      <c r="AK2" s="74">
        <f t="shared" si="0"/>
        <v>2.3409192688200083E-2</v>
      </c>
      <c r="AL2" s="74">
        <f t="shared" si="0"/>
        <v>1.5639118648786143E-2</v>
      </c>
      <c r="AM2" s="74">
        <f t="shared" si="0"/>
        <v>-2.5090817851566263E-2</v>
      </c>
      <c r="AN2" s="74">
        <f>IF(H2=0,0,(H2-H3)*100/H3)</f>
        <v>7.197739909675563E-3</v>
      </c>
      <c r="AO2" s="74">
        <f t="shared" si="0"/>
        <v>3.4407919114927479E-2</v>
      </c>
      <c r="AP2" s="74">
        <f t="shared" si="0"/>
        <v>-7.0444859286333678E-3</v>
      </c>
      <c r="AQ2" s="74">
        <f t="shared" si="0"/>
        <v>4.9536778423040974E-2</v>
      </c>
      <c r="AR2" s="74">
        <f t="shared" si="0"/>
        <v>8.7047246281983418E-2</v>
      </c>
      <c r="AS2" s="74">
        <f t="shared" si="0"/>
        <v>6.3688858695651884E-2</v>
      </c>
      <c r="AT2" s="74">
        <f t="shared" si="0"/>
        <v>4.1474960184039796E-2</v>
      </c>
      <c r="AU2" s="74">
        <f t="shared" si="0"/>
        <v>-1.5326610060487249E-3</v>
      </c>
      <c r="AV2" s="74">
        <f t="shared" si="0"/>
        <v>6.9745094595023011E-2</v>
      </c>
      <c r="AW2" s="74">
        <f t="shared" si="0"/>
        <v>4.8514422442870096E-2</v>
      </c>
      <c r="AX2" s="74">
        <f t="shared" si="0"/>
        <v>3.6069749878826711E-2</v>
      </c>
      <c r="AY2" s="74">
        <f t="shared" si="0"/>
        <v>8.61805842325504E-2</v>
      </c>
      <c r="AZ2" s="74">
        <f t="shared" ref="AY2:BJ17" si="1">IF(T2=0,0,(T2-T3)*100/T3)</f>
        <v>9.3068255311999984E-2</v>
      </c>
      <c r="BA2" s="74">
        <f t="shared" si="1"/>
        <v>4.1307090306237526E-2</v>
      </c>
      <c r="BB2" s="74">
        <f t="shared" si="1"/>
        <v>3.4308586676845325E-2</v>
      </c>
      <c r="BC2" s="74">
        <f t="shared" si="1"/>
        <v>-4.2304625848114508E-2</v>
      </c>
      <c r="BD2" s="74">
        <f t="shared" si="1"/>
        <v>-5.9831514455287301E-3</v>
      </c>
      <c r="BE2" s="74">
        <f t="shared" si="1"/>
        <v>4.9448140096841169E-2</v>
      </c>
      <c r="BF2" s="74">
        <f t="shared" si="1"/>
        <v>3.8229344207460776E-2</v>
      </c>
      <c r="BG2" s="74">
        <f t="shared" si="1"/>
        <v>8.7862653100593113E-3</v>
      </c>
      <c r="BH2" s="74">
        <f t="shared" si="1"/>
        <v>3.529956831569845E-2</v>
      </c>
      <c r="BI2" s="74">
        <f t="shared" si="1"/>
        <v>7.2627596143703524E-2</v>
      </c>
      <c r="BJ2" s="74">
        <f t="shared" si="1"/>
        <v>8.3021716010847249E-2</v>
      </c>
      <c r="BN2" s="59">
        <v>1</v>
      </c>
      <c r="BO2" s="78">
        <f>AI2+SUM(AI3:AI37)</f>
        <v>5.5373489675547775E-2</v>
      </c>
      <c r="BP2" s="78">
        <f t="shared" ref="BP2:BP28" si="2">AJ2+SUM(AJ3:AJ37)</f>
        <v>2.3983688081352247E-2</v>
      </c>
      <c r="BQ2" s="78">
        <f t="shared" ref="BQ2:CP11" si="3">AK2+SUM(AK3:AK37)</f>
        <v>-0.2947908696688899</v>
      </c>
      <c r="BR2" s="78">
        <f t="shared" si="3"/>
        <v>-0.55711286694217454</v>
      </c>
      <c r="BS2" s="78">
        <f t="shared" si="3"/>
        <v>-3.4513244215609376E-2</v>
      </c>
      <c r="BT2" s="78">
        <f t="shared" si="3"/>
        <v>0.31039408997560036</v>
      </c>
      <c r="BU2" s="78">
        <f t="shared" si="3"/>
        <v>0.21507214621822168</v>
      </c>
      <c r="BV2" s="78">
        <f t="shared" si="3"/>
        <v>-2.2024792243123675E-2</v>
      </c>
      <c r="BW2" s="78">
        <f t="shared" si="3"/>
        <v>-0.33386106265931553</v>
      </c>
      <c r="BX2" s="78">
        <f t="shared" si="3"/>
        <v>-4.3017771273064262E-2</v>
      </c>
      <c r="BY2" s="78">
        <f t="shared" si="3"/>
        <v>0.25219072528873732</v>
      </c>
      <c r="BZ2" s="78">
        <f t="shared" si="3"/>
        <v>0.27785446433590122</v>
      </c>
      <c r="CA2" s="78">
        <f t="shared" si="3"/>
        <v>0.31584659133378373</v>
      </c>
      <c r="CB2" s="78">
        <f t="shared" si="3"/>
        <v>0.27577972155148323</v>
      </c>
      <c r="CC2" s="78">
        <f t="shared" si="3"/>
        <v>0.30231174968400021</v>
      </c>
      <c r="CD2" s="78">
        <f t="shared" si="3"/>
        <v>0.23336167879153608</v>
      </c>
      <c r="CE2" s="78">
        <f t="shared" si="3"/>
        <v>-0.27859062667244983</v>
      </c>
      <c r="CF2" s="78">
        <f t="shared" si="3"/>
        <v>-1.7043125667361492E-2</v>
      </c>
      <c r="CG2" s="78">
        <f t="shared" si="3"/>
        <v>-0.31916681707255035</v>
      </c>
      <c r="CH2" s="78">
        <f t="shared" si="3"/>
        <v>-0.58059808137328295</v>
      </c>
      <c r="CI2" s="78">
        <f t="shared" si="3"/>
        <v>2.8402637277211165E-2</v>
      </c>
      <c r="CJ2" s="78">
        <f t="shared" si="3"/>
        <v>-5.8020407167621621E-2</v>
      </c>
      <c r="CK2" s="78">
        <f t="shared" si="3"/>
        <v>-0.25875551223240828</v>
      </c>
      <c r="CL2" s="78">
        <f t="shared" si="3"/>
        <v>-0.52477300528748494</v>
      </c>
      <c r="CM2" s="78">
        <f t="shared" si="3"/>
        <v>0.26433469736148196</v>
      </c>
      <c r="CN2" s="78">
        <f t="shared" si="3"/>
        <v>-8.8058553339908779E-2</v>
      </c>
      <c r="CO2" s="78">
        <f t="shared" si="3"/>
        <v>-0.61419911298487018</v>
      </c>
      <c r="CP2" s="78">
        <f t="shared" si="3"/>
        <v>-0.34712199663119153</v>
      </c>
      <c r="CU2" s="56">
        <v>1</v>
      </c>
      <c r="CV2" s="57">
        <f>BT2+BU2+BV2+BW2+BX2+BY2+BZ2</f>
        <v>0.65660779964295712</v>
      </c>
      <c r="CW2" s="57">
        <f>CN2+CO2+CP2-CI2-CA2-BT2-BO2</f>
        <v>-1.7593964712181136</v>
      </c>
      <c r="CX2" s="57">
        <f>CK2+CL2-CN2-CJ2-CD2-BU2-BS2</f>
        <v>-1.0513701378065112</v>
      </c>
      <c r="CY2" s="57">
        <f>CM2-CO2-CH2-CE2-BW2-BR2</f>
        <v>2.6286964479935753</v>
      </c>
      <c r="CZ2" s="57">
        <f>CA2+CB2+CC2+CD2+CE2+CF2-BV2</f>
        <v>0.85369078126411557</v>
      </c>
      <c r="DA2" s="57">
        <f>BO2+BP2+BQ2+BR2+BS2-BY2-CB2</f>
        <v>-1.3350302499099944</v>
      </c>
      <c r="DB2" s="57">
        <f>CG2+CH2+CI2+CJ2-CC2-BZ2-BP2</f>
        <v>-1.5335325704374974</v>
      </c>
      <c r="DC2" s="57">
        <f>-BQ2-BX2-CF2-CG2-CK2-CM2-CP2</f>
        <v>1.0155613951839839</v>
      </c>
      <c r="DF2" s="51">
        <v>1</v>
      </c>
      <c r="DG2" s="52">
        <f>CN2</f>
        <v>-8.8058553339908779E-2</v>
      </c>
      <c r="DH2" s="52">
        <f>BU2</f>
        <v>0.21507214621822168</v>
      </c>
      <c r="DI2" s="52">
        <f>CO2</f>
        <v>-0.61419911298487018</v>
      </c>
      <c r="DJ2" s="52">
        <f>BW2</f>
        <v>-0.33386106265931553</v>
      </c>
      <c r="DK2" s="52">
        <f>-(CA2)</f>
        <v>-0.31584659133378373</v>
      </c>
      <c r="DL2" s="52">
        <f>BV2</f>
        <v>-2.2024792243123675E-2</v>
      </c>
      <c r="DM2" s="52">
        <f>-(BO2)</f>
        <v>-5.5373489675547775E-2</v>
      </c>
      <c r="DN2" s="52">
        <f>BY2</f>
        <v>0.25219072528873732</v>
      </c>
      <c r="DO2" s="52">
        <f>-(CI2)</f>
        <v>-2.8402637277211165E-2</v>
      </c>
      <c r="DP2" s="52">
        <f>BZ2</f>
        <v>0.27785446433590122</v>
      </c>
      <c r="DQ2" s="52">
        <f>CP2</f>
        <v>-0.34712199663119153</v>
      </c>
      <c r="DR2" s="52">
        <f>BX2</f>
        <v>-4.3017771273064262E-2</v>
      </c>
      <c r="DS2" s="52">
        <f>-(BT2)</f>
        <v>-0.31039408997560036</v>
      </c>
      <c r="DT2" s="52">
        <f>BT2</f>
        <v>0.31039408997560036</v>
      </c>
      <c r="DX2">
        <v>1</v>
      </c>
      <c r="DY2" s="19">
        <f t="shared" ref="DY2:DY37" si="4"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0.22586390078061624</v>
      </c>
      <c r="EC2" t="s">
        <v>49</v>
      </c>
      <c r="ED2" t="s">
        <v>57</v>
      </c>
      <c r="EH2" t="s">
        <v>48</v>
      </c>
      <c r="EJ2" t="s">
        <v>48</v>
      </c>
      <c r="EM2" s="13">
        <v>1</v>
      </c>
      <c r="EN2" s="16">
        <f>BT2+BU2+BV2+BW2+BX2+BY2+BZ2</f>
        <v>0.65660779964295712</v>
      </c>
      <c r="EO2" s="16">
        <f t="shared" ref="EO2:EO37" si="5">CN2+CO2+CP2-CI2-CA2-BT2-BO2</f>
        <v>-1.7593964712181136</v>
      </c>
      <c r="EP2" s="16">
        <f>CK2+CL2-CN2-CJ2-CD2-BU2-BS2</f>
        <v>-1.0513701378065112</v>
      </c>
      <c r="EQ2" s="16">
        <f>CM2-CO2-CH2-CE2-BW2-BR2</f>
        <v>2.6286964479935753</v>
      </c>
      <c r="ER2" s="16">
        <f>CA2+CB2+CC2+CD2+CE2+CF2-BV2</f>
        <v>0.85369078126411557</v>
      </c>
      <c r="ES2" s="16">
        <f>BO2+BP2+BQ2+BR2+BS2-BY2-CB2</f>
        <v>-1.3350302499099944</v>
      </c>
      <c r="ET2" s="16">
        <f>CG2+CH2+CI2+CJ2-CC2-BZ2-BP2</f>
        <v>-1.5335325704374974</v>
      </c>
      <c r="EU2" s="16">
        <f>-BQ2-BX2-CF2-CG2-CK2-CM2-CP2</f>
        <v>1.0155613951839839</v>
      </c>
      <c r="EW2" s="40">
        <f>LARGE($EN$2:$EU$2,1)</f>
        <v>2.6286964479935753</v>
      </c>
      <c r="EX2" s="39" t="str">
        <f>INDEX(EN1:EU1,MATCH(EW2,EN2:EU2,0))</f>
        <v>CHF</v>
      </c>
      <c r="FK2" s="20"/>
      <c r="FL2" s="20"/>
    </row>
    <row r="3" spans="1:170" ht="18.600000000000001" thickBot="1" x14ac:dyDescent="0.4">
      <c r="A3" s="37" t="s">
        <v>51</v>
      </c>
      <c r="B3" s="38">
        <v>1</v>
      </c>
      <c r="C3" s="63">
        <f>RTD("fxbluelabs.excelrtd", , "21422436","@bh,AUDUSD,h1,close,1")</f>
        <v>0.67415000000000003</v>
      </c>
      <c r="D3" s="64">
        <f>RTD("fxbluelabs.excelrtd", , "21422436","@bh,AUDNZD,h1,close,1")</f>
        <v>1.09683</v>
      </c>
      <c r="E3" s="65">
        <f>RTD("fxbluelabs.excelrtd", , "21422436","@bh,AUDJPY,h1,close,1")</f>
        <v>98.251999999999995</v>
      </c>
      <c r="F3" s="64">
        <f>RTD("fxbluelabs.excelrtd", , "21422436","@bh,AUDCHF,h1,close,1")</f>
        <v>0.57547999999999999</v>
      </c>
      <c r="G3" s="64">
        <f>RTD("fxbluelabs.excelrtd", , "21422436","@bh,AUDCAD,h1,close,1")</f>
        <v>0.91666999999999998</v>
      </c>
      <c r="H3" s="64">
        <f>RTD("fxbluelabs.excelrtd", , "21422436","@bh,EURUSD,h1,close,1")</f>
        <v>1.1114599999999999</v>
      </c>
      <c r="I3" s="64">
        <f>RTD("fxbluelabs.excelrtd", , "21422436","@bh,EURCAD,h1,close,1")</f>
        <v>1.51128</v>
      </c>
      <c r="J3" s="64">
        <f>RTD("fxbluelabs.excelrtd", , "21422436","@bh,EURGBP,h1,close,1")</f>
        <v>0.85172999999999999</v>
      </c>
      <c r="K3" s="64">
        <f>RTD("fxbluelabs.excelrtd", , "21422436","@bh,EURCHF,h1,close,1")</f>
        <v>0.94879000000000002</v>
      </c>
      <c r="L3" s="65">
        <f>RTD("fxbluelabs.excelrtd", , "21422436","@bh,EURJPY,h1,close,1")</f>
        <v>161.98099999999999</v>
      </c>
      <c r="M3" s="64">
        <f>RTD("fxbluelabs.excelrtd", , "21422436","@bh,EURAUD,h1,close,1")</f>
        <v>1.6486400000000001</v>
      </c>
      <c r="N3" s="64">
        <f>RTD("fxbluelabs.excelrtd", , "21422436","@bh,EURNZD,h1,close,1")</f>
        <v>1.8083199999999999</v>
      </c>
      <c r="O3" s="64">
        <f>RTD("fxbluelabs.excelrtd", , "21422436","@bh,GBPUSD,h1,close,1")</f>
        <v>1.3049200000000001</v>
      </c>
      <c r="P3" s="64">
        <f>RTD("fxbluelabs.excelrtd", , "21422436","@bh,GBPAUD,h1,close,1")</f>
        <v>1.9356199999999999</v>
      </c>
      <c r="Q3" s="64">
        <f>RTD("fxbluelabs.excelrtd", , "21422436","@bh,GBPNZD,h1,close,1")</f>
        <v>2.1230799999999999</v>
      </c>
      <c r="R3" s="64">
        <f>RTD("fxbluelabs.excelrtd", , "21422436","@bh,GBPCAD,h1,close,1")</f>
        <v>1.77434</v>
      </c>
      <c r="S3" s="64">
        <f>RTD("fxbluelabs.excelrtd", , "21422436","@bh,GBPCHF,h1,close,1")</f>
        <v>1.1139399999999999</v>
      </c>
      <c r="T3" s="65">
        <f>RTD("fxbluelabs.excelrtd", , "21422436","@bh,GBPJPY,h1,close,1")</f>
        <v>190.18299999999999</v>
      </c>
      <c r="U3" s="65">
        <f>RTD("fxbluelabs.excelrtd", , "21422436","@bh,NZDJPY,h1,close,1")</f>
        <v>89.572999999999993</v>
      </c>
      <c r="V3" s="64">
        <f>RTD("fxbluelabs.excelrtd", , "21422436","@bh,NZDCHF,h1,close,1")</f>
        <v>0.52464999999999995</v>
      </c>
      <c r="W3" s="64">
        <f>RTD("fxbluelabs.excelrtd", , "21422436","@bh,NZDUSD,h1,close,1")</f>
        <v>0.61458999999999997</v>
      </c>
      <c r="X3" s="64">
        <f>RTD("fxbluelabs.excelrtd", , "21422436","@bh,NZDCAD,h1,close,1")</f>
        <v>0.83567999999999998</v>
      </c>
      <c r="Y3" s="65">
        <f>RTD("fxbluelabs.excelrtd", , "21422436","@bh,CADJPY,h1,close,1")</f>
        <v>107.18300000000001</v>
      </c>
      <c r="Z3" s="64">
        <f>RTD("fxbluelabs.excelrtd", , "21422436","@bh,CADCHF,h1,close,1")</f>
        <v>0.62778999999999996</v>
      </c>
      <c r="AA3" s="65">
        <f>RTD("fxbluelabs.excelrtd", , "21422436","@bh,CHFJPY,h1,close,1")</f>
        <v>170.721</v>
      </c>
      <c r="AB3" s="64">
        <f>RTD("fxbluelabs.excelrtd", , "21422436","@bh,USDCAD,h1,close,1")</f>
        <v>1.3597900000000001</v>
      </c>
      <c r="AC3" s="64">
        <f>RTD("fxbluelabs.excelrtd", , "21422436","@bh,USDCHF,h1,close,1")</f>
        <v>0.85367000000000004</v>
      </c>
      <c r="AD3" s="66">
        <f>RTD("fxbluelabs.excelrtd", , "21422436","@bh,USDJPY,h1,close,1")</f>
        <v>145.745</v>
      </c>
      <c r="AH3" s="56">
        <v>2</v>
      </c>
      <c r="AI3" s="75">
        <f>IF(C3=0,0,(C3-C4)*100/C4)</f>
        <v>-2.3727958950621818E-2</v>
      </c>
      <c r="AJ3" s="75">
        <f t="shared" si="0"/>
        <v>-2.8255281914799611E-2</v>
      </c>
      <c r="AK3" s="75">
        <f t="shared" si="0"/>
        <v>-4.6796476021899201E-2</v>
      </c>
      <c r="AL3" s="75">
        <f t="shared" si="0"/>
        <v>-6.4252843622467914E-2</v>
      </c>
      <c r="AM3" s="75">
        <f t="shared" si="0"/>
        <v>-2.7265192165071377E-2</v>
      </c>
      <c r="AN3" s="75">
        <f>IF(H3=0,0,(H3-H4)*100/H4)</f>
        <v>-9.3483146067429385E-2</v>
      </c>
      <c r="AO3" s="75">
        <f t="shared" si="0"/>
        <v>-9.9155197715468005E-2</v>
      </c>
      <c r="AP3" s="75">
        <f t="shared" si="0"/>
        <v>-0.1242978927989377</v>
      </c>
      <c r="AQ3" s="75">
        <f t="shared" si="0"/>
        <v>-0.13472691485889965</v>
      </c>
      <c r="AR3" s="75">
        <f t="shared" si="0"/>
        <v>-0.11900797908420095</v>
      </c>
      <c r="AS3" s="75">
        <f t="shared" si="0"/>
        <v>-7.2734325752792262E-2</v>
      </c>
      <c r="AT3" s="75">
        <f t="shared" si="0"/>
        <v>-9.8889017794508635E-2</v>
      </c>
      <c r="AU3" s="75">
        <f t="shared" si="0"/>
        <v>3.1429425608084371E-2</v>
      </c>
      <c r="AV3" s="75">
        <f t="shared" si="0"/>
        <v>5.4275627141948619E-2</v>
      </c>
      <c r="AW3" s="75">
        <f t="shared" si="0"/>
        <v>2.732626619551486E-2</v>
      </c>
      <c r="AX3" s="75">
        <f t="shared" si="0"/>
        <v>2.7059632665488591E-2</v>
      </c>
      <c r="AY3" s="75">
        <f t="shared" si="1"/>
        <v>-8.0787770526956643E-3</v>
      </c>
      <c r="AZ3" s="75">
        <f t="shared" si="1"/>
        <v>9.4654642021406062E-3</v>
      </c>
      <c r="BA3" s="75">
        <f t="shared" si="1"/>
        <v>-2.1207250647385323E-2</v>
      </c>
      <c r="BB3" s="75">
        <f t="shared" si="1"/>
        <v>-3.8106125559700672E-2</v>
      </c>
      <c r="BC3" s="75">
        <f t="shared" si="1"/>
        <v>1.6271274691585292E-3</v>
      </c>
      <c r="BD3" s="75">
        <f t="shared" si="1"/>
        <v>-3.5897619987764287E-3</v>
      </c>
      <c r="BE3" s="75">
        <f t="shared" si="1"/>
        <v>-1.8656194322916354E-2</v>
      </c>
      <c r="BF3" s="75">
        <f t="shared" si="1"/>
        <v>-3.662303748289282E-2</v>
      </c>
      <c r="BG3" s="75">
        <f t="shared" si="1"/>
        <v>1.9333520809907821E-2</v>
      </c>
      <c r="BH3" s="75">
        <f t="shared" si="1"/>
        <v>-5.1475887223695451E-3</v>
      </c>
      <c r="BI3" s="75">
        <f t="shared" si="1"/>
        <v>-3.9812180185244544E-2</v>
      </c>
      <c r="BJ3" s="75">
        <f t="shared" si="1"/>
        <v>-2.263716061407554E-2</v>
      </c>
      <c r="BN3" s="59">
        <v>2</v>
      </c>
      <c r="BO3" s="79">
        <f t="shared" ref="BO3:BO28" si="6">AI3+SUM(AI4:AI38)</f>
        <v>0.11470746579363231</v>
      </c>
      <c r="BP3" s="79">
        <f t="shared" si="2"/>
        <v>4.5864927653575686E-2</v>
      </c>
      <c r="BQ3" s="79">
        <f t="shared" si="3"/>
        <v>-0.31820006235708997</v>
      </c>
      <c r="BR3" s="79">
        <f t="shared" si="3"/>
        <v>-0.57275198559096063</v>
      </c>
      <c r="BS3" s="79">
        <f t="shared" si="3"/>
        <v>-9.4224263640431509E-3</v>
      </c>
      <c r="BT3" s="79">
        <f t="shared" si="3"/>
        <v>0.30319635006592482</v>
      </c>
      <c r="BU3" s="79">
        <f t="shared" si="3"/>
        <v>0.18066422710329427</v>
      </c>
      <c r="BV3" s="79">
        <f t="shared" si="3"/>
        <v>-1.4980306314490391E-2</v>
      </c>
      <c r="BW3" s="79">
        <f t="shared" si="3"/>
        <v>-0.38339784108235653</v>
      </c>
      <c r="BX3" s="79">
        <f t="shared" si="3"/>
        <v>-0.13006501755504787</v>
      </c>
      <c r="BY3" s="79">
        <f t="shared" si="3"/>
        <v>0.18850186659308543</v>
      </c>
      <c r="BZ3" s="79">
        <f t="shared" si="3"/>
        <v>0.23637950415186143</v>
      </c>
      <c r="CA3" s="79">
        <f t="shared" si="3"/>
        <v>0.31737925233983244</v>
      </c>
      <c r="CB3" s="79">
        <f t="shared" si="3"/>
        <v>0.20603462695646019</v>
      </c>
      <c r="CC3" s="79">
        <f t="shared" si="3"/>
        <v>0.25379732724113008</v>
      </c>
      <c r="CD3" s="79">
        <f t="shared" si="3"/>
        <v>0.19729192891270933</v>
      </c>
      <c r="CE3" s="79">
        <f t="shared" si="3"/>
        <v>-0.3647712109050002</v>
      </c>
      <c r="CF3" s="79">
        <f t="shared" si="3"/>
        <v>-0.11011138097936142</v>
      </c>
      <c r="CG3" s="79">
        <f t="shared" si="3"/>
        <v>-0.36047390737878782</v>
      </c>
      <c r="CH3" s="79">
        <f t="shared" si="3"/>
        <v>-0.61490666805012839</v>
      </c>
      <c r="CI3" s="79">
        <f t="shared" si="3"/>
        <v>7.0707263125325701E-2</v>
      </c>
      <c r="CJ3" s="79">
        <f t="shared" si="3"/>
        <v>-5.2037255722092897E-2</v>
      </c>
      <c r="CK3" s="79">
        <f t="shared" si="3"/>
        <v>-0.30820365232924946</v>
      </c>
      <c r="CL3" s="79">
        <f t="shared" si="3"/>
        <v>-0.56300234949494576</v>
      </c>
      <c r="CM3" s="79">
        <f t="shared" si="3"/>
        <v>0.25554843205142252</v>
      </c>
      <c r="CN3" s="79">
        <f t="shared" si="3"/>
        <v>-0.12335812165560718</v>
      </c>
      <c r="CO3" s="79">
        <f t="shared" si="3"/>
        <v>-0.6868267091285738</v>
      </c>
      <c r="CP3" s="79">
        <f t="shared" si="3"/>
        <v>-0.43014371264203888</v>
      </c>
      <c r="CU3" s="56">
        <v>2</v>
      </c>
      <c r="CV3" s="58">
        <f t="shared" ref="CV3:CV37" si="7">BT3+BU3+BV3+BW3+BX3+BY3+BZ3</f>
        <v>0.38029878296227115</v>
      </c>
      <c r="CW3" s="58">
        <f t="shared" ref="CW3:CW37" si="8">CN3+CO3+CP3-CI3-CA3-BT3-BO3</f>
        <v>-2.0463188747509351</v>
      </c>
      <c r="CX3" s="58">
        <f t="shared" ref="CX3:CX37" si="9">CK3+CL3-CN3-CJ3-CD3-BU3-BS3</f>
        <v>-1.0643443540984554</v>
      </c>
      <c r="CY3" s="58">
        <f t="shared" ref="CY3:CY37" si="10">CM3-CO3-CH3-CE3-BW3-BR3</f>
        <v>2.8782028468084424</v>
      </c>
      <c r="CZ3" s="58">
        <f t="shared" ref="CZ3:CZ37" si="11">CA3+CB3+CC3+CD3+CE3+CF3-BV3</f>
        <v>0.51460084988026067</v>
      </c>
      <c r="DA3" s="58">
        <f t="shared" ref="DA3:DA37" si="12">BO3+BP3+BQ3+BR3+BS3-BY3-CB3</f>
        <v>-1.1343385744144314</v>
      </c>
      <c r="DB3" s="58">
        <f t="shared" ref="DB3:DB37" si="13">CG3+CH3+CI3+CJ3-CC3-BZ3-BP3</f>
        <v>-1.4927523270722507</v>
      </c>
      <c r="DC3" s="58">
        <f t="shared" ref="DC3:DC37" si="14">-BQ3-BX3-CF3-CG3-CK3-CM3-CP3</f>
        <v>1.401649301190153</v>
      </c>
      <c r="DF3" s="53">
        <v>2</v>
      </c>
      <c r="DG3" s="54">
        <f>CN3</f>
        <v>-0.12335812165560718</v>
      </c>
      <c r="DH3" s="54">
        <f t="shared" ref="DH3:DH37" si="15">BU3</f>
        <v>0.18066422710329427</v>
      </c>
      <c r="DI3" s="54">
        <f t="shared" ref="DI3:DI37" si="16">CO3</f>
        <v>-0.6868267091285738</v>
      </c>
      <c r="DJ3" s="54">
        <f t="shared" ref="DJ3:DJ37" si="17">BW3</f>
        <v>-0.38339784108235653</v>
      </c>
      <c r="DK3" s="54">
        <f t="shared" ref="DK3:DK37" si="18">-(CA3)</f>
        <v>-0.31737925233983244</v>
      </c>
      <c r="DL3" s="54">
        <f t="shared" ref="DL3:DL37" si="19">BV3</f>
        <v>-1.4980306314490391E-2</v>
      </c>
      <c r="DM3" s="54">
        <f t="shared" ref="DM3:DM37" si="20">-(BO3)</f>
        <v>-0.11470746579363231</v>
      </c>
      <c r="DN3" s="54">
        <f t="shared" ref="DN3:DN37" si="21">BY3</f>
        <v>0.18850186659308543</v>
      </c>
      <c r="DO3" s="54">
        <f t="shared" ref="DO3:DO37" si="22">-(CI3)</f>
        <v>-7.0707263125325701E-2</v>
      </c>
      <c r="DP3" s="54">
        <f t="shared" ref="DP3:DP37" si="23">BZ3</f>
        <v>0.23637950415186143</v>
      </c>
      <c r="DQ3" s="54">
        <f t="shared" ref="DQ3:DQ37" si="24">CP3</f>
        <v>-0.43014371264203888</v>
      </c>
      <c r="DR3" s="54">
        <f t="shared" ref="DR3:DR37" si="25">BX3</f>
        <v>-0.13006501755504787</v>
      </c>
      <c r="DS3" s="54">
        <f t="shared" ref="DS3:DS37" si="26">-(BT3)</f>
        <v>-0.30319635006592482</v>
      </c>
      <c r="DT3" s="54">
        <f t="shared" ref="DT3:DT37" si="27">BT3</f>
        <v>0.30319635006592482</v>
      </c>
      <c r="DX3">
        <v>2</v>
      </c>
      <c r="DY3" s="19">
        <f t="shared" si="4"/>
        <v>0.55356654767868441</v>
      </c>
      <c r="EJ3" t="s">
        <v>49</v>
      </c>
      <c r="EM3" s="21">
        <v>2</v>
      </c>
      <c r="EN3" s="16">
        <f t="shared" ref="EN3:EN37" si="28">BT3+BU3+BV3+BW3+BX3+BY3+BZ3</f>
        <v>0.38029878296227115</v>
      </c>
      <c r="EO3" s="16">
        <f t="shared" si="5"/>
        <v>-2.0463188747509351</v>
      </c>
      <c r="EP3" s="16">
        <f t="shared" ref="EP3:EP37" si="29">CK3+CL3-CN3-CJ3-CD3-BU3-BS3</f>
        <v>-1.0643443540984554</v>
      </c>
      <c r="EQ3" s="16">
        <f t="shared" ref="EQ3:EQ37" si="30">CM3-CO3-CH3-CE3-BW3-BR3</f>
        <v>2.8782028468084424</v>
      </c>
      <c r="ER3" s="16">
        <f t="shared" ref="ER3:ER37" si="31">CA3+CB3+CC3+CD3+CE3+CF3-BV3</f>
        <v>0.51460084988026067</v>
      </c>
      <c r="ES3" s="16">
        <f t="shared" ref="ES3:ES37" si="32">BO3+BP3+BQ3+BR3+BS3-BY3-CB3</f>
        <v>-1.1343385744144314</v>
      </c>
      <c r="ET3" s="16">
        <f t="shared" ref="ET3:ET37" si="33">CG3+CH3+CI3+CJ3-CC3-BZ3-BP3</f>
        <v>-1.4927523270722507</v>
      </c>
      <c r="EU3" s="16">
        <f t="shared" ref="EU3:EU37" si="34">-BQ3-BX3-CF3-CG3-CK3-CM3-CP3</f>
        <v>1.401649301190153</v>
      </c>
      <c r="EW3" s="40">
        <f>LARGE($EN$2:$EU$2,2)</f>
        <v>1.0155613951839839</v>
      </c>
      <c r="EX3" s="39" t="str">
        <f>INDEX(EN1:EU1,MATCH(EW3,EN2:EU2,0))</f>
        <v>JPY</v>
      </c>
      <c r="FK3" s="20"/>
      <c r="FL3" s="20"/>
    </row>
    <row r="4" spans="1:170" ht="18.600000000000001" thickBot="1" x14ac:dyDescent="0.4">
      <c r="A4" s="37" t="s">
        <v>51</v>
      </c>
      <c r="B4" s="38">
        <v>2</v>
      </c>
      <c r="C4" s="63">
        <f>RTD("fxbluelabs.excelrtd", , "21422436","@bh,AUDUSD,h1,close,2")</f>
        <v>0.67430999999999996</v>
      </c>
      <c r="D4" s="64">
        <f>RTD("fxbluelabs.excelrtd", , "21422436","@bh,AUDNZD,h1,close,2")</f>
        <v>1.09714</v>
      </c>
      <c r="E4" s="65">
        <f>RTD("fxbluelabs.excelrtd", , "21422436","@bh,AUDJPY,h1,close,2")</f>
        <v>98.298000000000002</v>
      </c>
      <c r="F4" s="64">
        <f>RTD("fxbluelabs.excelrtd", , "21422436","@bh,AUDCHF,h1,close,2")</f>
        <v>0.57584999999999997</v>
      </c>
      <c r="G4" s="64">
        <f>RTD("fxbluelabs.excelrtd", , "21422436","@bh,AUDCAD,h1,close,2")</f>
        <v>0.91691999999999996</v>
      </c>
      <c r="H4" s="64">
        <f>RTD("fxbluelabs.excelrtd", , "21422436","@bh,EURUSD,h1,close,2")</f>
        <v>1.1125</v>
      </c>
      <c r="I4" s="64">
        <f>RTD("fxbluelabs.excelrtd", , "21422436","@bh,EURCAD,h1,close,2")</f>
        <v>1.51278</v>
      </c>
      <c r="J4" s="64">
        <f>RTD("fxbluelabs.excelrtd", , "21422436","@bh,EURGBP,h1,close,2")</f>
        <v>0.85279000000000005</v>
      </c>
      <c r="K4" s="64">
        <f>RTD("fxbluelabs.excelrtd", , "21422436","@bh,EURCHF,h1,close,2")</f>
        <v>0.95006999999999997</v>
      </c>
      <c r="L4" s="65">
        <f>RTD("fxbluelabs.excelrtd", , "21422436","@bh,EURJPY,h1,close,2")</f>
        <v>162.17400000000001</v>
      </c>
      <c r="M4" s="64">
        <f>RTD("fxbluelabs.excelrtd", , "21422436","@bh,EURAUD,h1,close,2")</f>
        <v>1.64984</v>
      </c>
      <c r="N4" s="64">
        <f>RTD("fxbluelabs.excelrtd", , "21422436","@bh,EURNZD,h1,close,2")</f>
        <v>1.8101100000000001</v>
      </c>
      <c r="O4" s="64">
        <f>RTD("fxbluelabs.excelrtd", , "21422436","@bh,GBPUSD,h1,close,2")</f>
        <v>1.3045100000000001</v>
      </c>
      <c r="P4" s="64">
        <f>RTD("fxbluelabs.excelrtd", , "21422436","@bh,GBPAUD,h1,close,2")</f>
        <v>1.9345699999999999</v>
      </c>
      <c r="Q4" s="64">
        <f>RTD("fxbluelabs.excelrtd", , "21422436","@bh,GBPNZD,h1,close,2")</f>
        <v>2.1225000000000001</v>
      </c>
      <c r="R4" s="64">
        <f>RTD("fxbluelabs.excelrtd", , "21422436","@bh,GBPCAD,h1,close,2")</f>
        <v>1.77386</v>
      </c>
      <c r="S4" s="64">
        <f>RTD("fxbluelabs.excelrtd", , "21422436","@bh,GBPCHF,h1,close,2")</f>
        <v>1.1140300000000001</v>
      </c>
      <c r="T4" s="65">
        <f>RTD("fxbluelabs.excelrtd", , "21422436","@bh,GBPJPY,h1,close,2")</f>
        <v>190.16499999999999</v>
      </c>
      <c r="U4" s="65">
        <f>RTD("fxbluelabs.excelrtd", , "21422436","@bh,NZDJPY,h1,close,2")</f>
        <v>89.591999999999999</v>
      </c>
      <c r="V4" s="64">
        <f>RTD("fxbluelabs.excelrtd", , "21422436","@bh,NZDCHF,h1,close,2")</f>
        <v>0.52485000000000004</v>
      </c>
      <c r="W4" s="64">
        <f>RTD("fxbluelabs.excelrtd", , "21422436","@bh,NZDUSD,h1,close,2")</f>
        <v>0.61458000000000002</v>
      </c>
      <c r="X4" s="64">
        <f>RTD("fxbluelabs.excelrtd", , "21422436","@bh,NZDCAD,h1,close,2")</f>
        <v>0.83570999999999995</v>
      </c>
      <c r="Y4" s="65">
        <f>RTD("fxbluelabs.excelrtd", , "21422436","@bh,CADJPY,h1,close,2")</f>
        <v>107.203</v>
      </c>
      <c r="Z4" s="64">
        <f>RTD("fxbluelabs.excelrtd", , "21422436","@bh,CADCHF,h1,close,2")</f>
        <v>0.62802000000000002</v>
      </c>
      <c r="AA4" s="65">
        <f>RTD("fxbluelabs.excelrtd", , "21422436","@bh,CHFJPY,h1,close,2")</f>
        <v>170.68799999999999</v>
      </c>
      <c r="AB4" s="64">
        <f>RTD("fxbluelabs.excelrtd", , "21422436","@bh,USDCAD,h1,close,2")</f>
        <v>1.3598600000000001</v>
      </c>
      <c r="AC4" s="64">
        <f>RTD("fxbluelabs.excelrtd", , "21422436","@bh,USDCHF,h1,close,2")</f>
        <v>0.85401000000000005</v>
      </c>
      <c r="AD4" s="66">
        <f>RTD("fxbluelabs.excelrtd", , "21422436","@bh,USDJPY,h1,close,2")</f>
        <v>145.77799999999999</v>
      </c>
      <c r="AH4" s="56">
        <v>3</v>
      </c>
      <c r="AI4" s="74">
        <f t="shared" ref="AI4:AX19" si="35">IF(C4=0,0,(C4-C5)*100/C5)</f>
        <v>6.6779449737326801E-2</v>
      </c>
      <c r="AJ4" s="74">
        <f t="shared" si="35"/>
        <v>-2.0959202456778705E-2</v>
      </c>
      <c r="AK4" s="74">
        <f t="shared" si="35"/>
        <v>-0.13004693881697937</v>
      </c>
      <c r="AL4" s="74">
        <f t="shared" si="35"/>
        <v>-6.4211585852622516E-2</v>
      </c>
      <c r="AM4" s="74">
        <f t="shared" si="35"/>
        <v>5.4560136182093898E-2</v>
      </c>
      <c r="AN4" s="74">
        <f>IF(H4=0,0,(H4-H5)*100/H5)</f>
        <v>9.1769532515206836E-2</v>
      </c>
      <c r="AO4" s="74">
        <f t="shared" si="35"/>
        <v>8.0711318108444174E-2</v>
      </c>
      <c r="AP4" s="74">
        <f t="shared" si="35"/>
        <v>-1.1724841421518481E-2</v>
      </c>
      <c r="AQ4" s="74">
        <f t="shared" si="35"/>
        <v>-3.6825824372390362E-2</v>
      </c>
      <c r="AR4" s="74">
        <f t="shared" si="35"/>
        <v>-0.10410057717301191</v>
      </c>
      <c r="AS4" s="74">
        <f t="shared" si="35"/>
        <v>2.6069928034868857E-2</v>
      </c>
      <c r="AT4" s="74">
        <f t="shared" si="35"/>
        <v>4.9723207478450798E-3</v>
      </c>
      <c r="AU4" s="74">
        <f t="shared" si="35"/>
        <v>0.10205804263417589</v>
      </c>
      <c r="AV4" s="74">
        <f t="shared" si="35"/>
        <v>3.5162289478708295E-2</v>
      </c>
      <c r="AW4" s="74">
        <f t="shared" si="35"/>
        <v>1.4607551632994903E-2</v>
      </c>
      <c r="AX4" s="74">
        <f t="shared" si="35"/>
        <v>8.9715449677531089E-2</v>
      </c>
      <c r="AY4" s="74">
        <f t="shared" si="1"/>
        <v>-2.9613410388020161E-2</v>
      </c>
      <c r="AZ4" s="74">
        <f t="shared" si="1"/>
        <v>-9.5089994010912546E-2</v>
      </c>
      <c r="BA4" s="74">
        <f t="shared" si="1"/>
        <v>-0.11037896778941449</v>
      </c>
      <c r="BB4" s="74">
        <f t="shared" si="1"/>
        <v>-4.3802849089653477E-2</v>
      </c>
      <c r="BC4" s="74">
        <f t="shared" si="1"/>
        <v>8.6312189561115624E-2</v>
      </c>
      <c r="BD4" s="74">
        <f t="shared" si="1"/>
        <v>7.5441873832436224E-2</v>
      </c>
      <c r="BE4" s="74">
        <f t="shared" si="1"/>
        <v>-0.18528519021991963</v>
      </c>
      <c r="BF4" s="74">
        <f t="shared" si="1"/>
        <v>-0.11928050002386061</v>
      </c>
      <c r="BG4" s="74">
        <f t="shared" si="1"/>
        <v>-7.200941391363487E-2</v>
      </c>
      <c r="BH4" s="74">
        <f t="shared" si="1"/>
        <v>-1.1029330666676896E-2</v>
      </c>
      <c r="BI4" s="74">
        <f t="shared" si="1"/>
        <v>-0.12863842078796761</v>
      </c>
      <c r="BJ4" s="74">
        <f t="shared" si="1"/>
        <v>-0.1951212832818692</v>
      </c>
      <c r="BN4" s="59">
        <v>3</v>
      </c>
      <c r="BO4" s="78">
        <f t="shared" si="6"/>
        <v>0.13843542474425419</v>
      </c>
      <c r="BP4" s="78">
        <f t="shared" si="2"/>
        <v>7.412020956837527E-2</v>
      </c>
      <c r="BQ4" s="78">
        <f t="shared" si="3"/>
        <v>-0.27140358633519079</v>
      </c>
      <c r="BR4" s="78">
        <f t="shared" si="3"/>
        <v>-0.50849914196849266</v>
      </c>
      <c r="BS4" s="78">
        <f t="shared" si="3"/>
        <v>1.7842765801028247E-2</v>
      </c>
      <c r="BT4" s="78">
        <f t="shared" si="3"/>
        <v>0.39667949613335418</v>
      </c>
      <c r="BU4" s="78">
        <f t="shared" si="3"/>
        <v>0.27981942481876226</v>
      </c>
      <c r="BV4" s="78">
        <f t="shared" si="3"/>
        <v>0.1093175864844473</v>
      </c>
      <c r="BW4" s="78">
        <f t="shared" si="3"/>
        <v>-0.24867092622345688</v>
      </c>
      <c r="BX4" s="78">
        <f t="shared" si="3"/>
        <v>-1.1057038470846908E-2</v>
      </c>
      <c r="BY4" s="78">
        <f t="shared" si="3"/>
        <v>0.26123619234587769</v>
      </c>
      <c r="BZ4" s="78">
        <f t="shared" si="3"/>
        <v>0.33526852194637013</v>
      </c>
      <c r="CA4" s="78">
        <f t="shared" si="3"/>
        <v>0.28594982673174807</v>
      </c>
      <c r="CB4" s="78">
        <f t="shared" si="3"/>
        <v>0.15175899981451169</v>
      </c>
      <c r="CC4" s="78">
        <f t="shared" si="3"/>
        <v>0.22647106104561524</v>
      </c>
      <c r="CD4" s="78">
        <f t="shared" si="3"/>
        <v>0.17023229624722075</v>
      </c>
      <c r="CE4" s="78">
        <f t="shared" si="3"/>
        <v>-0.35669243385230459</v>
      </c>
      <c r="CF4" s="78">
        <f t="shared" si="3"/>
        <v>-0.11957684518150208</v>
      </c>
      <c r="CG4" s="78">
        <f t="shared" si="3"/>
        <v>-0.33926665673140249</v>
      </c>
      <c r="CH4" s="78">
        <f t="shared" si="3"/>
        <v>-0.57680054249042756</v>
      </c>
      <c r="CI4" s="78">
        <f t="shared" si="3"/>
        <v>6.9080135656167163E-2</v>
      </c>
      <c r="CJ4" s="78">
        <f t="shared" si="3"/>
        <v>-4.844749372331647E-2</v>
      </c>
      <c r="CK4" s="78">
        <f t="shared" si="3"/>
        <v>-0.28954745800633297</v>
      </c>
      <c r="CL4" s="78">
        <f t="shared" si="3"/>
        <v>-0.52637931201205301</v>
      </c>
      <c r="CM4" s="78">
        <f t="shared" si="3"/>
        <v>0.23621491124151478</v>
      </c>
      <c r="CN4" s="78">
        <f t="shared" si="3"/>
        <v>-0.11821053293323765</v>
      </c>
      <c r="CO4" s="78">
        <f t="shared" si="3"/>
        <v>-0.64701452894332923</v>
      </c>
      <c r="CP4" s="78">
        <f t="shared" si="3"/>
        <v>-0.40750655202796338</v>
      </c>
      <c r="CU4" s="56">
        <v>3</v>
      </c>
      <c r="CV4" s="57">
        <f t="shared" si="7"/>
        <v>1.1225932570345076</v>
      </c>
      <c r="CW4" s="57">
        <f t="shared" si="8"/>
        <v>-2.0628764971700542</v>
      </c>
      <c r="CX4" s="57">
        <f t="shared" si="9"/>
        <v>-1.117163230228843</v>
      </c>
      <c r="CY4" s="57">
        <f t="shared" si="10"/>
        <v>2.5738924847195253</v>
      </c>
      <c r="CZ4" s="57">
        <f t="shared" si="11"/>
        <v>0.2488253183208417</v>
      </c>
      <c r="DA4" s="57">
        <f t="shared" si="12"/>
        <v>-0.96249952035041508</v>
      </c>
      <c r="DB4" s="57">
        <f t="shared" si="13"/>
        <v>-1.5312943498493401</v>
      </c>
      <c r="DC4" s="57">
        <f t="shared" si="14"/>
        <v>1.2021432255117239</v>
      </c>
      <c r="DF4" s="51">
        <v>3</v>
      </c>
      <c r="DG4" s="52">
        <f t="shared" ref="DG4:DG37" si="36">CN4</f>
        <v>-0.11821053293323765</v>
      </c>
      <c r="DH4" s="52">
        <f t="shared" si="15"/>
        <v>0.27981942481876226</v>
      </c>
      <c r="DI4" s="52">
        <f t="shared" si="16"/>
        <v>-0.64701452894332923</v>
      </c>
      <c r="DJ4" s="52">
        <f t="shared" si="17"/>
        <v>-0.24867092622345688</v>
      </c>
      <c r="DK4" s="52">
        <f t="shared" si="18"/>
        <v>-0.28594982673174807</v>
      </c>
      <c r="DL4" s="52">
        <f t="shared" si="19"/>
        <v>0.1093175864844473</v>
      </c>
      <c r="DM4" s="52">
        <f t="shared" si="20"/>
        <v>-0.13843542474425419</v>
      </c>
      <c r="DN4" s="52">
        <f t="shared" si="21"/>
        <v>0.26123619234587769</v>
      </c>
      <c r="DO4" s="52">
        <f t="shared" si="22"/>
        <v>-6.9080135656167163E-2</v>
      </c>
      <c r="DP4" s="52">
        <f t="shared" si="23"/>
        <v>0.33526852194637013</v>
      </c>
      <c r="DQ4" s="52">
        <f t="shared" si="24"/>
        <v>-0.40750655202796338</v>
      </c>
      <c r="DR4" s="52">
        <f t="shared" si="25"/>
        <v>-1.1057038470846908E-2</v>
      </c>
      <c r="DS4" s="52">
        <f t="shared" si="26"/>
        <v>-0.39667949613335418</v>
      </c>
      <c r="DT4" s="52">
        <f t="shared" si="27"/>
        <v>0.39667949613335418</v>
      </c>
      <c r="DX4">
        <v>3</v>
      </c>
      <c r="DY4" s="19">
        <f t="shared" si="4"/>
        <v>0.53158214732071407</v>
      </c>
      <c r="EJ4" t="str">
        <f>"-"</f>
        <v>-</v>
      </c>
      <c r="EM4" s="21">
        <v>3</v>
      </c>
      <c r="EN4" s="16">
        <f t="shared" si="28"/>
        <v>1.1225932570345076</v>
      </c>
      <c r="EO4" s="16">
        <f t="shared" si="5"/>
        <v>-2.0628764971700542</v>
      </c>
      <c r="EP4" s="16">
        <f t="shared" si="29"/>
        <v>-1.117163230228843</v>
      </c>
      <c r="EQ4" s="16">
        <f t="shared" si="30"/>
        <v>2.5738924847195253</v>
      </c>
      <c r="ER4" s="16">
        <f t="shared" si="31"/>
        <v>0.2488253183208417</v>
      </c>
      <c r="ES4" s="16">
        <f t="shared" si="32"/>
        <v>-0.96249952035041508</v>
      </c>
      <c r="ET4" s="16">
        <f t="shared" si="33"/>
        <v>-1.5312943498493401</v>
      </c>
      <c r="EU4" s="16">
        <f t="shared" si="34"/>
        <v>1.2021432255117239</v>
      </c>
      <c r="EW4" s="40">
        <f>LARGE($EN$2:$EU$2,3)</f>
        <v>0.85369078126411557</v>
      </c>
      <c r="EX4" s="39" t="str">
        <f>INDEX(EN1:EU1,MATCH(EW4,EN2:EU2,0))</f>
        <v>GBP</v>
      </c>
      <c r="FK4" s="20"/>
      <c r="FL4" s="20"/>
    </row>
    <row r="5" spans="1:170" ht="18.600000000000001" thickBot="1" x14ac:dyDescent="0.4">
      <c r="A5" s="37" t="s">
        <v>51</v>
      </c>
      <c r="B5" s="38">
        <v>3</v>
      </c>
      <c r="C5" s="63">
        <f>RTD("fxbluelabs.excelrtd", , "21422436","@bh,AUDUSD,h1,close,3")</f>
        <v>0.67386000000000001</v>
      </c>
      <c r="D5" s="64">
        <f>RTD("fxbluelabs.excelrtd", , "21422436","@bh,AUDNZD,h1,close,3")</f>
        <v>1.09737</v>
      </c>
      <c r="E5" s="65">
        <f>RTD("fxbluelabs.excelrtd", , "21422436","@bh,AUDJPY,h1,close,3")</f>
        <v>98.426000000000002</v>
      </c>
      <c r="F5" s="64">
        <f>RTD("fxbluelabs.excelrtd", , "21422436","@bh,AUDCHF,h1,close,3")</f>
        <v>0.57621999999999995</v>
      </c>
      <c r="G5" s="64">
        <f>RTD("fxbluelabs.excelrtd", , "21422436","@bh,AUDCAD,h1,close,3")</f>
        <v>0.91642000000000001</v>
      </c>
      <c r="H5" s="64">
        <f>RTD("fxbluelabs.excelrtd", , "21422436","@bh,EURUSD,h1,close,3")</f>
        <v>1.11148</v>
      </c>
      <c r="I5" s="64">
        <f>RTD("fxbluelabs.excelrtd", , "21422436","@bh,EURCAD,h1,close,3")</f>
        <v>1.51156</v>
      </c>
      <c r="J5" s="64">
        <f>RTD("fxbluelabs.excelrtd", , "21422436","@bh,EURGBP,h1,close,3")</f>
        <v>0.85289000000000004</v>
      </c>
      <c r="K5" s="64">
        <f>RTD("fxbluelabs.excelrtd", , "21422436","@bh,EURCHF,h1,close,3")</f>
        <v>0.95042000000000004</v>
      </c>
      <c r="L5" s="65">
        <f>RTD("fxbluelabs.excelrtd", , "21422436","@bh,EURJPY,h1,close,3")</f>
        <v>162.34299999999999</v>
      </c>
      <c r="M5" s="64">
        <f>RTD("fxbluelabs.excelrtd", , "21422436","@bh,EURAUD,h1,close,3")</f>
        <v>1.64941</v>
      </c>
      <c r="N5" s="64">
        <f>RTD("fxbluelabs.excelrtd", , "21422436","@bh,EURNZD,h1,close,3")</f>
        <v>1.81002</v>
      </c>
      <c r="O5" s="64">
        <f>RTD("fxbluelabs.excelrtd", , "21422436","@bh,GBPUSD,h1,close,3")</f>
        <v>1.30318</v>
      </c>
      <c r="P5" s="64">
        <f>RTD("fxbluelabs.excelrtd", , "21422436","@bh,GBPAUD,h1,close,3")</f>
        <v>1.9338900000000001</v>
      </c>
      <c r="Q5" s="64">
        <f>RTD("fxbluelabs.excelrtd", , "21422436","@bh,GBPNZD,h1,close,3")</f>
        <v>2.1221899999999998</v>
      </c>
      <c r="R5" s="64">
        <f>RTD("fxbluelabs.excelrtd", , "21422436","@bh,GBPCAD,h1,close,3")</f>
        <v>1.77227</v>
      </c>
      <c r="S5" s="64">
        <f>RTD("fxbluelabs.excelrtd", , "21422436","@bh,GBPCHF,h1,close,3")</f>
        <v>1.11436</v>
      </c>
      <c r="T5" s="65">
        <f>RTD("fxbluelabs.excelrtd", , "21422436","@bh,GBPJPY,h1,close,3")</f>
        <v>190.346</v>
      </c>
      <c r="U5" s="65">
        <f>RTD("fxbluelabs.excelrtd", , "21422436","@bh,NZDJPY,h1,close,3")</f>
        <v>89.691000000000003</v>
      </c>
      <c r="V5" s="64">
        <f>RTD("fxbluelabs.excelrtd", , "21422436","@bh,NZDCHF,h1,close,3")</f>
        <v>0.52507999999999999</v>
      </c>
      <c r="W5" s="64">
        <f>RTD("fxbluelabs.excelrtd", , "21422436","@bh,NZDUSD,h1,close,3")</f>
        <v>0.61404999999999998</v>
      </c>
      <c r="X5" s="64">
        <f>RTD("fxbluelabs.excelrtd", , "21422436","@bh,NZDCAD,h1,close,3")</f>
        <v>0.83508000000000004</v>
      </c>
      <c r="Y5" s="65">
        <f>RTD("fxbluelabs.excelrtd", , "21422436","@bh,CADJPY,h1,close,3")</f>
        <v>107.402</v>
      </c>
      <c r="Z5" s="64">
        <f>RTD("fxbluelabs.excelrtd", , "21422436","@bh,CADCHF,h1,close,3")</f>
        <v>0.62877000000000005</v>
      </c>
      <c r="AA5" s="65">
        <f>RTD("fxbluelabs.excelrtd", , "21422436","@bh,CHFJPY,h1,close,3")</f>
        <v>170.81100000000001</v>
      </c>
      <c r="AB5" s="64">
        <f>RTD("fxbluelabs.excelrtd", , "21422436","@bh,USDCAD,h1,close,3")</f>
        <v>1.3600099999999999</v>
      </c>
      <c r="AC5" s="64">
        <f>RTD("fxbluelabs.excelrtd", , "21422436","@bh,USDCHF,h1,close,3")</f>
        <v>0.85511000000000004</v>
      </c>
      <c r="AD5" s="66">
        <f>RTD("fxbluelabs.excelrtd", , "21422436","@bh,USDJPY,h1,close,3")</f>
        <v>146.06299999999999</v>
      </c>
      <c r="AH5" s="56">
        <v>4</v>
      </c>
      <c r="AI5" s="75">
        <f t="shared" si="35"/>
        <v>-5.3395034261817645E-2</v>
      </c>
      <c r="AJ5" s="75">
        <f t="shared" si="35"/>
        <v>-2.4598228927516532E-2</v>
      </c>
      <c r="AK5" s="75">
        <f t="shared" si="35"/>
        <v>-0.12886467180095518</v>
      </c>
      <c r="AL5" s="75">
        <f t="shared" si="35"/>
        <v>-9.7090745171470053E-2</v>
      </c>
      <c r="AM5" s="75">
        <f t="shared" si="35"/>
        <v>-5.5620385416554202E-2</v>
      </c>
      <c r="AN5" s="75">
        <f t="shared" si="35"/>
        <v>-9.0787332919842464E-2</v>
      </c>
      <c r="AO5" s="75">
        <f t="shared" si="35"/>
        <v>-9.1873492184143715E-2</v>
      </c>
      <c r="AP5" s="75">
        <f t="shared" si="35"/>
        <v>-1.9928258270227588E-2</v>
      </c>
      <c r="AQ5" s="75">
        <f t="shared" si="35"/>
        <v>-0.13344681566476407</v>
      </c>
      <c r="AR5" s="75">
        <f t="shared" si="35"/>
        <v>-0.16849406888578741</v>
      </c>
      <c r="AS5" s="75">
        <f t="shared" si="35"/>
        <v>-3.5757575757567786E-2</v>
      </c>
      <c r="AT5" s="75">
        <f t="shared" si="35"/>
        <v>-6.239129834635869E-2</v>
      </c>
      <c r="AU5" s="75">
        <f t="shared" si="35"/>
        <v>-7.0546737213406319E-2</v>
      </c>
      <c r="AV5" s="75">
        <f t="shared" si="35"/>
        <v>-1.4993433909972259E-2</v>
      </c>
      <c r="AW5" s="75">
        <f t="shared" si="35"/>
        <v>-4.1920229101119949E-2</v>
      </c>
      <c r="AX5" s="75">
        <f t="shared" si="35"/>
        <v>-7.0481302720012934E-2</v>
      </c>
      <c r="AY5" s="75">
        <f t="shared" si="1"/>
        <v>-0.11294168265180247</v>
      </c>
      <c r="AZ5" s="75">
        <f t="shared" si="1"/>
        <v>-0.14636065573770302</v>
      </c>
      <c r="BA5" s="75">
        <f t="shared" si="1"/>
        <v>-0.10469454808709037</v>
      </c>
      <c r="BB5" s="75">
        <f t="shared" si="1"/>
        <v>-7.2317588398745275E-2</v>
      </c>
      <c r="BC5" s="75">
        <f t="shared" si="1"/>
        <v>-2.930498347525666E-2</v>
      </c>
      <c r="BD5" s="75">
        <f t="shared" si="1"/>
        <v>-2.8731504094228196E-2</v>
      </c>
      <c r="BE5" s="75">
        <f t="shared" si="1"/>
        <v>-7.5360754724005719E-2</v>
      </c>
      <c r="BF5" s="75">
        <f t="shared" si="1"/>
        <v>-4.2922548645553935E-2</v>
      </c>
      <c r="BG5" s="75">
        <f t="shared" si="1"/>
        <v>-3.2774028923070679E-2</v>
      </c>
      <c r="BH5" s="75">
        <f t="shared" si="1"/>
        <v>0</v>
      </c>
      <c r="BI5" s="75">
        <f t="shared" si="1"/>
        <v>-4.325057277785354E-2</v>
      </c>
      <c r="BJ5" s="75">
        <f t="shared" si="1"/>
        <v>-7.6620489139745632E-2</v>
      </c>
      <c r="BN5" s="59">
        <v>4</v>
      </c>
      <c r="BO5" s="79">
        <f t="shared" si="6"/>
        <v>7.1655975006927344E-2</v>
      </c>
      <c r="BP5" s="79">
        <f t="shared" si="2"/>
        <v>9.5079412025154006E-2</v>
      </c>
      <c r="BQ5" s="79">
        <f t="shared" si="3"/>
        <v>-0.14135664751821153</v>
      </c>
      <c r="BR5" s="79">
        <f t="shared" si="3"/>
        <v>-0.44428755611587023</v>
      </c>
      <c r="BS5" s="79">
        <f t="shared" si="3"/>
        <v>-3.6717370381065678E-2</v>
      </c>
      <c r="BT5" s="79">
        <f t="shared" si="3"/>
        <v>0.30490996361814732</v>
      </c>
      <c r="BU5" s="79">
        <f t="shared" si="3"/>
        <v>0.19910810671031814</v>
      </c>
      <c r="BV5" s="79">
        <f t="shared" si="3"/>
        <v>0.12104242790596575</v>
      </c>
      <c r="BW5" s="79">
        <f t="shared" si="3"/>
        <v>-0.2118451018510665</v>
      </c>
      <c r="BX5" s="79">
        <f t="shared" si="3"/>
        <v>9.3043538702165002E-2</v>
      </c>
      <c r="BY5" s="79">
        <f t="shared" si="3"/>
        <v>0.23516626431100884</v>
      </c>
      <c r="BZ5" s="79">
        <f t="shared" si="3"/>
        <v>0.33029620119852504</v>
      </c>
      <c r="CA5" s="79">
        <f t="shared" si="3"/>
        <v>0.18389178409757218</v>
      </c>
      <c r="CB5" s="79">
        <f t="shared" si="3"/>
        <v>0.11659671033580335</v>
      </c>
      <c r="CC5" s="79">
        <f t="shared" si="3"/>
        <v>0.2118635094126203</v>
      </c>
      <c r="CD5" s="79">
        <f t="shared" si="3"/>
        <v>8.0516846569689687E-2</v>
      </c>
      <c r="CE5" s="79">
        <f t="shared" si="3"/>
        <v>-0.32707902346428436</v>
      </c>
      <c r="CF5" s="79">
        <f t="shared" si="3"/>
        <v>-2.4486851170589477E-2</v>
      </c>
      <c r="CG5" s="79">
        <f t="shared" si="3"/>
        <v>-0.22888768894198802</v>
      </c>
      <c r="CH5" s="79">
        <f t="shared" si="3"/>
        <v>-0.53299769340077419</v>
      </c>
      <c r="CI5" s="79">
        <f t="shared" si="3"/>
        <v>-1.7232053904948481E-2</v>
      </c>
      <c r="CJ5" s="79">
        <f t="shared" si="3"/>
        <v>-0.12388936755575269</v>
      </c>
      <c r="CK5" s="79">
        <f t="shared" si="3"/>
        <v>-0.10426226778641312</v>
      </c>
      <c r="CL5" s="79">
        <f t="shared" si="3"/>
        <v>-0.40709881198819242</v>
      </c>
      <c r="CM5" s="79">
        <f t="shared" si="3"/>
        <v>0.30822432515514975</v>
      </c>
      <c r="CN5" s="79">
        <f t="shared" si="3"/>
        <v>-0.10718120226656075</v>
      </c>
      <c r="CO5" s="79">
        <f t="shared" si="3"/>
        <v>-0.51837610815536161</v>
      </c>
      <c r="CP5" s="79">
        <f t="shared" si="3"/>
        <v>-0.21238526874609415</v>
      </c>
      <c r="CU5" s="56">
        <v>4</v>
      </c>
      <c r="CV5" s="58">
        <f t="shared" si="7"/>
        <v>1.0717214005950635</v>
      </c>
      <c r="CW5" s="58">
        <f t="shared" si="8"/>
        <v>-1.3811682479857148</v>
      </c>
      <c r="CX5" s="58">
        <f t="shared" si="9"/>
        <v>-0.52319809285123431</v>
      </c>
      <c r="CY5" s="58">
        <f t="shared" si="10"/>
        <v>2.3428098081425066</v>
      </c>
      <c r="CZ5" s="58">
        <f t="shared" si="11"/>
        <v>0.12026054787484602</v>
      </c>
      <c r="DA5" s="58">
        <f t="shared" si="12"/>
        <v>-0.80738916162987828</v>
      </c>
      <c r="DB5" s="58">
        <f t="shared" si="13"/>
        <v>-1.5402459264397628</v>
      </c>
      <c r="DC5" s="58">
        <f t="shared" si="14"/>
        <v>0.31011086030598156</v>
      </c>
      <c r="DF5" s="53">
        <v>4</v>
      </c>
      <c r="DG5" s="54">
        <f t="shared" si="36"/>
        <v>-0.10718120226656075</v>
      </c>
      <c r="DH5" s="54">
        <f t="shared" si="15"/>
        <v>0.19910810671031814</v>
      </c>
      <c r="DI5" s="54">
        <f t="shared" si="16"/>
        <v>-0.51837610815536161</v>
      </c>
      <c r="DJ5" s="54">
        <f t="shared" si="17"/>
        <v>-0.2118451018510665</v>
      </c>
      <c r="DK5" s="54">
        <f t="shared" si="18"/>
        <v>-0.18389178409757218</v>
      </c>
      <c r="DL5" s="54">
        <f t="shared" si="19"/>
        <v>0.12104242790596575</v>
      </c>
      <c r="DM5" s="54">
        <f t="shared" si="20"/>
        <v>-7.1655975006927344E-2</v>
      </c>
      <c r="DN5" s="54">
        <f t="shared" si="21"/>
        <v>0.23516626431100884</v>
      </c>
      <c r="DO5" s="54">
        <f t="shared" si="22"/>
        <v>1.7232053904948481E-2</v>
      </c>
      <c r="DP5" s="54">
        <f t="shared" si="23"/>
        <v>0.33029620119852504</v>
      </c>
      <c r="DQ5" s="54">
        <f t="shared" si="24"/>
        <v>-0.21238526874609415</v>
      </c>
      <c r="DR5" s="54">
        <f t="shared" si="25"/>
        <v>9.3043538702165002E-2</v>
      </c>
      <c r="DS5" s="54">
        <f t="shared" si="26"/>
        <v>-0.30490996361814732</v>
      </c>
      <c r="DT5" s="54">
        <f t="shared" si="27"/>
        <v>0.30490996361814732</v>
      </c>
      <c r="DX5">
        <v>4</v>
      </c>
      <c r="DY5" s="19">
        <f t="shared" si="4"/>
        <v>-0.15907767845404797</v>
      </c>
      <c r="EM5" s="21">
        <v>4</v>
      </c>
      <c r="EN5" s="16">
        <f t="shared" si="28"/>
        <v>1.0717214005950635</v>
      </c>
      <c r="EO5" s="16">
        <f t="shared" si="5"/>
        <v>-1.3811682479857148</v>
      </c>
      <c r="EP5" s="16">
        <f t="shared" si="29"/>
        <v>-0.52319809285123431</v>
      </c>
      <c r="EQ5" s="16">
        <f t="shared" si="30"/>
        <v>2.3428098081425066</v>
      </c>
      <c r="ER5" s="16">
        <f t="shared" si="31"/>
        <v>0.12026054787484602</v>
      </c>
      <c r="ES5" s="16">
        <f t="shared" si="32"/>
        <v>-0.80738916162987828</v>
      </c>
      <c r="ET5" s="16">
        <f t="shared" si="33"/>
        <v>-1.5402459264397628</v>
      </c>
      <c r="EU5" s="16">
        <f t="shared" si="34"/>
        <v>0.31011086030598156</v>
      </c>
      <c r="EW5" s="40">
        <f>LARGE($EN$2:$EU$2,4)</f>
        <v>0.65660779964295712</v>
      </c>
      <c r="EX5" s="39" t="str">
        <f>INDEX(EN1:EU1,MATCH(EW5,EN2:EU2,0))</f>
        <v>EUR</v>
      </c>
      <c r="FK5" s="20"/>
      <c r="FL5" s="20"/>
    </row>
    <row r="6" spans="1:170" ht="18.600000000000001" thickBot="1" x14ac:dyDescent="0.4">
      <c r="A6" s="37" t="s">
        <v>51</v>
      </c>
      <c r="B6" s="38">
        <v>4</v>
      </c>
      <c r="C6" s="63">
        <f>RTD("fxbluelabs.excelrtd", , "21422436","@bh,AUDUSD,h1,close,4")</f>
        <v>0.67422000000000004</v>
      </c>
      <c r="D6" s="64">
        <f>RTD("fxbluelabs.excelrtd", , "21422436","@bh,AUDNZD,h1,close,4")</f>
        <v>1.0976399999999999</v>
      </c>
      <c r="E6" s="65">
        <f>RTD("fxbluelabs.excelrtd", , "21422436","@bh,AUDJPY,h1,close,4")</f>
        <v>98.552999999999997</v>
      </c>
      <c r="F6" s="64">
        <f>RTD("fxbluelabs.excelrtd", , "21422436","@bh,AUDCHF,h1,close,4")</f>
        <v>0.57677999999999996</v>
      </c>
      <c r="G6" s="64">
        <f>RTD("fxbluelabs.excelrtd", , "21422436","@bh,AUDCAD,h1,close,4")</f>
        <v>0.91693000000000002</v>
      </c>
      <c r="H6" s="64">
        <f>RTD("fxbluelabs.excelrtd", , "21422436","@bh,EURUSD,h1,close,4")</f>
        <v>1.11249</v>
      </c>
      <c r="I6" s="64">
        <f>RTD("fxbluelabs.excelrtd", , "21422436","@bh,EURCAD,h1,close,4")</f>
        <v>1.51295</v>
      </c>
      <c r="J6" s="64">
        <f>RTD("fxbluelabs.excelrtd", , "21422436","@bh,EURGBP,h1,close,4")</f>
        <v>0.85306000000000004</v>
      </c>
      <c r="K6" s="64">
        <f>RTD("fxbluelabs.excelrtd", , "21422436","@bh,EURCHF,h1,close,4")</f>
        <v>0.95169000000000004</v>
      </c>
      <c r="L6" s="65">
        <f>RTD("fxbluelabs.excelrtd", , "21422436","@bh,EURJPY,h1,close,4")</f>
        <v>162.61699999999999</v>
      </c>
      <c r="M6" s="64">
        <f>RTD("fxbluelabs.excelrtd", , "21422436","@bh,EURAUD,h1,close,4")</f>
        <v>1.65</v>
      </c>
      <c r="N6" s="64">
        <f>RTD("fxbluelabs.excelrtd", , "21422436","@bh,EURNZD,h1,close,4")</f>
        <v>1.81115</v>
      </c>
      <c r="O6" s="64">
        <f>RTD("fxbluelabs.excelrtd", , "21422436","@bh,GBPUSD,h1,close,4")</f>
        <v>1.3041</v>
      </c>
      <c r="P6" s="64">
        <f>RTD("fxbluelabs.excelrtd", , "21422436","@bh,GBPAUD,h1,close,4")</f>
        <v>1.93418</v>
      </c>
      <c r="Q6" s="64">
        <f>RTD("fxbluelabs.excelrtd", , "21422436","@bh,GBPNZD,h1,close,4")</f>
        <v>2.1230799999999999</v>
      </c>
      <c r="R6" s="64">
        <f>RTD("fxbluelabs.excelrtd", , "21422436","@bh,GBPCAD,h1,close,4")</f>
        <v>1.77352</v>
      </c>
      <c r="S6" s="64">
        <f>RTD("fxbluelabs.excelrtd", , "21422436","@bh,GBPCHF,h1,close,4")</f>
        <v>1.1156200000000001</v>
      </c>
      <c r="T6" s="65">
        <f>RTD("fxbluelabs.excelrtd", , "21422436","@bh,GBPJPY,h1,close,4")</f>
        <v>190.625</v>
      </c>
      <c r="U6" s="65">
        <f>RTD("fxbluelabs.excelrtd", , "21422436","@bh,NZDJPY,h1,close,4")</f>
        <v>89.784999999999997</v>
      </c>
      <c r="V6" s="64">
        <f>RTD("fxbluelabs.excelrtd", , "21422436","@bh,NZDCHF,h1,close,4")</f>
        <v>0.52546000000000004</v>
      </c>
      <c r="W6" s="64">
        <f>RTD("fxbluelabs.excelrtd", , "21422436","@bh,NZDUSD,h1,close,4")</f>
        <v>0.61423000000000005</v>
      </c>
      <c r="X6" s="64">
        <f>RTD("fxbluelabs.excelrtd", , "21422436","@bh,NZDCAD,h1,close,4")</f>
        <v>0.83531999999999995</v>
      </c>
      <c r="Y6" s="65">
        <f>RTD("fxbluelabs.excelrtd", , "21422436","@bh,CADJPY,h1,close,4")</f>
        <v>107.483</v>
      </c>
      <c r="Z6" s="64">
        <f>RTD("fxbluelabs.excelrtd", , "21422436","@bh,CADCHF,h1,close,4")</f>
        <v>0.62904000000000004</v>
      </c>
      <c r="AA6" s="65">
        <f>RTD("fxbluelabs.excelrtd", , "21422436","@bh,CHFJPY,h1,close,4")</f>
        <v>170.86699999999999</v>
      </c>
      <c r="AB6" s="64">
        <f>RTD("fxbluelabs.excelrtd", , "21422436","@bh,USDCAD,h1,close,4")</f>
        <v>1.3600099999999999</v>
      </c>
      <c r="AC6" s="64">
        <f>RTD("fxbluelabs.excelrtd", , "21422436","@bh,USDCHF,h1,close,4")</f>
        <v>0.85548000000000002</v>
      </c>
      <c r="AD6" s="66">
        <f>RTD("fxbluelabs.excelrtd", , "21422436","@bh,USDJPY,h1,close,4")</f>
        <v>146.17500000000001</v>
      </c>
      <c r="AH6" s="56">
        <v>5</v>
      </c>
      <c r="AI6" s="74">
        <f t="shared" si="35"/>
        <v>6.3818103563430956E-2</v>
      </c>
      <c r="AJ6" s="74">
        <f t="shared" si="35"/>
        <v>2.2781326602198074E-2</v>
      </c>
      <c r="AK6" s="74">
        <f t="shared" si="35"/>
        <v>0.10360483895542338</v>
      </c>
      <c r="AL6" s="74">
        <f t="shared" si="35"/>
        <v>0.10413412475266998</v>
      </c>
      <c r="AM6" s="74">
        <f t="shared" si="35"/>
        <v>2.1812391619700955E-3</v>
      </c>
      <c r="AN6" s="74">
        <f t="shared" si="35"/>
        <v>7.0162182583587709E-2</v>
      </c>
      <c r="AO6" s="74">
        <f t="shared" si="35"/>
        <v>7.2710927791474643E-3</v>
      </c>
      <c r="AP6" s="74">
        <f t="shared" si="35"/>
        <v>-3.7497949330894439E-2</v>
      </c>
      <c r="AQ6" s="74">
        <f t="shared" si="35"/>
        <v>0.10834578082596159</v>
      </c>
      <c r="AR6" s="74">
        <f t="shared" si="35"/>
        <v>0.1095795960329707</v>
      </c>
      <c r="AS6" s="74">
        <f t="shared" si="35"/>
        <v>4.2426042316955565E-3</v>
      </c>
      <c r="AT6" s="74">
        <f t="shared" si="35"/>
        <v>2.8719285552546679E-2</v>
      </c>
      <c r="AU6" s="74">
        <f t="shared" si="35"/>
        <v>0.10593220338982565</v>
      </c>
      <c r="AV6" s="74">
        <f t="shared" si="35"/>
        <v>3.9826006899723154E-2</v>
      </c>
      <c r="AW6" s="74">
        <f t="shared" si="35"/>
        <v>6.4570558653145302E-2</v>
      </c>
      <c r="AX6" s="74">
        <f t="shared" si="35"/>
        <v>4.2306672608405399E-2</v>
      </c>
      <c r="AY6" s="74">
        <f t="shared" si="1"/>
        <v>0.14542190305206057</v>
      </c>
      <c r="AZ6" s="74">
        <f t="shared" si="1"/>
        <v>0.14604905777343041</v>
      </c>
      <c r="BA6" s="74">
        <f t="shared" si="1"/>
        <v>8.8065458274801597E-2</v>
      </c>
      <c r="BB6" s="74">
        <f t="shared" si="1"/>
        <v>8.761904761905065E-2</v>
      </c>
      <c r="BC6" s="74">
        <f t="shared" si="1"/>
        <v>4.8865505839440652E-2</v>
      </c>
      <c r="BD6" s="74">
        <f t="shared" si="1"/>
        <v>-1.5560476389978395E-2</v>
      </c>
      <c r="BE6" s="74">
        <f t="shared" si="1"/>
        <v>0.102446611345496</v>
      </c>
      <c r="BF6" s="74">
        <f t="shared" si="1"/>
        <v>0.10343894715066113</v>
      </c>
      <c r="BG6" s="74">
        <f t="shared" si="1"/>
        <v>-5.8524709132475061E-4</v>
      </c>
      <c r="BH6" s="74">
        <f t="shared" si="1"/>
        <v>-6.3194867988866157E-2</v>
      </c>
      <c r="BI6" s="74">
        <f t="shared" si="1"/>
        <v>3.9759571532147597E-2</v>
      </c>
      <c r="BJ6" s="74">
        <f t="shared" si="1"/>
        <v>3.9009567609751279E-2</v>
      </c>
      <c r="BN6" s="59">
        <v>5</v>
      </c>
      <c r="BO6" s="78">
        <f t="shared" si="6"/>
        <v>0.12505100926874496</v>
      </c>
      <c r="BP6" s="78">
        <f t="shared" si="2"/>
        <v>0.1196776409526705</v>
      </c>
      <c r="BQ6" s="78">
        <f t="shared" si="3"/>
        <v>-1.2491975717256243E-2</v>
      </c>
      <c r="BR6" s="78">
        <f t="shared" si="3"/>
        <v>-0.34719681094440014</v>
      </c>
      <c r="BS6" s="78">
        <f t="shared" si="3"/>
        <v>1.8903015035488514E-2</v>
      </c>
      <c r="BT6" s="78">
        <f t="shared" si="3"/>
        <v>0.39569729653798985</v>
      </c>
      <c r="BU6" s="78">
        <f t="shared" si="3"/>
        <v>0.29098159889446179</v>
      </c>
      <c r="BV6" s="78">
        <f t="shared" si="3"/>
        <v>0.14097068617619335</v>
      </c>
      <c r="BW6" s="78">
        <f t="shared" si="3"/>
        <v>-7.8398286186302416E-2</v>
      </c>
      <c r="BX6" s="78">
        <f t="shared" si="3"/>
        <v>0.26153760758795241</v>
      </c>
      <c r="BY6" s="78">
        <f t="shared" si="3"/>
        <v>0.27092384006857662</v>
      </c>
      <c r="BZ6" s="78">
        <f t="shared" si="3"/>
        <v>0.39268749954488369</v>
      </c>
      <c r="CA6" s="78">
        <f t="shared" si="3"/>
        <v>0.25443852131097849</v>
      </c>
      <c r="CB6" s="78">
        <f t="shared" si="3"/>
        <v>0.13159014424577556</v>
      </c>
      <c r="CC6" s="78">
        <f t="shared" si="3"/>
        <v>0.2537837385137402</v>
      </c>
      <c r="CD6" s="78">
        <f t="shared" si="3"/>
        <v>0.15099814928970257</v>
      </c>
      <c r="CE6" s="78">
        <f t="shared" si="3"/>
        <v>-0.21413734081248195</v>
      </c>
      <c r="CF6" s="78">
        <f t="shared" si="3"/>
        <v>0.12187380456711359</v>
      </c>
      <c r="CG6" s="78">
        <f t="shared" si="3"/>
        <v>-0.1241931408548977</v>
      </c>
      <c r="CH6" s="78">
        <f t="shared" si="3"/>
        <v>-0.46068010500202899</v>
      </c>
      <c r="CI6" s="78">
        <f t="shared" si="3"/>
        <v>1.2072929570308213E-2</v>
      </c>
      <c r="CJ6" s="78">
        <f t="shared" si="3"/>
        <v>-9.5157863461524411E-2</v>
      </c>
      <c r="CK6" s="78">
        <f t="shared" si="3"/>
        <v>-2.8901513062407555E-2</v>
      </c>
      <c r="CL6" s="78">
        <f t="shared" si="3"/>
        <v>-0.36417626334263842</v>
      </c>
      <c r="CM6" s="78">
        <f t="shared" si="3"/>
        <v>0.34099835407822049</v>
      </c>
      <c r="CN6" s="78">
        <f t="shared" si="3"/>
        <v>-0.10718120226656075</v>
      </c>
      <c r="CO6" s="78">
        <f t="shared" si="3"/>
        <v>-0.47512553537750801</v>
      </c>
      <c r="CP6" s="78">
        <f t="shared" si="3"/>
        <v>-0.13576477960634864</v>
      </c>
      <c r="CU6" s="56">
        <v>5</v>
      </c>
      <c r="CV6" s="57">
        <f t="shared" si="7"/>
        <v>1.6744002426237552</v>
      </c>
      <c r="CW6" s="57">
        <f t="shared" si="8"/>
        <v>-1.5053312739384388</v>
      </c>
      <c r="CX6" s="57">
        <f t="shared" si="9"/>
        <v>-0.65162147389661373</v>
      </c>
      <c r="CY6" s="57">
        <f t="shared" si="10"/>
        <v>1.9165364324009422</v>
      </c>
      <c r="CZ6" s="57">
        <f t="shared" si="11"/>
        <v>0.55757633093863512</v>
      </c>
      <c r="DA6" s="57">
        <f t="shared" si="12"/>
        <v>-0.49857110571910457</v>
      </c>
      <c r="DB6" s="57">
        <f t="shared" si="13"/>
        <v>-1.4341070587594373</v>
      </c>
      <c r="DC6" s="57">
        <f t="shared" si="14"/>
        <v>-0.42305835699237643</v>
      </c>
      <c r="DF6" s="51">
        <v>5</v>
      </c>
      <c r="DG6" s="52">
        <f t="shared" si="36"/>
        <v>-0.10718120226656075</v>
      </c>
      <c r="DH6" s="52">
        <f t="shared" si="15"/>
        <v>0.29098159889446179</v>
      </c>
      <c r="DI6" s="52">
        <f t="shared" si="16"/>
        <v>-0.47512553537750801</v>
      </c>
      <c r="DJ6" s="52">
        <f t="shared" si="17"/>
        <v>-7.8398286186302416E-2</v>
      </c>
      <c r="DK6" s="52">
        <f t="shared" si="18"/>
        <v>-0.25443852131097849</v>
      </c>
      <c r="DL6" s="52">
        <f t="shared" si="19"/>
        <v>0.14097068617619335</v>
      </c>
      <c r="DM6" s="52">
        <f t="shared" si="20"/>
        <v>-0.12505100926874496</v>
      </c>
      <c r="DN6" s="52">
        <f t="shared" si="21"/>
        <v>0.27092384006857662</v>
      </c>
      <c r="DO6" s="52">
        <f t="shared" si="22"/>
        <v>-1.2072929570308213E-2</v>
      </c>
      <c r="DP6" s="52">
        <f t="shared" si="23"/>
        <v>0.39268749954488369</v>
      </c>
      <c r="DQ6" s="52">
        <f t="shared" si="24"/>
        <v>-0.13576477960634864</v>
      </c>
      <c r="DR6" s="52">
        <f t="shared" si="25"/>
        <v>0.26153760758795241</v>
      </c>
      <c r="DS6" s="52">
        <f t="shared" si="26"/>
        <v>-0.39569729653798985</v>
      </c>
      <c r="DT6" s="52">
        <f t="shared" si="27"/>
        <v>0.39569729653798985</v>
      </c>
      <c r="DX6">
        <v>5</v>
      </c>
      <c r="DY6" s="19">
        <f t="shared" si="4"/>
        <v>7.122421517900146E-2</v>
      </c>
      <c r="EM6" s="21">
        <v>5</v>
      </c>
      <c r="EN6" s="16">
        <f t="shared" si="28"/>
        <v>1.6744002426237552</v>
      </c>
      <c r="EO6" s="16">
        <f t="shared" si="5"/>
        <v>-1.5053312739384388</v>
      </c>
      <c r="EP6" s="16">
        <f t="shared" si="29"/>
        <v>-0.65162147389661373</v>
      </c>
      <c r="EQ6" s="16">
        <f t="shared" si="30"/>
        <v>1.9165364324009422</v>
      </c>
      <c r="ER6" s="16">
        <f t="shared" si="31"/>
        <v>0.55757633093863512</v>
      </c>
      <c r="ES6" s="16">
        <f t="shared" si="32"/>
        <v>-0.49857110571910457</v>
      </c>
      <c r="ET6" s="16">
        <f t="shared" si="33"/>
        <v>-1.4341070587594373</v>
      </c>
      <c r="EU6" s="16">
        <f t="shared" si="34"/>
        <v>-0.42305835699237643</v>
      </c>
      <c r="EW6" s="40">
        <f>LARGE($EN$2:$EU$2,5)</f>
        <v>-1.0513701378065112</v>
      </c>
      <c r="EX6" s="39" t="str">
        <f>INDEX(EN1:EU1,MATCH(EW6,EN2:EU2,0))</f>
        <v>CAD</v>
      </c>
      <c r="FK6" s="20"/>
    </row>
    <row r="7" spans="1:170" ht="18.600000000000001" thickBot="1" x14ac:dyDescent="0.4">
      <c r="A7" s="37" t="s">
        <v>51</v>
      </c>
      <c r="B7" s="38">
        <v>5</v>
      </c>
      <c r="C7" s="63">
        <f>RTD("fxbluelabs.excelrtd", , "21422436","@bh,AUDUSD,h1,close,5")</f>
        <v>0.67379</v>
      </c>
      <c r="D7" s="64">
        <f>RTD("fxbluelabs.excelrtd", , "21422436","@bh,AUDNZD,h1,close,5")</f>
        <v>1.0973900000000001</v>
      </c>
      <c r="E7" s="65">
        <f>RTD("fxbluelabs.excelrtd", , "21422436","@bh,AUDJPY,h1,close,5")</f>
        <v>98.450999999999993</v>
      </c>
      <c r="F7" s="64">
        <f>RTD("fxbluelabs.excelrtd", , "21422436","@bh,AUDCHF,h1,close,5")</f>
        <v>0.57618000000000003</v>
      </c>
      <c r="G7" s="64">
        <f>RTD("fxbluelabs.excelrtd", , "21422436","@bh,AUDCAD,h1,close,5")</f>
        <v>0.91691</v>
      </c>
      <c r="H7" s="64">
        <f>RTD("fxbluelabs.excelrtd", , "21422436","@bh,EURUSD,h1,close,5")</f>
        <v>1.11171</v>
      </c>
      <c r="I7" s="64">
        <f>RTD("fxbluelabs.excelrtd", , "21422436","@bh,EURCAD,h1,close,5")</f>
        <v>1.51284</v>
      </c>
      <c r="J7" s="64">
        <f>RTD("fxbluelabs.excelrtd", , "21422436","@bh,EURGBP,h1,close,5")</f>
        <v>0.85338000000000003</v>
      </c>
      <c r="K7" s="64">
        <f>RTD("fxbluelabs.excelrtd", , "21422436","@bh,EURCHF,h1,close,5")</f>
        <v>0.95065999999999995</v>
      </c>
      <c r="L7" s="65">
        <f>RTD("fxbluelabs.excelrtd", , "21422436","@bh,EURJPY,h1,close,5")</f>
        <v>162.43899999999999</v>
      </c>
      <c r="M7" s="64">
        <f>RTD("fxbluelabs.excelrtd", , "21422436","@bh,EURAUD,h1,close,5")</f>
        <v>1.6499299999999999</v>
      </c>
      <c r="N7" s="64">
        <f>RTD("fxbluelabs.excelrtd", , "21422436","@bh,EURNZD,h1,close,5")</f>
        <v>1.81063</v>
      </c>
      <c r="O7" s="64">
        <f>RTD("fxbluelabs.excelrtd", , "21422436","@bh,GBPUSD,h1,close,5")</f>
        <v>1.3027200000000001</v>
      </c>
      <c r="P7" s="64">
        <f>RTD("fxbluelabs.excelrtd", , "21422436","@bh,GBPAUD,h1,close,5")</f>
        <v>1.9334100000000001</v>
      </c>
      <c r="Q7" s="64">
        <f>RTD("fxbluelabs.excelrtd", , "21422436","@bh,GBPNZD,h1,close,5")</f>
        <v>2.1217100000000002</v>
      </c>
      <c r="R7" s="64">
        <f>RTD("fxbluelabs.excelrtd", , "21422436","@bh,GBPCAD,h1,close,5")</f>
        <v>1.77277</v>
      </c>
      <c r="S7" s="64">
        <f>RTD("fxbluelabs.excelrtd", , "21422436","@bh,GBPCHF,h1,close,5")</f>
        <v>1.1140000000000001</v>
      </c>
      <c r="T7" s="65">
        <f>RTD("fxbluelabs.excelrtd", , "21422436","@bh,GBPJPY,h1,close,5")</f>
        <v>190.34700000000001</v>
      </c>
      <c r="U7" s="65">
        <f>RTD("fxbluelabs.excelrtd", , "21422436","@bh,NZDJPY,h1,close,5")</f>
        <v>89.706000000000003</v>
      </c>
      <c r="V7" s="64">
        <f>RTD("fxbluelabs.excelrtd", , "21422436","@bh,NZDCHF,h1,close,5")</f>
        <v>0.52500000000000002</v>
      </c>
      <c r="W7" s="64">
        <f>RTD("fxbluelabs.excelrtd", , "21422436","@bh,NZDUSD,h1,close,5")</f>
        <v>0.61392999999999998</v>
      </c>
      <c r="X7" s="64">
        <f>RTD("fxbluelabs.excelrtd", , "21422436","@bh,NZDCAD,h1,close,5")</f>
        <v>0.83545000000000003</v>
      </c>
      <c r="Y7" s="65">
        <f>RTD("fxbluelabs.excelrtd", , "21422436","@bh,CADJPY,h1,close,5")</f>
        <v>107.373</v>
      </c>
      <c r="Z7" s="64">
        <f>RTD("fxbluelabs.excelrtd", , "21422436","@bh,CADCHF,h1,close,5")</f>
        <v>0.62839</v>
      </c>
      <c r="AA7" s="65">
        <f>RTD("fxbluelabs.excelrtd", , "21422436","@bh,CHFJPY,h1,close,5")</f>
        <v>170.86799999999999</v>
      </c>
      <c r="AB7" s="64">
        <f>RTD("fxbluelabs.excelrtd", , "21422436","@bh,USDCAD,h1,close,5")</f>
        <v>1.36087</v>
      </c>
      <c r="AC7" s="64">
        <f>RTD("fxbluelabs.excelrtd", , "21422436","@bh,USDCHF,h1,close,5")</f>
        <v>0.85514000000000001</v>
      </c>
      <c r="AD7" s="66">
        <f>RTD("fxbluelabs.excelrtd", , "21422436","@bh,USDJPY,h1,close,5")</f>
        <v>146.11799999999999</v>
      </c>
      <c r="AH7" s="56">
        <v>6</v>
      </c>
      <c r="AI7" s="75">
        <f t="shared" si="35"/>
        <v>3.1176697645423482E-2</v>
      </c>
      <c r="AJ7" s="75">
        <f t="shared" si="35"/>
        <v>6.3791783618283174E-3</v>
      </c>
      <c r="AK7" s="75">
        <f t="shared" si="35"/>
        <v>8.7429471864991129E-2</v>
      </c>
      <c r="AL7" s="75">
        <f t="shared" si="35"/>
        <v>2.0831163420478593E-2</v>
      </c>
      <c r="AM7" s="75">
        <f t="shared" si="35"/>
        <v>7.6349199424124705E-3</v>
      </c>
      <c r="AN7" s="75">
        <f t="shared" si="35"/>
        <v>-1.3490907128603825E-2</v>
      </c>
      <c r="AO7" s="75">
        <f t="shared" si="35"/>
        <v>-3.5681719065930893E-2</v>
      </c>
      <c r="AP7" s="75">
        <f t="shared" si="35"/>
        <v>-0.11938202247191256</v>
      </c>
      <c r="AQ7" s="75">
        <f t="shared" si="35"/>
        <v>-2.3136463065791476E-2</v>
      </c>
      <c r="AR7" s="75">
        <f t="shared" si="35"/>
        <v>4.5576324946869001E-2</v>
      </c>
      <c r="AS7" s="75">
        <f t="shared" si="35"/>
        <v>-4.3619180322906369E-2</v>
      </c>
      <c r="AT7" s="75">
        <f t="shared" si="35"/>
        <v>-3.5886224106711245E-2</v>
      </c>
      <c r="AU7" s="75">
        <f t="shared" si="35"/>
        <v>0.10758306949866811</v>
      </c>
      <c r="AV7" s="75">
        <f t="shared" si="35"/>
        <v>7.9197465681099824E-2</v>
      </c>
      <c r="AW7" s="75">
        <f t="shared" si="35"/>
        <v>8.6797775335283003E-2</v>
      </c>
      <c r="AX7" s="75">
        <f t="shared" si="35"/>
        <v>8.8075383494899295E-2</v>
      </c>
      <c r="AY7" s="75">
        <f t="shared" si="1"/>
        <v>9.9740315754492034E-2</v>
      </c>
      <c r="AZ7" s="75">
        <f t="shared" si="1"/>
        <v>0.16628865816630051</v>
      </c>
      <c r="BA7" s="75">
        <f t="shared" si="1"/>
        <v>7.3627844712184851E-2</v>
      </c>
      <c r="BB7" s="75">
        <f t="shared" si="1"/>
        <v>7.619628162153308E-3</v>
      </c>
      <c r="BC7" s="75">
        <f t="shared" si="1"/>
        <v>1.6291155531660068E-2</v>
      </c>
      <c r="BD7" s="75">
        <f t="shared" si="1"/>
        <v>-4.787609666175416E-3</v>
      </c>
      <c r="BE7" s="75">
        <f t="shared" si="1"/>
        <v>8.2024514144575733E-2</v>
      </c>
      <c r="BF7" s="75">
        <f t="shared" si="1"/>
        <v>1.4324367340447956E-2</v>
      </c>
      <c r="BG7" s="75">
        <f t="shared" si="1"/>
        <v>7.0279007660414505E-2</v>
      </c>
      <c r="BH7" s="75">
        <f t="shared" si="1"/>
        <v>-2.3508841528359449E-2</v>
      </c>
      <c r="BI7" s="75">
        <f t="shared" si="1"/>
        <v>-1.0523484910495947E-2</v>
      </c>
      <c r="BJ7" s="75">
        <f t="shared" si="1"/>
        <v>5.7520851308601552E-2</v>
      </c>
      <c r="BN7" s="59">
        <v>6</v>
      </c>
      <c r="BO7" s="79">
        <f t="shared" si="6"/>
        <v>6.1232905705314006E-2</v>
      </c>
      <c r="BP7" s="79">
        <f t="shared" si="2"/>
        <v>9.689631435047244E-2</v>
      </c>
      <c r="BQ7" s="79">
        <f t="shared" si="3"/>
        <v>-0.11609681467267964</v>
      </c>
      <c r="BR7" s="79">
        <f t="shared" si="3"/>
        <v>-0.45133093569707017</v>
      </c>
      <c r="BS7" s="79">
        <f t="shared" si="3"/>
        <v>1.6721775873518446E-2</v>
      </c>
      <c r="BT7" s="79">
        <f t="shared" si="3"/>
        <v>0.3255351139544021</v>
      </c>
      <c r="BU7" s="79">
        <f t="shared" si="3"/>
        <v>0.2837105061153144</v>
      </c>
      <c r="BV7" s="79">
        <f t="shared" si="3"/>
        <v>0.17846863550708786</v>
      </c>
      <c r="BW7" s="79">
        <f t="shared" si="3"/>
        <v>-0.18674406701226401</v>
      </c>
      <c r="BX7" s="79">
        <f t="shared" si="3"/>
        <v>0.15195801155498179</v>
      </c>
      <c r="BY7" s="79">
        <f t="shared" si="3"/>
        <v>0.26668123583688108</v>
      </c>
      <c r="BZ7" s="79">
        <f t="shared" si="3"/>
        <v>0.36396821399233703</v>
      </c>
      <c r="CA7" s="79">
        <f t="shared" si="3"/>
        <v>0.1485063179211529</v>
      </c>
      <c r="CB7" s="79">
        <f t="shared" si="3"/>
        <v>9.1764137346052432E-2</v>
      </c>
      <c r="CC7" s="79">
        <f t="shared" si="3"/>
        <v>0.18921317986059499</v>
      </c>
      <c r="CD7" s="79">
        <f t="shared" si="3"/>
        <v>0.10869147668129722</v>
      </c>
      <c r="CE7" s="79">
        <f t="shared" si="3"/>
        <v>-0.35955924386454241</v>
      </c>
      <c r="CF7" s="79">
        <f t="shared" si="3"/>
        <v>-2.4175253206316916E-2</v>
      </c>
      <c r="CG7" s="79">
        <f t="shared" si="3"/>
        <v>-0.2122585991296993</v>
      </c>
      <c r="CH7" s="79">
        <f t="shared" si="3"/>
        <v>-0.54829915262107953</v>
      </c>
      <c r="CI7" s="79">
        <f t="shared" si="3"/>
        <v>-3.6792576269132474E-2</v>
      </c>
      <c r="CJ7" s="79">
        <f t="shared" si="3"/>
        <v>-7.9597387071546011E-2</v>
      </c>
      <c r="CK7" s="79">
        <f t="shared" si="3"/>
        <v>-0.13134812440790372</v>
      </c>
      <c r="CL7" s="79">
        <f t="shared" si="3"/>
        <v>-0.46761521049329946</v>
      </c>
      <c r="CM7" s="79">
        <f t="shared" si="3"/>
        <v>0.34158360116954511</v>
      </c>
      <c r="CN7" s="79">
        <f t="shared" si="3"/>
        <v>-4.3986334277694578E-2</v>
      </c>
      <c r="CO7" s="79">
        <f t="shared" si="3"/>
        <v>-0.51488510690965572</v>
      </c>
      <c r="CP7" s="79">
        <f t="shared" si="3"/>
        <v>-0.17477434721609966</v>
      </c>
      <c r="CU7" s="56">
        <v>6</v>
      </c>
      <c r="CV7" s="58">
        <f t="shared" si="7"/>
        <v>1.3835776499487404</v>
      </c>
      <c r="CW7" s="58">
        <f t="shared" si="8"/>
        <v>-1.2321275497151865</v>
      </c>
      <c r="CX7" s="58">
        <f t="shared" si="9"/>
        <v>-0.88450337222209263</v>
      </c>
      <c r="CY7" s="58">
        <f t="shared" si="10"/>
        <v>2.402402107274157</v>
      </c>
      <c r="CZ7" s="58">
        <f t="shared" si="11"/>
        <v>-2.4028020768849689E-2</v>
      </c>
      <c r="DA7" s="58">
        <f t="shared" si="12"/>
        <v>-0.75102212762337839</v>
      </c>
      <c r="DB7" s="58">
        <f t="shared" si="13"/>
        <v>-1.5270254232948617</v>
      </c>
      <c r="DC7" s="58">
        <f t="shared" si="14"/>
        <v>0.16511152590817232</v>
      </c>
      <c r="DF7" s="53">
        <v>6</v>
      </c>
      <c r="DG7" s="54">
        <f t="shared" si="36"/>
        <v>-4.3986334277694578E-2</v>
      </c>
      <c r="DH7" s="54">
        <f t="shared" si="15"/>
        <v>0.2837105061153144</v>
      </c>
      <c r="DI7" s="54">
        <f t="shared" si="16"/>
        <v>-0.51488510690965572</v>
      </c>
      <c r="DJ7" s="54">
        <f t="shared" si="17"/>
        <v>-0.18674406701226401</v>
      </c>
      <c r="DK7" s="54">
        <f t="shared" si="18"/>
        <v>-0.1485063179211529</v>
      </c>
      <c r="DL7" s="54">
        <f t="shared" si="19"/>
        <v>0.17846863550708786</v>
      </c>
      <c r="DM7" s="54">
        <f t="shared" si="20"/>
        <v>-6.1232905705314006E-2</v>
      </c>
      <c r="DN7" s="54">
        <f t="shared" si="21"/>
        <v>0.26668123583688108</v>
      </c>
      <c r="DO7" s="54">
        <f t="shared" si="22"/>
        <v>3.6792576269132474E-2</v>
      </c>
      <c r="DP7" s="54">
        <f t="shared" si="23"/>
        <v>0.36396821399233703</v>
      </c>
      <c r="DQ7" s="54">
        <f t="shared" si="24"/>
        <v>-0.17477434721609966</v>
      </c>
      <c r="DR7" s="54">
        <f t="shared" si="25"/>
        <v>0.15195801155498179</v>
      </c>
      <c r="DS7" s="54">
        <f t="shared" si="26"/>
        <v>-0.3255351139544021</v>
      </c>
      <c r="DT7" s="54">
        <f t="shared" si="27"/>
        <v>0.3255351139544021</v>
      </c>
      <c r="DX7">
        <v>6</v>
      </c>
      <c r="DY7" s="19">
        <f t="shared" si="4"/>
        <v>-0.29489787357967523</v>
      </c>
      <c r="EM7" s="13">
        <v>6</v>
      </c>
      <c r="EN7" s="16">
        <f t="shared" si="28"/>
        <v>1.3835776499487404</v>
      </c>
      <c r="EO7" s="16">
        <f t="shared" si="5"/>
        <v>-1.2321275497151865</v>
      </c>
      <c r="EP7" s="16">
        <f t="shared" si="29"/>
        <v>-0.88450337222209263</v>
      </c>
      <c r="EQ7" s="16">
        <f t="shared" si="30"/>
        <v>2.402402107274157</v>
      </c>
      <c r="ER7" s="16">
        <f t="shared" si="31"/>
        <v>-2.4028020768849689E-2</v>
      </c>
      <c r="ES7" s="16">
        <f t="shared" si="32"/>
        <v>-0.75102212762337839</v>
      </c>
      <c r="ET7" s="16">
        <f t="shared" si="33"/>
        <v>-1.5270254232948617</v>
      </c>
      <c r="EU7" s="16">
        <f t="shared" si="34"/>
        <v>0.16511152590817232</v>
      </c>
      <c r="EW7" s="40">
        <f>LARGE($EN$2:$EU$2,6)</f>
        <v>-1.3350302499099944</v>
      </c>
      <c r="EX7" s="39" t="str">
        <f>INDEX(EN1:EU1,MATCH(EW7,EN2:EU2,0))</f>
        <v>AUD</v>
      </c>
      <c r="FK7" s="20"/>
      <c r="FL7" s="20"/>
    </row>
    <row r="8" spans="1:170" ht="18.600000000000001" thickBot="1" x14ac:dyDescent="0.4">
      <c r="A8" s="37" t="s">
        <v>51</v>
      </c>
      <c r="B8" s="38">
        <v>6</v>
      </c>
      <c r="C8" s="63">
        <f>RTD("fxbluelabs.excelrtd", , "21422436","@bh,AUDUSD,h1,close,6")</f>
        <v>0.67357999999999996</v>
      </c>
      <c r="D8" s="64">
        <f>RTD("fxbluelabs.excelrtd", , "21422436","@bh,AUDNZD,h1,close,6")</f>
        <v>1.0973200000000001</v>
      </c>
      <c r="E8" s="65">
        <f>RTD("fxbluelabs.excelrtd", , "21422436","@bh,AUDJPY,h1,close,6")</f>
        <v>98.364999999999995</v>
      </c>
      <c r="F8" s="64">
        <f>RTD("fxbluelabs.excelrtd", , "21422436","@bh,AUDCHF,h1,close,6")</f>
        <v>0.57606000000000002</v>
      </c>
      <c r="G8" s="64">
        <f>RTD("fxbluelabs.excelrtd", , "21422436","@bh,AUDCAD,h1,close,6")</f>
        <v>0.91683999999999999</v>
      </c>
      <c r="H8" s="64">
        <f>RTD("fxbluelabs.excelrtd", , "21422436","@bh,EURUSD,h1,close,6")</f>
        <v>1.1118600000000001</v>
      </c>
      <c r="I8" s="64">
        <f>RTD("fxbluelabs.excelrtd", , "21422436","@bh,EURCAD,h1,close,6")</f>
        <v>1.5133799999999999</v>
      </c>
      <c r="J8" s="64">
        <f>RTD("fxbluelabs.excelrtd", , "21422436","@bh,EURGBP,h1,close,6")</f>
        <v>0.85440000000000005</v>
      </c>
      <c r="K8" s="64">
        <f>RTD("fxbluelabs.excelrtd", , "21422436","@bh,EURCHF,h1,close,6")</f>
        <v>0.95087999999999995</v>
      </c>
      <c r="L8" s="65">
        <f>RTD("fxbluelabs.excelrtd", , "21422436","@bh,EURJPY,h1,close,6")</f>
        <v>162.36500000000001</v>
      </c>
      <c r="M8" s="64">
        <f>RTD("fxbluelabs.excelrtd", , "21422436","@bh,EURAUD,h1,close,6")</f>
        <v>1.65065</v>
      </c>
      <c r="N8" s="64">
        <f>RTD("fxbluelabs.excelrtd", , "21422436","@bh,EURNZD,h1,close,6")</f>
        <v>1.81128</v>
      </c>
      <c r="O8" s="64">
        <f>RTD("fxbluelabs.excelrtd", , "21422436","@bh,GBPUSD,h1,close,6")</f>
        <v>1.30132</v>
      </c>
      <c r="P8" s="64">
        <f>RTD("fxbluelabs.excelrtd", , "21422436","@bh,GBPAUD,h1,close,6")</f>
        <v>1.93188</v>
      </c>
      <c r="Q8" s="64">
        <f>RTD("fxbluelabs.excelrtd", , "21422436","@bh,GBPNZD,h1,close,6")</f>
        <v>2.1198700000000001</v>
      </c>
      <c r="R8" s="64">
        <f>RTD("fxbluelabs.excelrtd", , "21422436","@bh,GBPCAD,h1,close,6")</f>
        <v>1.77121</v>
      </c>
      <c r="S8" s="64">
        <f>RTD("fxbluelabs.excelrtd", , "21422436","@bh,GBPCHF,h1,close,6")</f>
        <v>1.1128899999999999</v>
      </c>
      <c r="T8" s="65">
        <f>RTD("fxbluelabs.excelrtd", , "21422436","@bh,GBPJPY,h1,close,6")</f>
        <v>190.03100000000001</v>
      </c>
      <c r="U8" s="65">
        <f>RTD("fxbluelabs.excelrtd", , "21422436","@bh,NZDJPY,h1,close,6")</f>
        <v>89.64</v>
      </c>
      <c r="V8" s="64">
        <f>RTD("fxbluelabs.excelrtd", , "21422436","@bh,NZDCHF,h1,close,6")</f>
        <v>0.52495999999999998</v>
      </c>
      <c r="W8" s="64">
        <f>RTD("fxbluelabs.excelrtd", , "21422436","@bh,NZDUSD,h1,close,6")</f>
        <v>0.61382999999999999</v>
      </c>
      <c r="X8" s="64">
        <f>RTD("fxbluelabs.excelrtd", , "21422436","@bh,NZDCAD,h1,close,6")</f>
        <v>0.83548999999999995</v>
      </c>
      <c r="Y8" s="65">
        <f>RTD("fxbluelabs.excelrtd", , "21422436","@bh,CADJPY,h1,close,6")</f>
        <v>107.285</v>
      </c>
      <c r="Z8" s="64">
        <f>RTD("fxbluelabs.excelrtd", , "21422436","@bh,CADCHF,h1,close,6")</f>
        <v>0.62829999999999997</v>
      </c>
      <c r="AA8" s="65">
        <f>RTD("fxbluelabs.excelrtd", , "21422436","@bh,CHFJPY,h1,close,6")</f>
        <v>170.74799999999999</v>
      </c>
      <c r="AB8" s="64">
        <f>RTD("fxbluelabs.excelrtd", , "21422436","@bh,USDCAD,h1,close,6")</f>
        <v>1.3611899999999999</v>
      </c>
      <c r="AC8" s="64">
        <f>RTD("fxbluelabs.excelrtd", , "21422436","@bh,USDCHF,h1,close,6")</f>
        <v>0.85523000000000005</v>
      </c>
      <c r="AD8" s="66">
        <f>RTD("fxbluelabs.excelrtd", , "21422436","@bh,USDJPY,h1,close,6")</f>
        <v>146.03399999999999</v>
      </c>
      <c r="AH8" s="56">
        <v>7</v>
      </c>
      <c r="AI8" s="74">
        <f t="shared" si="35"/>
        <v>1.6333318484853591E-2</v>
      </c>
      <c r="AJ8" s="74">
        <f t="shared" si="35"/>
        <v>-1.4578853373176546E-2</v>
      </c>
      <c r="AK8" s="74">
        <f t="shared" si="35"/>
        <v>-5.8929315302324592E-2</v>
      </c>
      <c r="AL8" s="74">
        <f t="shared" si="35"/>
        <v>-4.8582433979933198E-2</v>
      </c>
      <c r="AM8" s="74">
        <f t="shared" si="35"/>
        <v>-2.6170017882847514E-2</v>
      </c>
      <c r="AN8" s="74">
        <f t="shared" si="35"/>
        <v>3.7788814510912601E-2</v>
      </c>
      <c r="AO8" s="74">
        <f t="shared" si="35"/>
        <v>-5.9465995361748505E-3</v>
      </c>
      <c r="AP8" s="74">
        <f t="shared" si="35"/>
        <v>5.6211354693652328E-2</v>
      </c>
      <c r="AQ8" s="74">
        <f t="shared" si="35"/>
        <v>-2.6284524723232731E-2</v>
      </c>
      <c r="AR8" s="74">
        <f t="shared" si="35"/>
        <v>-3.8786416135141832E-2</v>
      </c>
      <c r="AS8" s="74">
        <f t="shared" si="35"/>
        <v>2.1814347781293951E-2</v>
      </c>
      <c r="AT8" s="74">
        <f t="shared" si="35"/>
        <v>4.9691087075305999E-3</v>
      </c>
      <c r="AU8" s="74">
        <f t="shared" si="35"/>
        <v>-1.8439411168138079E-2</v>
      </c>
      <c r="AV8" s="74">
        <f t="shared" si="35"/>
        <v>-3.5186488388459551E-2</v>
      </c>
      <c r="AW8" s="74">
        <f t="shared" si="35"/>
        <v>-5.2805529493292654E-2</v>
      </c>
      <c r="AX8" s="74">
        <f t="shared" si="35"/>
        <v>-6.4885237762079065E-2</v>
      </c>
      <c r="AY8" s="74">
        <f t="shared" si="1"/>
        <v>-8.6187547694938443E-2</v>
      </c>
      <c r="AZ8" s="74">
        <f t="shared" si="1"/>
        <v>-9.6207429526739732E-2</v>
      </c>
      <c r="BA8" s="74">
        <f t="shared" si="1"/>
        <v>-4.4603033006251395E-2</v>
      </c>
      <c r="BB8" s="74">
        <f t="shared" si="1"/>
        <v>-3.4276573866029815E-2</v>
      </c>
      <c r="BC8" s="74">
        <f t="shared" si="1"/>
        <v>3.0962779479829134E-2</v>
      </c>
      <c r="BD8" s="74">
        <f t="shared" si="1"/>
        <v>-1.1967591761521798E-2</v>
      </c>
      <c r="BE8" s="74">
        <f t="shared" si="1"/>
        <v>-3.4475689979693018E-2</v>
      </c>
      <c r="BF8" s="74">
        <f t="shared" si="1"/>
        <v>-2.3868247275039143E-2</v>
      </c>
      <c r="BG8" s="74">
        <f t="shared" si="1"/>
        <v>-1.3468328931725022E-2</v>
      </c>
      <c r="BH8" s="74">
        <f t="shared" si="1"/>
        <v>-4.1857596052181104E-2</v>
      </c>
      <c r="BI8" s="74">
        <f t="shared" si="1"/>
        <v>-6.5436614122624109E-2</v>
      </c>
      <c r="BJ8" s="74">
        <f t="shared" si="1"/>
        <v>-7.5951965513714748E-2</v>
      </c>
      <c r="BN8" s="59">
        <v>7</v>
      </c>
      <c r="BO8" s="78">
        <f t="shared" si="6"/>
        <v>3.0056208059890555E-2</v>
      </c>
      <c r="BP8" s="78">
        <f t="shared" si="2"/>
        <v>9.0517135988644123E-2</v>
      </c>
      <c r="BQ8" s="78">
        <f t="shared" si="3"/>
        <v>-0.20352628653767077</v>
      </c>
      <c r="BR8" s="78">
        <f t="shared" si="3"/>
        <v>-0.47216209911754869</v>
      </c>
      <c r="BS8" s="78">
        <f t="shared" si="3"/>
        <v>9.086855931105968E-3</v>
      </c>
      <c r="BT8" s="78">
        <f t="shared" si="3"/>
        <v>0.33902602108300595</v>
      </c>
      <c r="BU8" s="78">
        <f t="shared" si="3"/>
        <v>0.31939222518124527</v>
      </c>
      <c r="BV8" s="78">
        <f t="shared" si="3"/>
        <v>0.2978506579790004</v>
      </c>
      <c r="BW8" s="78">
        <f t="shared" si="3"/>
        <v>-0.16360760394647253</v>
      </c>
      <c r="BX8" s="78">
        <f t="shared" si="3"/>
        <v>0.10638168660811273</v>
      </c>
      <c r="BY8" s="78">
        <f t="shared" si="3"/>
        <v>0.31030041615978743</v>
      </c>
      <c r="BZ8" s="78">
        <f t="shared" si="3"/>
        <v>0.3998544380990483</v>
      </c>
      <c r="CA8" s="78">
        <f t="shared" si="3"/>
        <v>4.0923248422484765E-2</v>
      </c>
      <c r="CB8" s="78">
        <f t="shared" si="3"/>
        <v>1.2566671664952608E-2</v>
      </c>
      <c r="CC8" s="78">
        <f t="shared" si="3"/>
        <v>0.10241540452531198</v>
      </c>
      <c r="CD8" s="78">
        <f t="shared" si="3"/>
        <v>2.0616093186397871E-2</v>
      </c>
      <c r="CE8" s="78">
        <f t="shared" si="3"/>
        <v>-0.45929955961903446</v>
      </c>
      <c r="CF8" s="78">
        <f t="shared" si="3"/>
        <v>-0.19046391137261751</v>
      </c>
      <c r="CG8" s="78">
        <f t="shared" si="3"/>
        <v>-0.28588644384188411</v>
      </c>
      <c r="CH8" s="78">
        <f t="shared" si="3"/>
        <v>-0.55591878078323287</v>
      </c>
      <c r="CI8" s="78">
        <f t="shared" si="3"/>
        <v>-5.3083731800792469E-2</v>
      </c>
      <c r="CJ8" s="78">
        <f t="shared" si="3"/>
        <v>-7.4809777405370662E-2</v>
      </c>
      <c r="CK8" s="78">
        <f t="shared" si="3"/>
        <v>-0.21337263855247929</v>
      </c>
      <c r="CL8" s="78">
        <f t="shared" si="3"/>
        <v>-0.48193957783374747</v>
      </c>
      <c r="CM8" s="78">
        <f t="shared" si="3"/>
        <v>0.27130459350913061</v>
      </c>
      <c r="CN8" s="78">
        <f t="shared" si="3"/>
        <v>-2.0477492749335115E-2</v>
      </c>
      <c r="CO8" s="78">
        <f t="shared" si="3"/>
        <v>-0.50436162199915968</v>
      </c>
      <c r="CP8" s="78">
        <f t="shared" si="3"/>
        <v>-0.23229519852470132</v>
      </c>
      <c r="CU8" s="56">
        <v>7</v>
      </c>
      <c r="CV8" s="57">
        <f t="shared" si="7"/>
        <v>1.6091978411637273</v>
      </c>
      <c r="CW8" s="57">
        <f>CN8+CO8+CP8-CI8-CA8-BT8-BO8</f>
        <v>-1.1140560590377848</v>
      </c>
      <c r="CX8" s="57">
        <f t="shared" si="9"/>
        <v>-0.94912012053027017</v>
      </c>
      <c r="CY8" s="57">
        <f t="shared" si="10"/>
        <v>2.4266542589745788</v>
      </c>
      <c r="CZ8" s="57">
        <f t="shared" si="11"/>
        <v>-0.77109271117150513</v>
      </c>
      <c r="DA8" s="57">
        <f t="shared" si="12"/>
        <v>-0.86889527350031892</v>
      </c>
      <c r="DB8" s="57">
        <f t="shared" si="13"/>
        <v>-1.5624857124442846</v>
      </c>
      <c r="DC8" s="57">
        <f t="shared" si="14"/>
        <v>0.74785819871210979</v>
      </c>
      <c r="DF8" s="51">
        <v>7</v>
      </c>
      <c r="DG8" s="52">
        <f t="shared" si="36"/>
        <v>-2.0477492749335115E-2</v>
      </c>
      <c r="DH8" s="52">
        <f t="shared" si="15"/>
        <v>0.31939222518124527</v>
      </c>
      <c r="DI8" s="52">
        <f t="shared" si="16"/>
        <v>-0.50436162199915968</v>
      </c>
      <c r="DJ8" s="52">
        <f t="shared" si="17"/>
        <v>-0.16360760394647253</v>
      </c>
      <c r="DK8" s="52">
        <f t="shared" si="18"/>
        <v>-4.0923248422484765E-2</v>
      </c>
      <c r="DL8" s="52">
        <f t="shared" si="19"/>
        <v>0.2978506579790004</v>
      </c>
      <c r="DM8" s="52">
        <f t="shared" si="20"/>
        <v>-3.0056208059890555E-2</v>
      </c>
      <c r="DN8" s="52">
        <f t="shared" si="21"/>
        <v>0.31030041615978743</v>
      </c>
      <c r="DO8" s="52">
        <f t="shared" si="22"/>
        <v>5.3083731800792469E-2</v>
      </c>
      <c r="DP8" s="52">
        <f t="shared" si="23"/>
        <v>0.3998544380990483</v>
      </c>
      <c r="DQ8" s="52">
        <f t="shared" si="24"/>
        <v>-0.23229519852470132</v>
      </c>
      <c r="DR8" s="52">
        <f t="shared" si="25"/>
        <v>0.10638168660811273</v>
      </c>
      <c r="DS8" s="52">
        <f t="shared" si="26"/>
        <v>-0.33902602108300595</v>
      </c>
      <c r="DT8" s="52">
        <f t="shared" si="27"/>
        <v>0.33902602108300595</v>
      </c>
      <c r="DX8">
        <v>7</v>
      </c>
      <c r="DY8" s="19">
        <f t="shared" si="4"/>
        <v>-0.44842965340649976</v>
      </c>
      <c r="EM8" s="21">
        <v>7</v>
      </c>
      <c r="EN8" s="16">
        <f t="shared" si="28"/>
        <v>1.6091978411637273</v>
      </c>
      <c r="EO8" s="16">
        <f t="shared" si="5"/>
        <v>-1.1140560590377848</v>
      </c>
      <c r="EP8" s="16">
        <f t="shared" si="29"/>
        <v>-0.94912012053027017</v>
      </c>
      <c r="EQ8" s="16">
        <f t="shared" si="30"/>
        <v>2.4266542589745788</v>
      </c>
      <c r="ER8" s="16">
        <f t="shared" si="31"/>
        <v>-0.77109271117150513</v>
      </c>
      <c r="ES8" s="16">
        <f t="shared" si="32"/>
        <v>-0.86889527350031892</v>
      </c>
      <c r="ET8" s="16">
        <f t="shared" si="33"/>
        <v>-1.5624857124442846</v>
      </c>
      <c r="EU8" s="16">
        <f t="shared" si="34"/>
        <v>0.74785819871210979</v>
      </c>
      <c r="EW8" s="40">
        <f>LARGE($EN$2:$EU$2,7)</f>
        <v>-1.5335325704374974</v>
      </c>
      <c r="EX8" s="39" t="str">
        <f>INDEX(EN1:EU1,MATCH(EW8,EN2:EU2,0))</f>
        <v>NZD</v>
      </c>
      <c r="FK8" s="20"/>
      <c r="FL8" s="20"/>
    </row>
    <row r="9" spans="1:170" ht="18.600000000000001" thickBot="1" x14ac:dyDescent="0.4">
      <c r="A9" s="37" t="s">
        <v>51</v>
      </c>
      <c r="B9" s="38">
        <v>7</v>
      </c>
      <c r="C9" s="63">
        <f>RTD("fxbluelabs.excelrtd", , "21422436","@bh,AUDUSD,h1,close,7")</f>
        <v>0.67347000000000001</v>
      </c>
      <c r="D9" s="64">
        <f>RTD("fxbluelabs.excelrtd", , "21422436","@bh,AUDNZD,h1,close,7")</f>
        <v>1.09748</v>
      </c>
      <c r="E9" s="65">
        <f>RTD("fxbluelabs.excelrtd", , "21422436","@bh,AUDJPY,h1,close,7")</f>
        <v>98.423000000000002</v>
      </c>
      <c r="F9" s="64">
        <f>RTD("fxbluelabs.excelrtd", , "21422436","@bh,AUDCHF,h1,close,7")</f>
        <v>0.57633999999999996</v>
      </c>
      <c r="G9" s="64">
        <f>RTD("fxbluelabs.excelrtd", , "21422436","@bh,AUDCAD,h1,close,7")</f>
        <v>0.91708000000000001</v>
      </c>
      <c r="H9" s="64">
        <f>RTD("fxbluelabs.excelrtd", , "21422436","@bh,EURUSD,h1,close,7")</f>
        <v>1.11144</v>
      </c>
      <c r="I9" s="64">
        <f>RTD("fxbluelabs.excelrtd", , "21422436","@bh,EURCAD,h1,close,7")</f>
        <v>1.5134700000000001</v>
      </c>
      <c r="J9" s="64">
        <f>RTD("fxbluelabs.excelrtd", , "21422436","@bh,EURGBP,h1,close,7")</f>
        <v>0.85392000000000001</v>
      </c>
      <c r="K9" s="64">
        <f>RTD("fxbluelabs.excelrtd", , "21422436","@bh,EURCHF,h1,close,7")</f>
        <v>0.95113000000000003</v>
      </c>
      <c r="L9" s="65">
        <f>RTD("fxbluelabs.excelrtd", , "21422436","@bh,EURJPY,h1,close,7")</f>
        <v>162.428</v>
      </c>
      <c r="M9" s="64">
        <f>RTD("fxbluelabs.excelrtd", , "21422436","@bh,EURAUD,h1,close,7")</f>
        <v>1.65029</v>
      </c>
      <c r="N9" s="64">
        <f>RTD("fxbluelabs.excelrtd", , "21422436","@bh,EURNZD,h1,close,7")</f>
        <v>1.8111900000000001</v>
      </c>
      <c r="O9" s="64">
        <f>RTD("fxbluelabs.excelrtd", , "21422436","@bh,GBPUSD,h1,close,7")</f>
        <v>1.3015600000000001</v>
      </c>
      <c r="P9" s="64">
        <f>RTD("fxbluelabs.excelrtd", , "21422436","@bh,GBPAUD,h1,close,7")</f>
        <v>1.9325600000000001</v>
      </c>
      <c r="Q9" s="64">
        <f>RTD("fxbluelabs.excelrtd", , "21422436","@bh,GBPNZD,h1,close,7")</f>
        <v>2.1209899999999999</v>
      </c>
      <c r="R9" s="64">
        <f>RTD("fxbluelabs.excelrtd", , "21422436","@bh,GBPCAD,h1,close,7")</f>
        <v>1.7723599999999999</v>
      </c>
      <c r="S9" s="64">
        <f>RTD("fxbluelabs.excelrtd", , "21422436","@bh,GBPCHF,h1,close,7")</f>
        <v>1.11385</v>
      </c>
      <c r="T9" s="65">
        <f>RTD("fxbluelabs.excelrtd", , "21422436","@bh,GBPJPY,h1,close,7")</f>
        <v>190.214</v>
      </c>
      <c r="U9" s="65">
        <f>RTD("fxbluelabs.excelrtd", , "21422436","@bh,NZDJPY,h1,close,7")</f>
        <v>89.68</v>
      </c>
      <c r="V9" s="64">
        <f>RTD("fxbluelabs.excelrtd", , "21422436","@bh,NZDCHF,h1,close,7")</f>
        <v>0.52514000000000005</v>
      </c>
      <c r="W9" s="64">
        <f>RTD("fxbluelabs.excelrtd", , "21422436","@bh,NZDUSD,h1,close,7")</f>
        <v>0.61363999999999996</v>
      </c>
      <c r="X9" s="64">
        <f>RTD("fxbluelabs.excelrtd", , "21422436","@bh,NZDCAD,h1,close,7")</f>
        <v>0.83559000000000005</v>
      </c>
      <c r="Y9" s="65">
        <f>RTD("fxbluelabs.excelrtd", , "21422436","@bh,CADJPY,h1,close,7")</f>
        <v>107.322</v>
      </c>
      <c r="Z9" s="64">
        <f>RTD("fxbluelabs.excelrtd", , "21422436","@bh,CADCHF,h1,close,7")</f>
        <v>0.62844999999999995</v>
      </c>
      <c r="AA9" s="65">
        <f>RTD("fxbluelabs.excelrtd", , "21422436","@bh,CHFJPY,h1,close,7")</f>
        <v>170.77099999999999</v>
      </c>
      <c r="AB9" s="64">
        <f>RTD("fxbluelabs.excelrtd", , "21422436","@bh,USDCAD,h1,close,7")</f>
        <v>1.3617600000000001</v>
      </c>
      <c r="AC9" s="64">
        <f>RTD("fxbluelabs.excelrtd", , "21422436","@bh,USDCHF,h1,close,7")</f>
        <v>0.85579000000000005</v>
      </c>
      <c r="AD9" s="66">
        <f>RTD("fxbluelabs.excelrtd", , "21422436","@bh,USDJPY,h1,close,7")</f>
        <v>146.14500000000001</v>
      </c>
      <c r="AH9" s="56">
        <v>8</v>
      </c>
      <c r="AI9" s="75">
        <f t="shared" si="35"/>
        <v>-0.11568409343715282</v>
      </c>
      <c r="AJ9" s="75">
        <f t="shared" si="35"/>
        <v>3.6448461874945331E-3</v>
      </c>
      <c r="AK9" s="75">
        <f t="shared" si="35"/>
        <v>1.7275369388041285E-2</v>
      </c>
      <c r="AL9" s="75">
        <f t="shared" si="35"/>
        <v>4.5132620469366572E-2</v>
      </c>
      <c r="AM9" s="75">
        <f t="shared" si="35"/>
        <v>-0.13067909570065545</v>
      </c>
      <c r="AN9" s="75">
        <f t="shared" si="35"/>
        <v>-3.2379924446835399E-2</v>
      </c>
      <c r="AO9" s="75">
        <f t="shared" si="35"/>
        <v>-4.8210276053354734E-2</v>
      </c>
      <c r="AP9" s="75">
        <f t="shared" si="35"/>
        <v>-9.367681498825409E-3</v>
      </c>
      <c r="AQ9" s="75">
        <f t="shared" si="35"/>
        <v>0.12316308055076049</v>
      </c>
      <c r="AR9" s="75">
        <f t="shared" si="35"/>
        <v>9.921918812820929E-2</v>
      </c>
      <c r="AS9" s="75">
        <f t="shared" si="35"/>
        <v>8.1870777590449764E-2</v>
      </c>
      <c r="AT9" s="75">
        <f t="shared" si="35"/>
        <v>8.509932859945829E-2</v>
      </c>
      <c r="AU9" s="75">
        <f t="shared" si="35"/>
        <v>-2.0740035181244284E-2</v>
      </c>
      <c r="AV9" s="75">
        <f t="shared" si="35"/>
        <v>9.1672320656314213E-2</v>
      </c>
      <c r="AW9" s="75">
        <f t="shared" si="35"/>
        <v>9.5801714048399988E-2</v>
      </c>
      <c r="AX9" s="75">
        <f t="shared" si="35"/>
        <v>-3.7788418695688761E-2</v>
      </c>
      <c r="AY9" s="75">
        <f t="shared" si="1"/>
        <v>0.13845061178988743</v>
      </c>
      <c r="AZ9" s="75">
        <f t="shared" si="1"/>
        <v>0.10999710533933485</v>
      </c>
      <c r="BA9" s="75">
        <f t="shared" si="1"/>
        <v>2.2306491188947394E-2</v>
      </c>
      <c r="BB9" s="75">
        <f t="shared" si="1"/>
        <v>4.9535131839665826E-2</v>
      </c>
      <c r="BC9" s="75">
        <f t="shared" si="1"/>
        <v>-0.10906545555176693</v>
      </c>
      <c r="BD9" s="75">
        <f t="shared" si="1"/>
        <v>-0.12669575091136676</v>
      </c>
      <c r="BE9" s="75">
        <f t="shared" si="1"/>
        <v>0.14743757231906354</v>
      </c>
      <c r="BF9" s="75">
        <f t="shared" si="1"/>
        <v>0.17534071889694589</v>
      </c>
      <c r="BG9" s="75">
        <f t="shared" si="1"/>
        <v>-2.3417695581678267E-2</v>
      </c>
      <c r="BH9" s="75">
        <f t="shared" si="1"/>
        <v>-1.6887054971031538E-2</v>
      </c>
      <c r="BI9" s="75">
        <f t="shared" si="1"/>
        <v>0.15917044111279191</v>
      </c>
      <c r="BJ9" s="75">
        <f t="shared" si="1"/>
        <v>0.13223525542644982</v>
      </c>
      <c r="BN9" s="59">
        <v>8</v>
      </c>
      <c r="BO9" s="79">
        <f t="shared" si="6"/>
        <v>1.3722889575036964E-2</v>
      </c>
      <c r="BP9" s="79">
        <f t="shared" si="2"/>
        <v>0.10509598936182067</v>
      </c>
      <c r="BQ9" s="79">
        <f t="shared" si="3"/>
        <v>-0.14459697123534621</v>
      </c>
      <c r="BR9" s="79">
        <f>AL9+SUM(AL10:AL44)</f>
        <v>-0.42357966513761558</v>
      </c>
      <c r="BS9" s="79">
        <f t="shared" si="3"/>
        <v>3.5256873813953482E-2</v>
      </c>
      <c r="BT9" s="79">
        <f t="shared" si="3"/>
        <v>0.30123720657209335</v>
      </c>
      <c r="BU9" s="79">
        <f t="shared" si="3"/>
        <v>0.32533882471742015</v>
      </c>
      <c r="BV9" s="79">
        <f t="shared" si="3"/>
        <v>0.24163930328534802</v>
      </c>
      <c r="BW9" s="79">
        <f t="shared" si="3"/>
        <v>-0.13732307922323989</v>
      </c>
      <c r="BX9" s="79">
        <f t="shared" si="3"/>
        <v>0.14516810274325456</v>
      </c>
      <c r="BY9" s="79">
        <f t="shared" si="3"/>
        <v>0.28848606837849344</v>
      </c>
      <c r="BZ9" s="79">
        <f t="shared" si="3"/>
        <v>0.39488532939151766</v>
      </c>
      <c r="CA9" s="79">
        <f t="shared" si="3"/>
        <v>5.9362659590622813E-2</v>
      </c>
      <c r="CB9" s="79">
        <f t="shared" si="3"/>
        <v>4.7753160053412132E-2</v>
      </c>
      <c r="CC9" s="79">
        <f t="shared" si="3"/>
        <v>0.15522093401860462</v>
      </c>
      <c r="CD9" s="79">
        <f t="shared" si="3"/>
        <v>8.550133094847695E-2</v>
      </c>
      <c r="CE9" s="79">
        <f t="shared" si="3"/>
        <v>-0.37311201192409599</v>
      </c>
      <c r="CF9" s="79">
        <f t="shared" si="3"/>
        <v>-9.4256481845877677E-2</v>
      </c>
      <c r="CG9" s="79">
        <f t="shared" si="3"/>
        <v>-0.24128341083563276</v>
      </c>
      <c r="CH9" s="79">
        <f t="shared" si="3"/>
        <v>-0.52164220691720298</v>
      </c>
      <c r="CI9" s="79">
        <f t="shared" si="3"/>
        <v>-8.4046511280621627E-2</v>
      </c>
      <c r="CJ9" s="79">
        <f t="shared" si="3"/>
        <v>-6.284218564384883E-2</v>
      </c>
      <c r="CK9" s="79">
        <f t="shared" si="3"/>
        <v>-0.17889694857278646</v>
      </c>
      <c r="CL9" s="79">
        <f t="shared" si="3"/>
        <v>-0.45807133055870819</v>
      </c>
      <c r="CM9" s="79">
        <f t="shared" si="3"/>
        <v>0.28477292244085561</v>
      </c>
      <c r="CN9" s="79">
        <f t="shared" si="3"/>
        <v>2.1380103302845996E-2</v>
      </c>
      <c r="CO9" s="79">
        <f t="shared" si="3"/>
        <v>-0.43892500787653566</v>
      </c>
      <c r="CP9" s="79">
        <f t="shared" si="3"/>
        <v>-0.15634323301098652</v>
      </c>
      <c r="CU9" s="56">
        <v>8</v>
      </c>
      <c r="CV9" s="58">
        <f t="shared" si="7"/>
        <v>1.5594317558648871</v>
      </c>
      <c r="CW9" s="58">
        <f t="shared" si="8"/>
        <v>-0.86416438204180768</v>
      </c>
      <c r="CX9" s="58">
        <f t="shared" si="9"/>
        <v>-1.0416032262703427</v>
      </c>
      <c r="CY9" s="58">
        <f t="shared" si="10"/>
        <v>2.1793548935195455</v>
      </c>
      <c r="CZ9" s="58">
        <f t="shared" si="11"/>
        <v>-0.3611697124442052</v>
      </c>
      <c r="DA9" s="58">
        <f t="shared" si="12"/>
        <v>-0.75034011205405626</v>
      </c>
      <c r="DB9" s="58">
        <f t="shared" si="13"/>
        <v>-1.5650165674492491</v>
      </c>
      <c r="DC9" s="58">
        <f t="shared" si="14"/>
        <v>0.38543602031651947</v>
      </c>
      <c r="DF9" s="53">
        <v>8</v>
      </c>
      <c r="DG9" s="54">
        <f t="shared" si="36"/>
        <v>2.1380103302845996E-2</v>
      </c>
      <c r="DH9" s="54">
        <f t="shared" si="15"/>
        <v>0.32533882471742015</v>
      </c>
      <c r="DI9" s="54">
        <f t="shared" si="16"/>
        <v>-0.43892500787653566</v>
      </c>
      <c r="DJ9" s="54">
        <f t="shared" si="17"/>
        <v>-0.13732307922323989</v>
      </c>
      <c r="DK9" s="54">
        <f t="shared" si="18"/>
        <v>-5.9362659590622813E-2</v>
      </c>
      <c r="DL9" s="54">
        <f t="shared" si="19"/>
        <v>0.24163930328534802</v>
      </c>
      <c r="DM9" s="54">
        <f t="shared" si="20"/>
        <v>-1.3722889575036964E-2</v>
      </c>
      <c r="DN9" s="54">
        <f t="shared" si="21"/>
        <v>0.28848606837849344</v>
      </c>
      <c r="DO9" s="54">
        <f t="shared" si="22"/>
        <v>8.4046511280621627E-2</v>
      </c>
      <c r="DP9" s="54">
        <f t="shared" si="23"/>
        <v>0.39488532939151766</v>
      </c>
      <c r="DQ9" s="54">
        <f t="shared" si="24"/>
        <v>-0.15634323301098652</v>
      </c>
      <c r="DR9" s="54">
        <f t="shared" si="25"/>
        <v>0.14516810274325456</v>
      </c>
      <c r="DS9" s="54">
        <f t="shared" si="26"/>
        <v>-0.30123720657209335</v>
      </c>
      <c r="DT9" s="54">
        <f t="shared" si="27"/>
        <v>0.30123720657209335</v>
      </c>
      <c r="DX9">
        <v>8</v>
      </c>
      <c r="DY9" s="19">
        <f t="shared" si="4"/>
        <v>-0.70085218540744143</v>
      </c>
      <c r="EM9" s="21">
        <v>8</v>
      </c>
      <c r="EN9" s="16">
        <f t="shared" si="28"/>
        <v>1.5594317558648871</v>
      </c>
      <c r="EO9" s="16">
        <f t="shared" si="5"/>
        <v>-0.86416438204180768</v>
      </c>
      <c r="EP9" s="16">
        <f t="shared" si="29"/>
        <v>-1.0416032262703427</v>
      </c>
      <c r="EQ9" s="16">
        <f t="shared" si="30"/>
        <v>2.1793548935195455</v>
      </c>
      <c r="ER9" s="16">
        <f t="shared" si="31"/>
        <v>-0.3611697124442052</v>
      </c>
      <c r="ES9" s="16">
        <f t="shared" si="32"/>
        <v>-0.75034011205405626</v>
      </c>
      <c r="ET9" s="16">
        <f t="shared" si="33"/>
        <v>-1.5650165674492491</v>
      </c>
      <c r="EU9" s="16">
        <f t="shared" si="34"/>
        <v>0.38543602031651947</v>
      </c>
      <c r="EW9" s="40">
        <f>LARGE($EN$2:$EU$2,8)</f>
        <v>-1.7593964712181136</v>
      </c>
      <c r="EX9" s="39" t="str">
        <f>INDEX(EN1:EU1,MATCH(EW9,EN2:EU2,0))</f>
        <v>USD</v>
      </c>
      <c r="FK9" s="20"/>
      <c r="FL9" s="20"/>
    </row>
    <row r="10" spans="1:170" ht="18.600000000000001" thickBot="1" x14ac:dyDescent="0.4">
      <c r="A10" s="37" t="s">
        <v>51</v>
      </c>
      <c r="B10" s="38">
        <v>8</v>
      </c>
      <c r="C10" s="63">
        <f>RTD("fxbluelabs.excelrtd", , "21422436","@bh,AUDUSD,h1,close,8")</f>
        <v>0.67425000000000002</v>
      </c>
      <c r="D10" s="64">
        <f>RTD("fxbluelabs.excelrtd", , "21422436","@bh,AUDNZD,h1,close,8")</f>
        <v>1.09744</v>
      </c>
      <c r="E10" s="65">
        <f>RTD("fxbluelabs.excelrtd", , "21422436","@bh,AUDJPY,h1,close,8")</f>
        <v>98.406000000000006</v>
      </c>
      <c r="F10" s="64">
        <f>RTD("fxbluelabs.excelrtd", , "21422436","@bh,AUDCHF,h1,close,8")</f>
        <v>0.57608000000000004</v>
      </c>
      <c r="G10" s="64">
        <f>RTD("fxbluelabs.excelrtd", , "21422436","@bh,AUDCAD,h1,close,8")</f>
        <v>0.91827999999999999</v>
      </c>
      <c r="H10" s="64">
        <f>RTD("fxbluelabs.excelrtd", , "21422436","@bh,EURUSD,h1,close,8")</f>
        <v>1.1117999999999999</v>
      </c>
      <c r="I10" s="64">
        <f>RTD("fxbluelabs.excelrtd", , "21422436","@bh,EURCAD,h1,close,8")</f>
        <v>1.5142</v>
      </c>
      <c r="J10" s="64">
        <f>RTD("fxbluelabs.excelrtd", , "21422436","@bh,EURGBP,h1,close,8")</f>
        <v>0.85399999999999998</v>
      </c>
      <c r="K10" s="64">
        <f>RTD("fxbluelabs.excelrtd", , "21422436","@bh,EURCHF,h1,close,8")</f>
        <v>0.94996000000000003</v>
      </c>
      <c r="L10" s="65">
        <f>RTD("fxbluelabs.excelrtd", , "21422436","@bh,EURJPY,h1,close,8")</f>
        <v>162.267</v>
      </c>
      <c r="M10" s="64">
        <f>RTD("fxbluelabs.excelrtd", , "21422436","@bh,EURAUD,h1,close,8")</f>
        <v>1.6489400000000001</v>
      </c>
      <c r="N10" s="64">
        <f>RTD("fxbluelabs.excelrtd", , "21422436","@bh,EURNZD,h1,close,8")</f>
        <v>1.80965</v>
      </c>
      <c r="O10" s="64">
        <f>RTD("fxbluelabs.excelrtd", , "21422436","@bh,GBPUSD,h1,close,8")</f>
        <v>1.30183</v>
      </c>
      <c r="P10" s="64">
        <f>RTD("fxbluelabs.excelrtd", , "21422436","@bh,GBPAUD,h1,close,8")</f>
        <v>1.93079</v>
      </c>
      <c r="Q10" s="64">
        <f>RTD("fxbluelabs.excelrtd", , "21422436","@bh,GBPNZD,h1,close,8")</f>
        <v>2.11896</v>
      </c>
      <c r="R10" s="64">
        <f>RTD("fxbluelabs.excelrtd", , "21422436","@bh,GBPCAD,h1,close,8")</f>
        <v>1.7730300000000001</v>
      </c>
      <c r="S10" s="64">
        <f>RTD("fxbluelabs.excelrtd", , "21422436","@bh,GBPCHF,h1,close,8")</f>
        <v>1.1123099999999999</v>
      </c>
      <c r="T10" s="65">
        <f>RTD("fxbluelabs.excelrtd", , "21422436","@bh,GBPJPY,h1,close,8")</f>
        <v>190.005</v>
      </c>
      <c r="U10" s="65">
        <f>RTD("fxbluelabs.excelrtd", , "21422436","@bh,NZDJPY,h1,close,8")</f>
        <v>89.66</v>
      </c>
      <c r="V10" s="64">
        <f>RTD("fxbluelabs.excelrtd", , "21422436","@bh,NZDCHF,h1,close,8")</f>
        <v>0.52488000000000001</v>
      </c>
      <c r="W10" s="64">
        <f>RTD("fxbluelabs.excelrtd", , "21422436","@bh,NZDUSD,h1,close,8")</f>
        <v>0.61431000000000002</v>
      </c>
      <c r="X10" s="64">
        <f>RTD("fxbluelabs.excelrtd", , "21422436","@bh,NZDCAD,h1,close,8")</f>
        <v>0.83665</v>
      </c>
      <c r="Y10" s="65">
        <f>RTD("fxbluelabs.excelrtd", , "21422436","@bh,CADJPY,h1,close,8")</f>
        <v>107.164</v>
      </c>
      <c r="Z10" s="64">
        <f>RTD("fxbluelabs.excelrtd", , "21422436","@bh,CADCHF,h1,close,8")</f>
        <v>0.62734999999999996</v>
      </c>
      <c r="AA10" s="65">
        <f>RTD("fxbluelabs.excelrtd", , "21422436","@bh,CHFJPY,h1,close,8")</f>
        <v>170.81100000000001</v>
      </c>
      <c r="AB10" s="64">
        <f>RTD("fxbluelabs.excelrtd", , "21422436","@bh,USDCAD,h1,close,8")</f>
        <v>1.36199</v>
      </c>
      <c r="AC10" s="64">
        <f>RTD("fxbluelabs.excelrtd", , "21422436","@bh,USDCHF,h1,close,8")</f>
        <v>0.85443000000000002</v>
      </c>
      <c r="AD10" s="66">
        <f>RTD("fxbluelabs.excelrtd", , "21422436","@bh,USDJPY,h1,close,8")</f>
        <v>145.952</v>
      </c>
      <c r="AH10" s="56">
        <v>9</v>
      </c>
      <c r="AI10" s="74">
        <f t="shared" si="35"/>
        <v>1.0382983772881797E-2</v>
      </c>
      <c r="AJ10" s="74">
        <f t="shared" si="35"/>
        <v>3.0079025804152861E-2</v>
      </c>
      <c r="AK10" s="74">
        <f t="shared" si="35"/>
        <v>0.20263321351839716</v>
      </c>
      <c r="AL10" s="74">
        <f t="shared" si="35"/>
        <v>8.6801034668323677E-3</v>
      </c>
      <c r="AM10" s="74">
        <f t="shared" si="35"/>
        <v>3.9219104061359047E-2</v>
      </c>
      <c r="AN10" s="74">
        <f t="shared" si="35"/>
        <v>8.9945043576965678E-4</v>
      </c>
      <c r="AO10" s="74">
        <f t="shared" si="35"/>
        <v>3.1049130294039919E-2</v>
      </c>
      <c r="AP10" s="74">
        <f t="shared" si="35"/>
        <v>2.1081726827663672E-2</v>
      </c>
      <c r="AQ10" s="74">
        <f t="shared" si="35"/>
        <v>5.2636565569363931E-3</v>
      </c>
      <c r="AR10" s="74">
        <f t="shared" si="35"/>
        <v>0.19697680737025983</v>
      </c>
      <c r="AS10" s="74">
        <f t="shared" si="35"/>
        <v>-8.4895820700044249E-3</v>
      </c>
      <c r="AT10" s="74">
        <f t="shared" si="35"/>
        <v>2.2661449006213742E-2</v>
      </c>
      <c r="AU10" s="74">
        <f t="shared" si="35"/>
        <v>-1.9200049152115189E-2</v>
      </c>
      <c r="AV10" s="74">
        <f t="shared" si="35"/>
        <v>-2.84776372881031E-2</v>
      </c>
      <c r="AW10" s="74">
        <f t="shared" si="35"/>
        <v>2.3597038099722719E-3</v>
      </c>
      <c r="AX10" s="74">
        <f t="shared" si="35"/>
        <v>1.1845534233596388E-2</v>
      </c>
      <c r="AY10" s="74">
        <f t="shared" si="1"/>
        <v>-1.9774747647264251E-2</v>
      </c>
      <c r="AZ10" s="74">
        <f t="shared" si="1"/>
        <v>0.17503809187390595</v>
      </c>
      <c r="BA10" s="74">
        <f t="shared" si="1"/>
        <v>0.16757904144787339</v>
      </c>
      <c r="BB10" s="74">
        <f t="shared" si="1"/>
        <v>-2.8569796011653329E-2</v>
      </c>
      <c r="BC10" s="74">
        <f t="shared" si="1"/>
        <v>-2.7665668532743697E-2</v>
      </c>
      <c r="BD10" s="74">
        <f t="shared" si="1"/>
        <v>3.5858573784961502E-3</v>
      </c>
      <c r="BE10" s="74">
        <f t="shared" si="1"/>
        <v>0.16544066101489593</v>
      </c>
      <c r="BF10" s="74">
        <f t="shared" si="1"/>
        <v>-2.8683887622913483E-2</v>
      </c>
      <c r="BG10" s="74">
        <f t="shared" si="1"/>
        <v>0.19004381565750603</v>
      </c>
      <c r="BH10" s="74">
        <f t="shared" si="1"/>
        <v>3.0112075676788839E-2</v>
      </c>
      <c r="BI10" s="74">
        <f t="shared" si="1"/>
        <v>0</v>
      </c>
      <c r="BJ10" s="74">
        <f t="shared" si="1"/>
        <v>0.19427606422779523</v>
      </c>
      <c r="BN10" s="59">
        <v>9</v>
      </c>
      <c r="BO10" s="78">
        <f t="shared" si="6"/>
        <v>0.12940698301218978</v>
      </c>
      <c r="BP10" s="78">
        <f t="shared" si="2"/>
        <v>0.10145114317432614</v>
      </c>
      <c r="BQ10" s="78">
        <f t="shared" si="3"/>
        <v>-0.16187234062338737</v>
      </c>
      <c r="BR10" s="78">
        <f t="shared" si="3"/>
        <v>-0.46871228560698214</v>
      </c>
      <c r="BS10" s="78">
        <f t="shared" si="3"/>
        <v>0.16593596951460887</v>
      </c>
      <c r="BT10" s="78">
        <f t="shared" si="3"/>
        <v>0.33361713101892876</v>
      </c>
      <c r="BU10" s="78">
        <f t="shared" si="3"/>
        <v>0.3735491007707748</v>
      </c>
      <c r="BV10" s="78">
        <f t="shared" si="3"/>
        <v>0.25100698478417344</v>
      </c>
      <c r="BW10" s="78">
        <f t="shared" si="3"/>
        <v>-0.26048615977400036</v>
      </c>
      <c r="BX10" s="78">
        <f t="shared" si="3"/>
        <v>4.5948914615045439E-2</v>
      </c>
      <c r="BY10" s="78">
        <f t="shared" si="3"/>
        <v>0.20661529078804369</v>
      </c>
      <c r="BZ10" s="78">
        <f t="shared" si="3"/>
        <v>0.30978600079205937</v>
      </c>
      <c r="CA10" s="78">
        <f t="shared" si="3"/>
        <v>8.0102694771867086E-2</v>
      </c>
      <c r="CB10" s="78">
        <f t="shared" si="3"/>
        <v>-4.391916060290206E-2</v>
      </c>
      <c r="CC10" s="78">
        <f t="shared" si="3"/>
        <v>5.9419219970204627E-2</v>
      </c>
      <c r="CD10" s="78">
        <f t="shared" si="3"/>
        <v>0.12328974964416571</v>
      </c>
      <c r="CE10" s="78">
        <f t="shared" si="3"/>
        <v>-0.51156262371398353</v>
      </c>
      <c r="CF10" s="78">
        <f t="shared" si="3"/>
        <v>-0.20425358718521253</v>
      </c>
      <c r="CG10" s="78">
        <f t="shared" si="3"/>
        <v>-0.2635899020245801</v>
      </c>
      <c r="CH10" s="78">
        <f t="shared" si="3"/>
        <v>-0.57117733875686882</v>
      </c>
      <c r="CI10" s="78">
        <f t="shared" si="3"/>
        <v>2.5018944271145264E-2</v>
      </c>
      <c r="CJ10" s="78">
        <f t="shared" si="3"/>
        <v>6.3853565267517925E-2</v>
      </c>
      <c r="CK10" s="78">
        <f t="shared" si="3"/>
        <v>-0.32633452089184989</v>
      </c>
      <c r="CL10" s="78">
        <f t="shared" si="3"/>
        <v>-0.63341204945565421</v>
      </c>
      <c r="CM10" s="78">
        <f t="shared" si="3"/>
        <v>0.30819061802253395</v>
      </c>
      <c r="CN10" s="78">
        <f t="shared" si="3"/>
        <v>3.8267158273877527E-2</v>
      </c>
      <c r="CO10" s="78">
        <f t="shared" si="3"/>
        <v>-0.59809544898932754</v>
      </c>
      <c r="CP10" s="78">
        <f t="shared" si="3"/>
        <v>-0.2885784884374365</v>
      </c>
      <c r="CU10" s="56">
        <v>9</v>
      </c>
      <c r="CV10" s="57">
        <f t="shared" si="7"/>
        <v>1.2600372629950252</v>
      </c>
      <c r="CW10" s="57">
        <f t="shared" si="8"/>
        <v>-1.4165525322270174</v>
      </c>
      <c r="CX10" s="57">
        <f t="shared" si="9"/>
        <v>-1.7246421138184487</v>
      </c>
      <c r="CY10" s="57">
        <f t="shared" si="10"/>
        <v>2.7182244748636966</v>
      </c>
      <c r="CZ10" s="57">
        <f t="shared" si="11"/>
        <v>-0.74793069190003414</v>
      </c>
      <c r="DA10" s="57">
        <f t="shared" si="12"/>
        <v>-0.39648666071438632</v>
      </c>
      <c r="DB10" s="57">
        <f t="shared" si="13"/>
        <v>-1.2165510951793759</v>
      </c>
      <c r="DC10" s="57">
        <f t="shared" si="14"/>
        <v>0.89048930652488711</v>
      </c>
      <c r="DF10" s="51">
        <v>9</v>
      </c>
      <c r="DG10" s="52">
        <f t="shared" si="36"/>
        <v>3.8267158273877527E-2</v>
      </c>
      <c r="DH10" s="52">
        <f t="shared" si="15"/>
        <v>0.3735491007707748</v>
      </c>
      <c r="DI10" s="52">
        <f t="shared" si="16"/>
        <v>-0.59809544898932754</v>
      </c>
      <c r="DJ10" s="52">
        <f t="shared" si="17"/>
        <v>-0.26048615977400036</v>
      </c>
      <c r="DK10" s="52">
        <f t="shared" si="18"/>
        <v>-8.0102694771867086E-2</v>
      </c>
      <c r="DL10" s="52">
        <f t="shared" si="19"/>
        <v>0.25100698478417344</v>
      </c>
      <c r="DM10" s="52">
        <f t="shared" si="20"/>
        <v>-0.12940698301218978</v>
      </c>
      <c r="DN10" s="52">
        <f t="shared" si="21"/>
        <v>0.20661529078804369</v>
      </c>
      <c r="DO10" s="52">
        <f t="shared" si="22"/>
        <v>-2.5018944271145264E-2</v>
      </c>
      <c r="DP10" s="52">
        <f t="shared" si="23"/>
        <v>0.30978600079205937</v>
      </c>
      <c r="DQ10" s="52">
        <f t="shared" si="24"/>
        <v>-0.2885784884374365</v>
      </c>
      <c r="DR10" s="52">
        <f t="shared" si="25"/>
        <v>4.5948914615045439E-2</v>
      </c>
      <c r="DS10" s="52">
        <f t="shared" si="26"/>
        <v>-0.33361713101892876</v>
      </c>
      <c r="DT10" s="52">
        <f t="shared" si="27"/>
        <v>0.33361713101892876</v>
      </c>
      <c r="DX10">
        <v>9</v>
      </c>
      <c r="DY10" s="19">
        <f t="shared" si="4"/>
        <v>0.20000143704764151</v>
      </c>
      <c r="EM10" s="21">
        <v>9</v>
      </c>
      <c r="EN10" s="16">
        <f t="shared" si="28"/>
        <v>1.2600372629950252</v>
      </c>
      <c r="EO10" s="16">
        <f t="shared" si="5"/>
        <v>-1.4165525322270174</v>
      </c>
      <c r="EP10" s="16">
        <f t="shared" si="29"/>
        <v>-1.7246421138184487</v>
      </c>
      <c r="EQ10" s="16">
        <f t="shared" si="30"/>
        <v>2.7182244748636966</v>
      </c>
      <c r="ER10" s="16">
        <f t="shared" si="31"/>
        <v>-0.74793069190003414</v>
      </c>
      <c r="ES10" s="16">
        <f t="shared" si="32"/>
        <v>-0.39648666071438632</v>
      </c>
      <c r="ET10" s="16">
        <f t="shared" si="33"/>
        <v>-1.2165510951793759</v>
      </c>
      <c r="EU10" s="16">
        <f t="shared" si="34"/>
        <v>0.89048930652488711</v>
      </c>
      <c r="EW10" s="41"/>
      <c r="FK10" s="20"/>
      <c r="FL10" s="20"/>
      <c r="FN10" s="20"/>
    </row>
    <row r="11" spans="1:170" ht="18.600000000000001" thickBot="1" x14ac:dyDescent="0.4">
      <c r="A11" s="37" t="s">
        <v>51</v>
      </c>
      <c r="B11" s="38">
        <v>9</v>
      </c>
      <c r="C11" s="63">
        <f>RTD("fxbluelabs.excelrtd", , "21422436","@bh,AUDUSD,h1,close,9")</f>
        <v>0.67418</v>
      </c>
      <c r="D11" s="64">
        <f>RTD("fxbluelabs.excelrtd", , "21422436","@bh,AUDNZD,h1,close,9")</f>
        <v>1.09711</v>
      </c>
      <c r="E11" s="65">
        <f>RTD("fxbluelabs.excelrtd", , "21422436","@bh,AUDJPY,h1,close,9")</f>
        <v>98.206999999999994</v>
      </c>
      <c r="F11" s="64">
        <f>RTD("fxbluelabs.excelrtd", , "21422436","@bh,AUDCHF,h1,close,9")</f>
        <v>0.57603000000000004</v>
      </c>
      <c r="G11" s="64">
        <f>RTD("fxbluelabs.excelrtd", , "21422436","@bh,AUDCAD,h1,close,9")</f>
        <v>0.91791999999999996</v>
      </c>
      <c r="H11" s="64">
        <f>RTD("fxbluelabs.excelrtd", , "21422436","@bh,EURUSD,h1,close,9")</f>
        <v>1.1117900000000001</v>
      </c>
      <c r="I11" s="64">
        <f>RTD("fxbluelabs.excelrtd", , "21422436","@bh,EURCAD,h1,close,9")</f>
        <v>1.51373</v>
      </c>
      <c r="J11" s="64">
        <f>RTD("fxbluelabs.excelrtd", , "21422436","@bh,EURGBP,h1,close,9")</f>
        <v>0.85382000000000002</v>
      </c>
      <c r="K11" s="64">
        <f>RTD("fxbluelabs.excelrtd", , "21422436","@bh,EURCHF,h1,close,9")</f>
        <v>0.94991000000000003</v>
      </c>
      <c r="L11" s="65">
        <f>RTD("fxbluelabs.excelrtd", , "21422436","@bh,EURJPY,h1,close,9")</f>
        <v>161.94800000000001</v>
      </c>
      <c r="M11" s="64">
        <f>RTD("fxbluelabs.excelrtd", , "21422436","@bh,EURAUD,h1,close,9")</f>
        <v>1.6490800000000001</v>
      </c>
      <c r="N11" s="64">
        <f>RTD("fxbluelabs.excelrtd", , "21422436","@bh,EURNZD,h1,close,9")</f>
        <v>1.80924</v>
      </c>
      <c r="O11" s="64">
        <f>RTD("fxbluelabs.excelrtd", , "21422436","@bh,GBPUSD,h1,close,9")</f>
        <v>1.3020799999999999</v>
      </c>
      <c r="P11" s="64">
        <f>RTD("fxbluelabs.excelrtd", , "21422436","@bh,GBPAUD,h1,close,9")</f>
        <v>1.9313400000000001</v>
      </c>
      <c r="Q11" s="64">
        <f>RTD("fxbluelabs.excelrtd", , "21422436","@bh,GBPNZD,h1,close,9")</f>
        <v>2.1189100000000001</v>
      </c>
      <c r="R11" s="64">
        <f>RTD("fxbluelabs.excelrtd", , "21422436","@bh,GBPCAD,h1,close,9")</f>
        <v>1.7728200000000001</v>
      </c>
      <c r="S11" s="64">
        <f>RTD("fxbluelabs.excelrtd", , "21422436","@bh,GBPCHF,h1,close,9")</f>
        <v>1.11253</v>
      </c>
      <c r="T11" s="65">
        <f>RTD("fxbluelabs.excelrtd", , "21422436","@bh,GBPJPY,h1,close,9")</f>
        <v>189.673</v>
      </c>
      <c r="U11" s="65">
        <f>RTD("fxbluelabs.excelrtd", , "21422436","@bh,NZDJPY,h1,close,9")</f>
        <v>89.51</v>
      </c>
      <c r="V11" s="64">
        <f>RTD("fxbluelabs.excelrtd", , "21422436","@bh,NZDCHF,h1,close,9")</f>
        <v>0.52503</v>
      </c>
      <c r="W11" s="64">
        <f>RTD("fxbluelabs.excelrtd", , "21422436","@bh,NZDUSD,h1,close,9")</f>
        <v>0.61448000000000003</v>
      </c>
      <c r="X11" s="64">
        <f>RTD("fxbluelabs.excelrtd", , "21422436","@bh,NZDCAD,h1,close,9")</f>
        <v>0.83662000000000003</v>
      </c>
      <c r="Y11" s="65">
        <f>RTD("fxbluelabs.excelrtd", , "21422436","@bh,CADJPY,h1,close,9")</f>
        <v>106.98699999999999</v>
      </c>
      <c r="Z11" s="64">
        <f>RTD("fxbluelabs.excelrtd", , "21422436","@bh,CADCHF,h1,close,9")</f>
        <v>0.62753000000000003</v>
      </c>
      <c r="AA11" s="65">
        <f>RTD("fxbluelabs.excelrtd", , "21422436","@bh,CHFJPY,h1,close,9")</f>
        <v>170.48699999999999</v>
      </c>
      <c r="AB11" s="64">
        <f>RTD("fxbluelabs.excelrtd", , "21422436","@bh,USDCAD,h1,close,9")</f>
        <v>1.36158</v>
      </c>
      <c r="AC11" s="64">
        <f>RTD("fxbluelabs.excelrtd", , "21422436","@bh,USDCHF,h1,close,9")</f>
        <v>0.85443000000000002</v>
      </c>
      <c r="AD11" s="66">
        <f>RTD("fxbluelabs.excelrtd", , "21422436","@bh,USDJPY,h1,close,9")</f>
        <v>145.66900000000001</v>
      </c>
      <c r="AH11" s="56">
        <v>10</v>
      </c>
      <c r="AI11" s="75">
        <f t="shared" si="35"/>
        <v>-3.8550501156520665E-2</v>
      </c>
      <c r="AJ11" s="75">
        <f t="shared" si="35"/>
        <v>-7.650621613005619E-2</v>
      </c>
      <c r="AK11" s="75">
        <f t="shared" si="35"/>
        <v>-4.3765903307894517E-2</v>
      </c>
      <c r="AL11" s="75">
        <f t="shared" si="35"/>
        <v>-1.3886237003344671E-2</v>
      </c>
      <c r="AM11" s="75">
        <f t="shared" si="35"/>
        <v>-3.267190869291433E-2</v>
      </c>
      <c r="AN11" s="75">
        <f t="shared" si="35"/>
        <v>-1.1691488596298608E-2</v>
      </c>
      <c r="AO11" s="75">
        <f t="shared" si="35"/>
        <v>-5.9452246634291708E-3</v>
      </c>
      <c r="AP11" s="75">
        <f t="shared" si="35"/>
        <v>3.0460658887487464E-2</v>
      </c>
      <c r="AQ11" s="75">
        <f t="shared" si="35"/>
        <v>1.6846538562784837E-2</v>
      </c>
      <c r="AR11" s="75">
        <f t="shared" si="35"/>
        <v>-1.6669239080096813E-2</v>
      </c>
      <c r="AS11" s="75">
        <f t="shared" si="35"/>
        <v>2.6688664596273046E-2</v>
      </c>
      <c r="AT11" s="75">
        <f t="shared" si="35"/>
        <v>-4.9167739333642192E-2</v>
      </c>
      <c r="AU11" s="75">
        <f t="shared" si="35"/>
        <v>-4.4524281086394377E-2</v>
      </c>
      <c r="AV11" s="75">
        <f t="shared" si="35"/>
        <v>-3.1065548306901201E-3</v>
      </c>
      <c r="AW11" s="75">
        <f t="shared" si="35"/>
        <v>-7.8752039536345644E-2</v>
      </c>
      <c r="AX11" s="75">
        <f t="shared" si="35"/>
        <v>-3.6087647874774392E-2</v>
      </c>
      <c r="AY11" s="75">
        <f t="shared" si="1"/>
        <v>-1.5278152242293832E-2</v>
      </c>
      <c r="AZ11" s="75">
        <f t="shared" si="1"/>
        <v>-4.5847386172000994E-2</v>
      </c>
      <c r="BA11" s="75">
        <f t="shared" si="1"/>
        <v>3.3527045149755401E-2</v>
      </c>
      <c r="BB11" s="75">
        <f t="shared" si="1"/>
        <v>6.6707326370351719E-2</v>
      </c>
      <c r="BC11" s="75">
        <f t="shared" si="1"/>
        <v>3.9072675175829963E-2</v>
      </c>
      <c r="BD11" s="75">
        <f t="shared" si="1"/>
        <v>4.4245142002987313E-2</v>
      </c>
      <c r="BE11" s="75">
        <f t="shared" si="1"/>
        <v>-1.2149532710285261E-2</v>
      </c>
      <c r="BF11" s="75">
        <f t="shared" si="1"/>
        <v>1.9126249183151207E-2</v>
      </c>
      <c r="BG11" s="75">
        <f t="shared" si="1"/>
        <v>-3.0491559115505839E-2</v>
      </c>
      <c r="BH11" s="75">
        <f t="shared" si="1"/>
        <v>6.6104047771135648E-3</v>
      </c>
      <c r="BI11" s="75">
        <f t="shared" si="1"/>
        <v>2.692577850621207E-2</v>
      </c>
      <c r="BJ11" s="75">
        <f t="shared" si="1"/>
        <v>-4.1187575081518633E-3</v>
      </c>
      <c r="BN11" s="59">
        <v>10</v>
      </c>
      <c r="BO11" s="79">
        <f t="shared" si="6"/>
        <v>0.11902399923930798</v>
      </c>
      <c r="BP11" s="79">
        <f t="shared" si="2"/>
        <v>7.1372117370173307E-2</v>
      </c>
      <c r="BQ11" s="79">
        <f t="shared" si="3"/>
        <v>-0.36450555414178454</v>
      </c>
      <c r="BR11" s="79">
        <f t="shared" si="3"/>
        <v>-0.47739238907381448</v>
      </c>
      <c r="BS11" s="79">
        <f t="shared" si="3"/>
        <v>0.12671686545324987</v>
      </c>
      <c r="BT11" s="79">
        <f t="shared" si="3"/>
        <v>0.33271768058315904</v>
      </c>
      <c r="BU11" s="79">
        <f t="shared" si="3"/>
        <v>0.34249997047673486</v>
      </c>
      <c r="BV11" s="79">
        <f t="shared" si="3"/>
        <v>0.22992525795650978</v>
      </c>
      <c r="BW11" s="79">
        <f t="shared" si="3"/>
        <v>-0.26574981633093675</v>
      </c>
      <c r="BX11" s="79">
        <f t="shared" si="3"/>
        <v>-0.15102789275521444</v>
      </c>
      <c r="BY11" s="79">
        <f t="shared" si="3"/>
        <v>0.21510487285804814</v>
      </c>
      <c r="BZ11" s="79">
        <f t="shared" si="3"/>
        <v>0.28712455178584562</v>
      </c>
      <c r="CA11" s="79">
        <f t="shared" si="3"/>
        <v>9.9302743923982292E-2</v>
      </c>
      <c r="CB11" s="79">
        <f t="shared" si="3"/>
        <v>-1.5441523314798944E-2</v>
      </c>
      <c r="CC11" s="79">
        <f t="shared" si="3"/>
        <v>5.7059516160232318E-2</v>
      </c>
      <c r="CD11" s="79">
        <f t="shared" si="3"/>
        <v>0.11144421541056934</v>
      </c>
      <c r="CE11" s="79">
        <f t="shared" si="3"/>
        <v>-0.4917878760667192</v>
      </c>
      <c r="CF11" s="79">
        <f t="shared" si="3"/>
        <v>-0.37929167905911854</v>
      </c>
      <c r="CG11" s="79">
        <f t="shared" si="3"/>
        <v>-0.43116894347245349</v>
      </c>
      <c r="CH11" s="79">
        <f t="shared" si="3"/>
        <v>-0.5426075427452155</v>
      </c>
      <c r="CI11" s="79">
        <f t="shared" si="3"/>
        <v>5.2684612803888961E-2</v>
      </c>
      <c r="CJ11" s="79">
        <f t="shared" si="3"/>
        <v>6.026770788902177E-2</v>
      </c>
      <c r="CK11" s="79">
        <f t="shared" si="3"/>
        <v>-0.4917751819067458</v>
      </c>
      <c r="CL11" s="79">
        <f t="shared" si="3"/>
        <v>-0.6047281618327407</v>
      </c>
      <c r="CM11" s="79">
        <f t="shared" ref="CM11:CP26" si="37">BG11+SUM(BG12:BG46)</f>
        <v>0.11814680236502788</v>
      </c>
      <c r="CN11" s="79">
        <f t="shared" si="37"/>
        <v>8.1550825970886955E-3</v>
      </c>
      <c r="CO11" s="79">
        <f t="shared" si="37"/>
        <v>-0.59809544898932754</v>
      </c>
      <c r="CP11" s="79">
        <f t="shared" si="37"/>
        <v>-0.48285455266523164</v>
      </c>
      <c r="CU11" s="56">
        <v>10</v>
      </c>
      <c r="CV11" s="58">
        <f t="shared" si="7"/>
        <v>0.99059462457414627</v>
      </c>
      <c r="CW11" s="58">
        <f t="shared" si="8"/>
        <v>-1.6765239556078086</v>
      </c>
      <c r="CX11" s="58">
        <f t="shared" si="9"/>
        <v>-1.7455871855661507</v>
      </c>
      <c r="CY11" s="58">
        <f t="shared" si="10"/>
        <v>2.4937798755710414</v>
      </c>
      <c r="CZ11" s="58">
        <f t="shared" si="11"/>
        <v>-0.84863986090236254</v>
      </c>
      <c r="DA11" s="58">
        <f t="shared" si="12"/>
        <v>-0.72444831069611693</v>
      </c>
      <c r="DB11" s="58">
        <f t="shared" si="13"/>
        <v>-1.2763803508410096</v>
      </c>
      <c r="DC11" s="58">
        <f t="shared" si="14"/>
        <v>2.1824770016355206</v>
      </c>
      <c r="DF11" s="51">
        <v>10</v>
      </c>
      <c r="DG11" s="54">
        <f t="shared" si="36"/>
        <v>8.1550825970886955E-3</v>
      </c>
      <c r="DH11" s="54">
        <f t="shared" si="15"/>
        <v>0.34249997047673486</v>
      </c>
      <c r="DI11" s="54">
        <f t="shared" si="16"/>
        <v>-0.59809544898932754</v>
      </c>
      <c r="DJ11" s="54">
        <f t="shared" si="17"/>
        <v>-0.26574981633093675</v>
      </c>
      <c r="DK11" s="54">
        <f t="shared" si="18"/>
        <v>-9.9302743923982292E-2</v>
      </c>
      <c r="DL11" s="54">
        <f t="shared" si="19"/>
        <v>0.22992525795650978</v>
      </c>
      <c r="DM11" s="54">
        <f t="shared" si="20"/>
        <v>-0.11902399923930798</v>
      </c>
      <c r="DN11" s="54">
        <f t="shared" si="21"/>
        <v>0.21510487285804814</v>
      </c>
      <c r="DO11" s="54">
        <f t="shared" si="22"/>
        <v>-5.2684612803888961E-2</v>
      </c>
      <c r="DP11" s="54">
        <f t="shared" si="23"/>
        <v>0.28712455178584562</v>
      </c>
      <c r="DQ11" s="54">
        <f t="shared" si="24"/>
        <v>-0.48285455266523164</v>
      </c>
      <c r="DR11" s="54">
        <f t="shared" si="25"/>
        <v>-0.15102789275521444</v>
      </c>
      <c r="DS11" s="54">
        <f t="shared" si="26"/>
        <v>-0.33271768058315904</v>
      </c>
      <c r="DT11" s="54">
        <f t="shared" si="27"/>
        <v>0.33271768058315904</v>
      </c>
      <c r="DX11">
        <v>10</v>
      </c>
      <c r="DY11" s="19">
        <f t="shared" si="4"/>
        <v>0.400143604766799</v>
      </c>
      <c r="EM11" s="21">
        <v>10</v>
      </c>
      <c r="EN11" s="16">
        <f t="shared" si="28"/>
        <v>0.99059462457414627</v>
      </c>
      <c r="EO11" s="16">
        <f t="shared" si="5"/>
        <v>-1.6765239556078086</v>
      </c>
      <c r="EP11" s="16">
        <f t="shared" si="29"/>
        <v>-1.7455871855661507</v>
      </c>
      <c r="EQ11" s="16">
        <f t="shared" si="30"/>
        <v>2.4937798755710414</v>
      </c>
      <c r="ER11" s="16">
        <f t="shared" si="31"/>
        <v>-0.84863986090236254</v>
      </c>
      <c r="ES11" s="16">
        <f t="shared" si="32"/>
        <v>-0.72444831069611693</v>
      </c>
      <c r="ET11" s="16">
        <f t="shared" si="33"/>
        <v>-1.2763803508410096</v>
      </c>
      <c r="EU11" s="16">
        <f t="shared" si="34"/>
        <v>2.1824770016355206</v>
      </c>
      <c r="EW11" s="41"/>
      <c r="FK11" s="20"/>
      <c r="FL11" s="20"/>
    </row>
    <row r="12" spans="1:170" ht="18.600000000000001" thickBot="1" x14ac:dyDescent="0.35">
      <c r="A12" s="37" t="s">
        <v>51</v>
      </c>
      <c r="B12" s="38">
        <v>10</v>
      </c>
      <c r="C12" s="63">
        <f>RTD("fxbluelabs.excelrtd", , "21422436","@bh,AUDUSD,h1,close,10")</f>
        <v>0.67444000000000004</v>
      </c>
      <c r="D12" s="64">
        <f>RTD("fxbluelabs.excelrtd", , "21422436","@bh,AUDNZD,h1,close,10")</f>
        <v>1.09795</v>
      </c>
      <c r="E12" s="65">
        <f>RTD("fxbluelabs.excelrtd", , "21422436","@bh,AUDJPY,h1,close,10")</f>
        <v>98.25</v>
      </c>
      <c r="F12" s="64">
        <f>RTD("fxbluelabs.excelrtd", , "21422436","@bh,AUDCHF,h1,close,10")</f>
        <v>0.57611000000000001</v>
      </c>
      <c r="G12" s="64">
        <f>RTD("fxbluelabs.excelrtd", , "21422436","@bh,AUDCAD,h1,close,10")</f>
        <v>0.91822000000000004</v>
      </c>
      <c r="H12" s="64">
        <f>RTD("fxbluelabs.excelrtd", , "21422436","@bh,EURUSD,h1,close,10")</f>
        <v>1.11192</v>
      </c>
      <c r="I12" s="64">
        <f>RTD("fxbluelabs.excelrtd", , "21422436","@bh,EURCAD,h1,close,10")</f>
        <v>1.5138199999999999</v>
      </c>
      <c r="J12" s="64">
        <f>RTD("fxbluelabs.excelrtd", , "21422436","@bh,EURGBP,h1,close,10")</f>
        <v>0.85355999999999999</v>
      </c>
      <c r="K12" s="64">
        <f>RTD("fxbluelabs.excelrtd", , "21422436","@bh,EURCHF,h1,close,10")</f>
        <v>0.94974999999999998</v>
      </c>
      <c r="L12" s="65">
        <f>RTD("fxbluelabs.excelrtd", , "21422436","@bh,EURJPY,h1,close,10")</f>
        <v>161.97499999999999</v>
      </c>
      <c r="M12" s="64">
        <f>RTD("fxbluelabs.excelrtd", , "21422436","@bh,EURAUD,h1,close,10")</f>
        <v>1.6486400000000001</v>
      </c>
      <c r="N12" s="64">
        <f>RTD("fxbluelabs.excelrtd", , "21422436","@bh,EURNZD,h1,close,10")</f>
        <v>1.81013</v>
      </c>
      <c r="O12" s="64">
        <f>RTD("fxbluelabs.excelrtd", , "21422436","@bh,GBPUSD,h1,close,10")</f>
        <v>1.3026599999999999</v>
      </c>
      <c r="P12" s="64">
        <f>RTD("fxbluelabs.excelrtd", , "21422436","@bh,GBPAUD,h1,close,10")</f>
        <v>1.9314</v>
      </c>
      <c r="Q12" s="64">
        <f>RTD("fxbluelabs.excelrtd", , "21422436","@bh,GBPNZD,h1,close,10")</f>
        <v>2.1205799999999999</v>
      </c>
      <c r="R12" s="64">
        <f>RTD("fxbluelabs.excelrtd", , "21422436","@bh,GBPCAD,h1,close,10")</f>
        <v>1.77346</v>
      </c>
      <c r="S12" s="64">
        <f>RTD("fxbluelabs.excelrtd", , "21422436","@bh,GBPCHF,h1,close,10")</f>
        <v>1.1127</v>
      </c>
      <c r="T12" s="65">
        <f>RTD("fxbluelabs.excelrtd", , "21422436","@bh,GBPJPY,h1,close,10")</f>
        <v>189.76</v>
      </c>
      <c r="U12" s="65">
        <f>RTD("fxbluelabs.excelrtd", , "21422436","@bh,NZDJPY,h1,close,10")</f>
        <v>89.48</v>
      </c>
      <c r="V12" s="64">
        <f>RTD("fxbluelabs.excelrtd", , "21422436","@bh,NZDCHF,h1,close,10")</f>
        <v>0.52468000000000004</v>
      </c>
      <c r="W12" s="64">
        <f>RTD("fxbluelabs.excelrtd", , "21422436","@bh,NZDUSD,h1,close,10")</f>
        <v>0.61424000000000001</v>
      </c>
      <c r="X12" s="64">
        <f>RTD("fxbluelabs.excelrtd", , "21422436","@bh,NZDCAD,h1,close,10")</f>
        <v>0.83625000000000005</v>
      </c>
      <c r="Y12" s="65">
        <f>RTD("fxbluelabs.excelrtd", , "21422436","@bh,CADJPY,h1,close,10")</f>
        <v>107</v>
      </c>
      <c r="Z12" s="64">
        <f>RTD("fxbluelabs.excelrtd", , "21422436","@bh,CADCHF,h1,close,10")</f>
        <v>0.62741000000000002</v>
      </c>
      <c r="AA12" s="65">
        <f>RTD("fxbluelabs.excelrtd", , "21422436","@bh,CHFJPY,h1,close,10")</f>
        <v>170.53899999999999</v>
      </c>
      <c r="AB12" s="64">
        <f>RTD("fxbluelabs.excelrtd", , "21422436","@bh,USDCAD,h1,close,10")</f>
        <v>1.3614900000000001</v>
      </c>
      <c r="AC12" s="64">
        <f>RTD("fxbluelabs.excelrtd", , "21422436","@bh,USDCHF,h1,close,10")</f>
        <v>0.85419999999999996</v>
      </c>
      <c r="AD12" s="66">
        <f>RTD("fxbluelabs.excelrtd", , "21422436","@bh,USDJPY,h1,close,10")</f>
        <v>145.67500000000001</v>
      </c>
      <c r="AH12" s="56">
        <v>11</v>
      </c>
      <c r="AI12" s="74">
        <f t="shared" si="35"/>
        <v>-5.9304946032393818E-3</v>
      </c>
      <c r="AJ12" s="74">
        <f t="shared" si="35"/>
        <v>8.295048494129352E-2</v>
      </c>
      <c r="AK12" s="74">
        <f t="shared" si="35"/>
        <v>0.12942938964360581</v>
      </c>
      <c r="AL12" s="74">
        <f t="shared" si="35"/>
        <v>-6.9426364662049812E-3</v>
      </c>
      <c r="AM12" s="74">
        <f t="shared" si="35"/>
        <v>-1.5244566400966721E-2</v>
      </c>
      <c r="AN12" s="74">
        <f t="shared" si="35"/>
        <v>-1.7084640907815998E-2</v>
      </c>
      <c r="AO12" s="74">
        <f t="shared" si="35"/>
        <v>-2.5095760137369368E-2</v>
      </c>
      <c r="AP12" s="74">
        <f t="shared" si="35"/>
        <v>-1.0542962572486908E-2</v>
      </c>
      <c r="AQ12" s="74">
        <f t="shared" si="35"/>
        <v>-2.2106193945012786E-2</v>
      </c>
      <c r="AR12" s="74">
        <f t="shared" si="35"/>
        <v>0.11682098574659917</v>
      </c>
      <c r="AS12" s="74">
        <f t="shared" si="35"/>
        <v>-1.0310466336327623E-2</v>
      </c>
      <c r="AT12" s="74">
        <f t="shared" si="35"/>
        <v>7.2422905540624402E-2</v>
      </c>
      <c r="AU12" s="74">
        <f t="shared" si="35"/>
        <v>-3.8381527738411093E-3</v>
      </c>
      <c r="AV12" s="74">
        <f t="shared" si="35"/>
        <v>0</v>
      </c>
      <c r="AW12" s="74">
        <f t="shared" si="35"/>
        <v>8.3065102273906413E-2</v>
      </c>
      <c r="AX12" s="74">
        <f t="shared" si="35"/>
        <v>-1.4658457930221622E-2</v>
      </c>
      <c r="AY12" s="74">
        <f t="shared" si="1"/>
        <v>-7.189201818875249E-3</v>
      </c>
      <c r="AZ12" s="74">
        <f t="shared" si="1"/>
        <v>0.12927736590771419</v>
      </c>
      <c r="BA12" s="74">
        <f t="shared" si="1"/>
        <v>4.8078535729067798E-2</v>
      </c>
      <c r="BB12" s="74">
        <f t="shared" si="1"/>
        <v>-8.9498238598490043E-2</v>
      </c>
      <c r="BC12" s="74">
        <f t="shared" si="1"/>
        <v>-8.7836299163926115E-2</v>
      </c>
      <c r="BD12" s="74">
        <f t="shared" si="1"/>
        <v>-9.5573741114618235E-2</v>
      </c>
      <c r="BE12" s="74">
        <f t="shared" si="1"/>
        <v>0.14694458223748535</v>
      </c>
      <c r="BF12" s="74">
        <f t="shared" si="1"/>
        <v>9.5640392125703362E-3</v>
      </c>
      <c r="BG12" s="74">
        <f t="shared" si="1"/>
        <v>0.13563661131596552</v>
      </c>
      <c r="BH12" s="74">
        <f t="shared" si="1"/>
        <v>-8.8130962610364176E-3</v>
      </c>
      <c r="BI12" s="74">
        <f t="shared" si="1"/>
        <v>-1.1706723171193865E-3</v>
      </c>
      <c r="BJ12" s="74">
        <f t="shared" si="1"/>
        <v>0.13541566422414572</v>
      </c>
      <c r="BN12" s="59">
        <v>11</v>
      </c>
      <c r="BO12" s="78">
        <f t="shared" si="6"/>
        <v>0.15757450039582863</v>
      </c>
      <c r="BP12" s="78">
        <f t="shared" si="2"/>
        <v>0.14787833350022947</v>
      </c>
      <c r="BQ12" s="78">
        <f t="shared" ref="BQ12:CL23" si="38">AK12+SUM(AK13:AK47)</f>
        <v>-0.32073965083389011</v>
      </c>
      <c r="BR12" s="78">
        <f t="shared" si="38"/>
        <v>-0.4635061520704698</v>
      </c>
      <c r="BS12" s="78">
        <f t="shared" si="38"/>
        <v>0.1593887741461642</v>
      </c>
      <c r="BT12" s="78">
        <f t="shared" si="38"/>
        <v>0.34440916917945769</v>
      </c>
      <c r="BU12" s="78">
        <f t="shared" si="38"/>
        <v>0.34844519514016409</v>
      </c>
      <c r="BV12" s="78">
        <f t="shared" si="38"/>
        <v>0.19946459906902231</v>
      </c>
      <c r="BW12" s="78">
        <f t="shared" si="38"/>
        <v>-0.28259635489372159</v>
      </c>
      <c r="BX12" s="78">
        <f t="shared" si="38"/>
        <v>-0.13435865367511768</v>
      </c>
      <c r="BY12" s="78">
        <f t="shared" si="38"/>
        <v>0.18841620826177508</v>
      </c>
      <c r="BZ12" s="78">
        <f t="shared" si="38"/>
        <v>0.33629229111948783</v>
      </c>
      <c r="CA12" s="78">
        <f t="shared" si="38"/>
        <v>0.14382702501037667</v>
      </c>
      <c r="CB12" s="78">
        <f t="shared" si="38"/>
        <v>-1.2334968484108824E-2</v>
      </c>
      <c r="CC12" s="78">
        <f t="shared" si="38"/>
        <v>0.13581155569657799</v>
      </c>
      <c r="CD12" s="78">
        <f t="shared" si="38"/>
        <v>0.14753186328534373</v>
      </c>
      <c r="CE12" s="78">
        <f t="shared" si="38"/>
        <v>-0.47650972382442541</v>
      </c>
      <c r="CF12" s="78">
        <f t="shared" si="38"/>
        <v>-0.33344429288711741</v>
      </c>
      <c r="CG12" s="78">
        <f t="shared" si="38"/>
        <v>-0.4646959886222089</v>
      </c>
      <c r="CH12" s="78">
        <f t="shared" si="38"/>
        <v>-0.60931486911556731</v>
      </c>
      <c r="CI12" s="78">
        <f t="shared" si="38"/>
        <v>1.3611937628058998E-2</v>
      </c>
      <c r="CJ12" s="78">
        <f t="shared" si="38"/>
        <v>1.6022565886034471E-2</v>
      </c>
      <c r="CK12" s="78">
        <f t="shared" si="38"/>
        <v>-0.47962564919646072</v>
      </c>
      <c r="CL12" s="78">
        <f t="shared" si="38"/>
        <v>-0.6238544110158919</v>
      </c>
      <c r="CM12" s="78">
        <f t="shared" si="37"/>
        <v>0.14863836148053372</v>
      </c>
      <c r="CN12" s="78">
        <f t="shared" si="37"/>
        <v>1.5446778199751203E-3</v>
      </c>
      <c r="CO12" s="78">
        <f t="shared" si="37"/>
        <v>-0.62502122749553968</v>
      </c>
      <c r="CP12" s="78">
        <f t="shared" si="37"/>
        <v>-0.47873579515707976</v>
      </c>
      <c r="CU12" s="56">
        <v>11</v>
      </c>
      <c r="CV12" s="57">
        <f t="shared" si="7"/>
        <v>1.0000724542010677</v>
      </c>
      <c r="CW12" s="57">
        <f t="shared" si="8"/>
        <v>-1.7616349770463664</v>
      </c>
      <c r="CX12" s="57">
        <f t="shared" si="9"/>
        <v>-1.7764131364900342</v>
      </c>
      <c r="CY12" s="57">
        <f t="shared" si="10"/>
        <v>2.6055866888802575</v>
      </c>
      <c r="CZ12" s="57">
        <f t="shared" si="11"/>
        <v>-0.59458314027237558</v>
      </c>
      <c r="DA12" s="57">
        <f t="shared" si="12"/>
        <v>-0.49548543463980382</v>
      </c>
      <c r="DB12" s="57">
        <f t="shared" si="13"/>
        <v>-1.6643585345399781</v>
      </c>
      <c r="DC12" s="57">
        <f t="shared" si="14"/>
        <v>2.062961668891341</v>
      </c>
      <c r="DF12" s="53">
        <v>11</v>
      </c>
      <c r="DG12" s="52">
        <f t="shared" si="36"/>
        <v>1.5446778199751203E-3</v>
      </c>
      <c r="DH12" s="52">
        <f t="shared" si="15"/>
        <v>0.34844519514016409</v>
      </c>
      <c r="DI12" s="52">
        <f t="shared" si="16"/>
        <v>-0.62502122749553968</v>
      </c>
      <c r="DJ12" s="52">
        <f t="shared" si="17"/>
        <v>-0.28259635489372159</v>
      </c>
      <c r="DK12" s="52">
        <f t="shared" si="18"/>
        <v>-0.14382702501037667</v>
      </c>
      <c r="DL12" s="52">
        <f t="shared" si="19"/>
        <v>0.19946459906902231</v>
      </c>
      <c r="DM12" s="52">
        <f t="shared" si="20"/>
        <v>-0.15757450039582863</v>
      </c>
      <c r="DN12" s="52">
        <f t="shared" si="21"/>
        <v>0.18841620826177508</v>
      </c>
      <c r="DO12" s="52">
        <f t="shared" si="22"/>
        <v>-1.3611937628058998E-2</v>
      </c>
      <c r="DP12" s="52">
        <f t="shared" si="23"/>
        <v>0.33629229111948783</v>
      </c>
      <c r="DQ12" s="52">
        <f t="shared" si="24"/>
        <v>-0.47873579515707976</v>
      </c>
      <c r="DR12" s="52">
        <f t="shared" si="25"/>
        <v>-0.13435865367511768</v>
      </c>
      <c r="DS12" s="52">
        <f t="shared" si="26"/>
        <v>-0.34440916917945769</v>
      </c>
      <c r="DT12" s="52">
        <f t="shared" si="27"/>
        <v>0.34440916917945769</v>
      </c>
      <c r="DX12">
        <v>11</v>
      </c>
      <c r="DY12" s="19">
        <f t="shared" si="4"/>
        <v>9.7276442506388339E-2</v>
      </c>
      <c r="EM12" s="13">
        <v>11</v>
      </c>
      <c r="EN12" s="16">
        <f t="shared" si="28"/>
        <v>1.0000724542010677</v>
      </c>
      <c r="EO12" s="16">
        <f t="shared" si="5"/>
        <v>-1.7616349770463664</v>
      </c>
      <c r="EP12" s="16">
        <f t="shared" si="29"/>
        <v>-1.7764131364900342</v>
      </c>
      <c r="EQ12" s="16">
        <f t="shared" si="30"/>
        <v>2.6055866888802575</v>
      </c>
      <c r="ER12" s="16">
        <f t="shared" si="31"/>
        <v>-0.59458314027237558</v>
      </c>
      <c r="ES12" s="16">
        <f t="shared" si="32"/>
        <v>-0.49548543463980382</v>
      </c>
      <c r="ET12" s="16">
        <f t="shared" si="33"/>
        <v>-1.6643585345399781</v>
      </c>
      <c r="EU12" s="16">
        <f t="shared" si="34"/>
        <v>2.062961668891341</v>
      </c>
      <c r="EW12" s="42" t="s">
        <v>53</v>
      </c>
      <c r="FK12" s="20"/>
      <c r="FL12" s="20"/>
    </row>
    <row r="13" spans="1:170" ht="18.600000000000001" thickBot="1" x14ac:dyDescent="0.4">
      <c r="A13" s="37" t="s">
        <v>51</v>
      </c>
      <c r="B13" s="38">
        <v>11</v>
      </c>
      <c r="C13" s="63">
        <f>RTD("fxbluelabs.excelrtd", , "21422436","@bh,AUDUSD,h1,close,11")</f>
        <v>0.67447999999999997</v>
      </c>
      <c r="D13" s="64">
        <f>RTD("fxbluelabs.excelrtd", , "21422436","@bh,AUDNZD,h1,close,11")</f>
        <v>1.09704</v>
      </c>
      <c r="E13" s="65">
        <f>RTD("fxbluelabs.excelrtd", , "21422436","@bh,AUDJPY,h1,close,11")</f>
        <v>98.123000000000005</v>
      </c>
      <c r="F13" s="64">
        <f>RTD("fxbluelabs.excelrtd", , "21422436","@bh,AUDCHF,h1,close,11")</f>
        <v>0.57615000000000005</v>
      </c>
      <c r="G13" s="64">
        <f>RTD("fxbluelabs.excelrtd", , "21422436","@bh,AUDCAD,h1,close,11")</f>
        <v>0.91835999999999995</v>
      </c>
      <c r="H13" s="64">
        <f>RTD("fxbluelabs.excelrtd", , "21422436","@bh,EURUSD,h1,close,11")</f>
        <v>1.1121099999999999</v>
      </c>
      <c r="I13" s="64">
        <f>RTD("fxbluelabs.excelrtd", , "21422436","@bh,EURCAD,h1,close,11")</f>
        <v>1.5142</v>
      </c>
      <c r="J13" s="64">
        <f>RTD("fxbluelabs.excelrtd", , "21422436","@bh,EURGBP,h1,close,11")</f>
        <v>0.85365000000000002</v>
      </c>
      <c r="K13" s="64">
        <f>RTD("fxbluelabs.excelrtd", , "21422436","@bh,EURCHF,h1,close,11")</f>
        <v>0.94996000000000003</v>
      </c>
      <c r="L13" s="65">
        <f>RTD("fxbluelabs.excelrtd", , "21422436","@bh,EURJPY,h1,close,11")</f>
        <v>161.786</v>
      </c>
      <c r="M13" s="64">
        <f>RTD("fxbluelabs.excelrtd", , "21422436","@bh,EURAUD,h1,close,11")</f>
        <v>1.6488100000000001</v>
      </c>
      <c r="N13" s="64">
        <f>RTD("fxbluelabs.excelrtd", , "21422436","@bh,EURNZD,h1,close,11")</f>
        <v>1.8088200000000001</v>
      </c>
      <c r="O13" s="64">
        <f>RTD("fxbluelabs.excelrtd", , "21422436","@bh,GBPUSD,h1,close,11")</f>
        <v>1.30271</v>
      </c>
      <c r="P13" s="64">
        <f>RTD("fxbluelabs.excelrtd", , "21422436","@bh,GBPAUD,h1,close,11")</f>
        <v>1.9314</v>
      </c>
      <c r="Q13" s="64">
        <f>RTD("fxbluelabs.excelrtd", , "21422436","@bh,GBPNZD,h1,close,11")</f>
        <v>2.1188199999999999</v>
      </c>
      <c r="R13" s="64">
        <f>RTD("fxbluelabs.excelrtd", , "21422436","@bh,GBPCAD,h1,close,11")</f>
        <v>1.77372</v>
      </c>
      <c r="S13" s="64">
        <f>RTD("fxbluelabs.excelrtd", , "21422436","@bh,GBPCHF,h1,close,11")</f>
        <v>1.1127800000000001</v>
      </c>
      <c r="T13" s="65">
        <f>RTD("fxbluelabs.excelrtd", , "21422436","@bh,GBPJPY,h1,close,11")</f>
        <v>189.51499999999999</v>
      </c>
      <c r="U13" s="65">
        <f>RTD("fxbluelabs.excelrtd", , "21422436","@bh,NZDJPY,h1,close,11")</f>
        <v>89.436999999999998</v>
      </c>
      <c r="V13" s="64">
        <f>RTD("fxbluelabs.excelrtd", , "21422436","@bh,NZDCHF,h1,close,11")</f>
        <v>0.52515000000000001</v>
      </c>
      <c r="W13" s="64">
        <f>RTD("fxbluelabs.excelrtd", , "21422436","@bh,NZDUSD,h1,close,11")</f>
        <v>0.61477999999999999</v>
      </c>
      <c r="X13" s="64">
        <f>RTD("fxbluelabs.excelrtd", , "21422436","@bh,NZDCAD,h1,close,11")</f>
        <v>0.83704999999999996</v>
      </c>
      <c r="Y13" s="65">
        <f>RTD("fxbluelabs.excelrtd", , "21422436","@bh,CADJPY,h1,close,11")</f>
        <v>106.843</v>
      </c>
      <c r="Z13" s="64">
        <f>RTD("fxbluelabs.excelrtd", , "21422436","@bh,CADCHF,h1,close,11")</f>
        <v>0.62734999999999996</v>
      </c>
      <c r="AA13" s="65">
        <f>RTD("fxbluelabs.excelrtd", , "21422436","@bh,CHFJPY,h1,close,11")</f>
        <v>170.30799999999999</v>
      </c>
      <c r="AB13" s="64">
        <f>RTD("fxbluelabs.excelrtd", , "21422436","@bh,USDCAD,h1,close,11")</f>
        <v>1.36161</v>
      </c>
      <c r="AC13" s="64">
        <f>RTD("fxbluelabs.excelrtd", , "21422436","@bh,USDCHF,h1,close,11")</f>
        <v>0.85421000000000002</v>
      </c>
      <c r="AD13" s="66">
        <f>RTD("fxbluelabs.excelrtd", , "21422436","@bh,USDJPY,h1,close,11")</f>
        <v>145.47800000000001</v>
      </c>
      <c r="AH13" s="56">
        <v>12</v>
      </c>
      <c r="AI13" s="75">
        <f t="shared" si="35"/>
        <v>3.707933494504434E-2</v>
      </c>
      <c r="AJ13" s="75">
        <f t="shared" si="35"/>
        <v>3.8299502106480546E-2</v>
      </c>
      <c r="AK13" s="75">
        <f t="shared" si="35"/>
        <v>9.5889991737147476E-2</v>
      </c>
      <c r="AL13" s="75">
        <f t="shared" si="35"/>
        <v>0.10250886093545251</v>
      </c>
      <c r="AM13" s="75">
        <f t="shared" si="35"/>
        <v>1.7425397516874098E-2</v>
      </c>
      <c r="AN13" s="75">
        <f t="shared" si="35"/>
        <v>-6.2939452246951483E-3</v>
      </c>
      <c r="AO13" s="75">
        <f t="shared" si="35"/>
        <v>-2.5749542780561897E-2</v>
      </c>
      <c r="AP13" s="75">
        <f t="shared" si="35"/>
        <v>-2.3428256820574697E-3</v>
      </c>
      <c r="AQ13" s="75">
        <f t="shared" si="35"/>
        <v>6.0038551069641607E-2</v>
      </c>
      <c r="AR13" s="75">
        <f t="shared" si="35"/>
        <v>5.318491032777535E-2</v>
      </c>
      <c r="AS13" s="75">
        <f t="shared" si="35"/>
        <v>-4.2436844881202473E-2</v>
      </c>
      <c r="AT13" s="75">
        <f t="shared" si="35"/>
        <v>-4.4225772568886046E-3</v>
      </c>
      <c r="AU13" s="75">
        <f t="shared" si="35"/>
        <v>-8.4432231620680132E-3</v>
      </c>
      <c r="AV13" s="75">
        <f t="shared" si="35"/>
        <v>-4.4507467939101514E-2</v>
      </c>
      <c r="AW13" s="75">
        <f t="shared" si="35"/>
        <v>-6.607014761960065E-3</v>
      </c>
      <c r="AX13" s="75">
        <f t="shared" si="35"/>
        <v>-2.7617925724694452E-2</v>
      </c>
      <c r="AY13" s="75">
        <f t="shared" si="1"/>
        <v>5.7546711744941824E-2</v>
      </c>
      <c r="AZ13" s="75">
        <f t="shared" si="1"/>
        <v>5.0681293851184521E-2</v>
      </c>
      <c r="BA13" s="75">
        <f t="shared" si="1"/>
        <v>5.2578588208968616E-2</v>
      </c>
      <c r="BB13" s="75">
        <f t="shared" si="1"/>
        <v>5.9065619998481915E-2</v>
      </c>
      <c r="BC13" s="75">
        <f t="shared" si="1"/>
        <v>-6.5059692267720633E-3</v>
      </c>
      <c r="BD13" s="75">
        <f t="shared" si="1"/>
        <v>-2.6275872777001205E-2</v>
      </c>
      <c r="BE13" s="75">
        <f t="shared" si="1"/>
        <v>7.5869691463257588E-2</v>
      </c>
      <c r="BF13" s="75">
        <f t="shared" si="1"/>
        <v>8.2957101606490585E-2</v>
      </c>
      <c r="BG13" s="75">
        <f t="shared" si="1"/>
        <v>-5.2842640488116582E-3</v>
      </c>
      <c r="BH13" s="75">
        <f t="shared" si="1"/>
        <v>-1.9825535289452263E-2</v>
      </c>
      <c r="BI13" s="75">
        <f t="shared" si="1"/>
        <v>6.5600656006560648E-2</v>
      </c>
      <c r="BJ13" s="75">
        <f t="shared" si="1"/>
        <v>5.8462236833965842E-2</v>
      </c>
      <c r="BN13" s="59">
        <v>12</v>
      </c>
      <c r="BO13" s="79">
        <f t="shared" si="6"/>
        <v>0.16350499499906804</v>
      </c>
      <c r="BP13" s="79">
        <f t="shared" si="2"/>
        <v>6.4927848558935977E-2</v>
      </c>
      <c r="BQ13" s="79">
        <f t="shared" si="38"/>
        <v>-0.45016904047749579</v>
      </c>
      <c r="BR13" s="79">
        <f t="shared" si="38"/>
        <v>-0.45656351560426489</v>
      </c>
      <c r="BS13" s="79">
        <f t="shared" si="38"/>
        <v>0.17463334054713092</v>
      </c>
      <c r="BT13" s="79">
        <f t="shared" si="38"/>
        <v>0.36149381008727366</v>
      </c>
      <c r="BU13" s="79">
        <f t="shared" si="38"/>
        <v>0.37354095527753345</v>
      </c>
      <c r="BV13" s="79">
        <f t="shared" si="38"/>
        <v>0.21000756164150922</v>
      </c>
      <c r="BW13" s="79">
        <f t="shared" si="38"/>
        <v>-0.2604901609487088</v>
      </c>
      <c r="BX13" s="79">
        <f t="shared" si="38"/>
        <v>-0.25117963942171689</v>
      </c>
      <c r="BY13" s="79">
        <f t="shared" si="38"/>
        <v>0.1987266745981027</v>
      </c>
      <c r="BZ13" s="79">
        <f t="shared" si="38"/>
        <v>0.26386938557886341</v>
      </c>
      <c r="CA13" s="79">
        <f t="shared" si="38"/>
        <v>0.14766517778421778</v>
      </c>
      <c r="CB13" s="79">
        <f t="shared" si="38"/>
        <v>-1.2334968484108845E-2</v>
      </c>
      <c r="CC13" s="79">
        <f t="shared" si="38"/>
        <v>5.2746453422671563E-2</v>
      </c>
      <c r="CD13" s="79">
        <f t="shared" si="38"/>
        <v>0.16219032121556531</v>
      </c>
      <c r="CE13" s="79">
        <f t="shared" si="38"/>
        <v>-0.46932052200555013</v>
      </c>
      <c r="CF13" s="79">
        <f t="shared" si="38"/>
        <v>-0.46272165879483179</v>
      </c>
      <c r="CG13" s="79">
        <f t="shared" si="38"/>
        <v>-0.51277452435127668</v>
      </c>
      <c r="CH13" s="79">
        <f t="shared" si="38"/>
        <v>-0.51981663051707716</v>
      </c>
      <c r="CI13" s="79">
        <f t="shared" si="38"/>
        <v>0.1014482367919851</v>
      </c>
      <c r="CJ13" s="79">
        <f t="shared" si="38"/>
        <v>0.11159630700065266</v>
      </c>
      <c r="CK13" s="79">
        <f t="shared" si="38"/>
        <v>-0.62657023143394597</v>
      </c>
      <c r="CL13" s="79">
        <f t="shared" si="38"/>
        <v>-0.63341845022846222</v>
      </c>
      <c r="CM13" s="79">
        <f t="shared" si="37"/>
        <v>1.3001750164568187E-2</v>
      </c>
      <c r="CN13" s="79">
        <f t="shared" si="37"/>
        <v>1.0357774081011548E-2</v>
      </c>
      <c r="CO13" s="79">
        <f t="shared" si="37"/>
        <v>-0.62385055517842014</v>
      </c>
      <c r="CP13" s="79">
        <f t="shared" si="37"/>
        <v>-0.6141514593812254</v>
      </c>
      <c r="CU13" s="56">
        <v>12</v>
      </c>
      <c r="CV13" s="58">
        <f t="shared" si="7"/>
        <v>0.89596858681285674</v>
      </c>
      <c r="CW13" s="58">
        <f t="shared" si="8"/>
        <v>-2.0017564601411788</v>
      </c>
      <c r="CX13" s="58">
        <f t="shared" si="9"/>
        <v>-2.0923073797843021</v>
      </c>
      <c r="CY13" s="58">
        <f t="shared" si="10"/>
        <v>2.3430431344185889</v>
      </c>
      <c r="CZ13" s="58">
        <f t="shared" si="11"/>
        <v>-0.7917827585035454</v>
      </c>
      <c r="DA13" s="58">
        <f t="shared" si="12"/>
        <v>-0.69005807809061948</v>
      </c>
      <c r="DB13" s="58">
        <f t="shared" si="13"/>
        <v>-1.2010902986361869</v>
      </c>
      <c r="DC13" s="58">
        <f t="shared" si="14"/>
        <v>2.9045648036959246</v>
      </c>
      <c r="DF13" s="51">
        <v>12</v>
      </c>
      <c r="DG13" s="54">
        <f t="shared" si="36"/>
        <v>1.0357774081011548E-2</v>
      </c>
      <c r="DH13" s="54">
        <f t="shared" si="15"/>
        <v>0.37354095527753345</v>
      </c>
      <c r="DI13" s="54">
        <f t="shared" si="16"/>
        <v>-0.62385055517842014</v>
      </c>
      <c r="DJ13" s="54">
        <f t="shared" si="17"/>
        <v>-0.2604901609487088</v>
      </c>
      <c r="DK13" s="54">
        <f t="shared" si="18"/>
        <v>-0.14766517778421778</v>
      </c>
      <c r="DL13" s="54">
        <f t="shared" si="19"/>
        <v>0.21000756164150922</v>
      </c>
      <c r="DM13" s="54">
        <f t="shared" si="20"/>
        <v>-0.16350499499906804</v>
      </c>
      <c r="DN13" s="54">
        <f t="shared" si="21"/>
        <v>0.1987266745981027</v>
      </c>
      <c r="DO13" s="54">
        <f t="shared" si="22"/>
        <v>-0.1014482367919851</v>
      </c>
      <c r="DP13" s="54">
        <f t="shared" si="23"/>
        <v>0.26386938557886341</v>
      </c>
      <c r="DQ13" s="54">
        <f t="shared" si="24"/>
        <v>-0.6141514593812254</v>
      </c>
      <c r="DR13" s="54">
        <f t="shared" si="25"/>
        <v>-0.25117963942171689</v>
      </c>
      <c r="DS13" s="54">
        <f t="shared" si="26"/>
        <v>-0.36149381008727366</v>
      </c>
      <c r="DT13" s="54">
        <f t="shared" si="27"/>
        <v>0.36149381008727366</v>
      </c>
      <c r="DX13">
        <v>12</v>
      </c>
      <c r="DY13" s="19">
        <f t="shared" si="4"/>
        <v>0.80066616150499192</v>
      </c>
      <c r="EM13" s="21">
        <v>12</v>
      </c>
      <c r="EN13" s="16">
        <f t="shared" si="28"/>
        <v>0.89596858681285674</v>
      </c>
      <c r="EO13" s="16">
        <f t="shared" si="5"/>
        <v>-2.0017564601411788</v>
      </c>
      <c r="EP13" s="16">
        <f t="shared" si="29"/>
        <v>-2.0923073797843021</v>
      </c>
      <c r="EQ13" s="16">
        <f t="shared" si="30"/>
        <v>2.3430431344185889</v>
      </c>
      <c r="ER13" s="16">
        <f t="shared" si="31"/>
        <v>-0.7917827585035454</v>
      </c>
      <c r="ES13" s="16">
        <f t="shared" si="32"/>
        <v>-0.69005807809061948</v>
      </c>
      <c r="ET13" s="16">
        <f t="shared" si="33"/>
        <v>-1.2010902986361869</v>
      </c>
      <c r="EU13" s="16">
        <f t="shared" si="34"/>
        <v>2.9045648036959246</v>
      </c>
      <c r="EW13" s="40">
        <f>'SATORI H4'!EW2</f>
        <v>8.7537444583377457</v>
      </c>
      <c r="EX13" s="39" t="str">
        <f>'SATORI H4'!EX2</f>
        <v>NZD</v>
      </c>
      <c r="FK13" s="20"/>
      <c r="FL13" s="20"/>
    </row>
    <row r="14" spans="1:170" ht="18.600000000000001" thickBot="1" x14ac:dyDescent="0.4">
      <c r="A14" s="37" t="s">
        <v>51</v>
      </c>
      <c r="B14" s="38">
        <v>12</v>
      </c>
      <c r="C14" s="63">
        <f>RTD("fxbluelabs.excelrtd", , "21422436","@bh,AUDUSD,h1,close,12")</f>
        <v>0.67423</v>
      </c>
      <c r="D14" s="64">
        <f>RTD("fxbluelabs.excelrtd", , "21422436","@bh,AUDNZD,h1,close,12")</f>
        <v>1.0966199999999999</v>
      </c>
      <c r="E14" s="65">
        <f>RTD("fxbluelabs.excelrtd", , "21422436","@bh,AUDJPY,h1,close,12")</f>
        <v>98.028999999999996</v>
      </c>
      <c r="F14" s="64">
        <f>RTD("fxbluelabs.excelrtd", , "21422436","@bh,AUDCHF,h1,close,12")</f>
        <v>0.57555999999999996</v>
      </c>
      <c r="G14" s="64">
        <f>RTD("fxbluelabs.excelrtd", , "21422436","@bh,AUDCAD,h1,close,12")</f>
        <v>0.91820000000000002</v>
      </c>
      <c r="H14" s="64">
        <f>RTD("fxbluelabs.excelrtd", , "21422436","@bh,EURUSD,h1,close,12")</f>
        <v>1.1121799999999999</v>
      </c>
      <c r="I14" s="64">
        <f>RTD("fxbluelabs.excelrtd", , "21422436","@bh,EURCAD,h1,close,12")</f>
        <v>1.5145900000000001</v>
      </c>
      <c r="J14" s="64">
        <f>RTD("fxbluelabs.excelrtd", , "21422436","@bh,EURGBP,h1,close,12")</f>
        <v>0.85367000000000004</v>
      </c>
      <c r="K14" s="64">
        <f>RTD("fxbluelabs.excelrtd", , "21422436","@bh,EURCHF,h1,close,12")</f>
        <v>0.94938999999999996</v>
      </c>
      <c r="L14" s="65">
        <f>RTD("fxbluelabs.excelrtd", , "21422436","@bh,EURJPY,h1,close,12")</f>
        <v>161.69999999999999</v>
      </c>
      <c r="M14" s="64">
        <f>RTD("fxbluelabs.excelrtd", , "21422436","@bh,EURAUD,h1,close,12")</f>
        <v>1.64951</v>
      </c>
      <c r="N14" s="64">
        <f>RTD("fxbluelabs.excelrtd", , "21422436","@bh,EURNZD,h1,close,12")</f>
        <v>1.8089</v>
      </c>
      <c r="O14" s="64">
        <f>RTD("fxbluelabs.excelrtd", , "21422436","@bh,GBPUSD,h1,close,12")</f>
        <v>1.3028200000000001</v>
      </c>
      <c r="P14" s="64">
        <f>RTD("fxbluelabs.excelrtd", , "21422436","@bh,GBPAUD,h1,close,12")</f>
        <v>1.9322600000000001</v>
      </c>
      <c r="Q14" s="64">
        <f>RTD("fxbluelabs.excelrtd", , "21422436","@bh,GBPNZD,h1,close,12")</f>
        <v>2.11896</v>
      </c>
      <c r="R14" s="64">
        <f>RTD("fxbluelabs.excelrtd", , "21422436","@bh,GBPCAD,h1,close,12")</f>
        <v>1.7742100000000001</v>
      </c>
      <c r="S14" s="64">
        <f>RTD("fxbluelabs.excelrtd", , "21422436","@bh,GBPCHF,h1,close,12")</f>
        <v>1.1121399999999999</v>
      </c>
      <c r="T14" s="65">
        <f>RTD("fxbluelabs.excelrtd", , "21422436","@bh,GBPJPY,h1,close,12")</f>
        <v>189.41900000000001</v>
      </c>
      <c r="U14" s="65">
        <f>RTD("fxbluelabs.excelrtd", , "21422436","@bh,NZDJPY,h1,close,12")</f>
        <v>89.39</v>
      </c>
      <c r="V14" s="64">
        <f>RTD("fxbluelabs.excelrtd", , "21422436","@bh,NZDCHF,h1,close,12")</f>
        <v>0.52483999999999997</v>
      </c>
      <c r="W14" s="64">
        <f>RTD("fxbluelabs.excelrtd", , "21422436","@bh,NZDUSD,h1,close,12")</f>
        <v>0.61482000000000003</v>
      </c>
      <c r="X14" s="64">
        <f>RTD("fxbluelabs.excelrtd", , "21422436","@bh,NZDCAD,h1,close,12")</f>
        <v>0.83726999999999996</v>
      </c>
      <c r="Y14" s="65">
        <f>RTD("fxbluelabs.excelrtd", , "21422436","@bh,CADJPY,h1,close,12")</f>
        <v>106.762</v>
      </c>
      <c r="Z14" s="64">
        <f>RTD("fxbluelabs.excelrtd", , "21422436","@bh,CADCHF,h1,close,12")</f>
        <v>0.62683</v>
      </c>
      <c r="AA14" s="65">
        <f>RTD("fxbluelabs.excelrtd", , "21422436","@bh,CHFJPY,h1,close,12")</f>
        <v>170.31700000000001</v>
      </c>
      <c r="AB14" s="64">
        <f>RTD("fxbluelabs.excelrtd", , "21422436","@bh,USDCAD,h1,close,12")</f>
        <v>1.36188</v>
      </c>
      <c r="AC14" s="64">
        <f>RTD("fxbluelabs.excelrtd", , "21422436","@bh,USDCHF,h1,close,12")</f>
        <v>0.85365000000000002</v>
      </c>
      <c r="AD14" s="66">
        <f>RTD("fxbluelabs.excelrtd", , "21422436","@bh,USDJPY,h1,close,12")</f>
        <v>145.393</v>
      </c>
      <c r="AH14" s="56">
        <v>13</v>
      </c>
      <c r="AI14" s="74">
        <f t="shared" si="35"/>
        <v>-2.3725144204399379E-2</v>
      </c>
      <c r="AJ14" s="74">
        <f t="shared" si="35"/>
        <v>3.2838925072511627E-2</v>
      </c>
      <c r="AK14" s="74">
        <f t="shared" si="35"/>
        <v>-3.3652179233547401E-2</v>
      </c>
      <c r="AL14" s="74">
        <f t="shared" si="35"/>
        <v>-4.3417099390438418E-2</v>
      </c>
      <c r="AM14" s="74">
        <f t="shared" si="35"/>
        <v>-2.8308255122709531E-2</v>
      </c>
      <c r="AN14" s="74">
        <f t="shared" si="35"/>
        <v>8.991431165957962E-4</v>
      </c>
      <c r="AO14" s="74">
        <f t="shared" si="35"/>
        <v>-5.9418491034359385E-3</v>
      </c>
      <c r="AP14" s="74">
        <f t="shared" si="35"/>
        <v>-1.4054978390471777E-2</v>
      </c>
      <c r="AQ14" s="74">
        <f t="shared" si="35"/>
        <v>-2.1061721374497307E-2</v>
      </c>
      <c r="AR14" s="74">
        <f t="shared" si="35"/>
        <v>-1.1130486402256201E-2</v>
      </c>
      <c r="AS14" s="74">
        <f t="shared" si="35"/>
        <v>2.243593630619483E-2</v>
      </c>
      <c r="AT14" s="74">
        <f t="shared" si="35"/>
        <v>5.5312793849211228E-2</v>
      </c>
      <c r="AU14" s="74">
        <f t="shared" si="35"/>
        <v>1.996069278959503E-2</v>
      </c>
      <c r="AV14" s="74">
        <f t="shared" si="35"/>
        <v>4.1937404540640426E-2</v>
      </c>
      <c r="AW14" s="74">
        <f t="shared" si="35"/>
        <v>7.4620521588006736E-2</v>
      </c>
      <c r="AX14" s="74">
        <f t="shared" si="35"/>
        <v>1.2965196901891483E-2</v>
      </c>
      <c r="AY14" s="74">
        <f t="shared" si="1"/>
        <v>-1.7983024025437907E-3</v>
      </c>
      <c r="AZ14" s="74">
        <f t="shared" si="1"/>
        <v>7.9195793119547532E-3</v>
      </c>
      <c r="BA14" s="74">
        <f t="shared" si="1"/>
        <v>-6.5959373497744528E-2</v>
      </c>
      <c r="BB14" s="74">
        <f t="shared" si="1"/>
        <v>-7.6155662173495342E-2</v>
      </c>
      <c r="BC14" s="74">
        <f t="shared" si="1"/>
        <v>-5.36454523286908E-2</v>
      </c>
      <c r="BD14" s="74">
        <f t="shared" si="1"/>
        <v>-6.206806001504863E-2</v>
      </c>
      <c r="BE14" s="74">
        <f t="shared" si="1"/>
        <v>-4.6830949637954172E-3</v>
      </c>
      <c r="BF14" s="74">
        <f t="shared" si="1"/>
        <v>-1.4355898679262824E-2</v>
      </c>
      <c r="BG14" s="74">
        <f t="shared" si="1"/>
        <v>8.8078824676250302E-3</v>
      </c>
      <c r="BH14" s="74">
        <f t="shared" si="1"/>
        <v>-8.8105726872334811E-3</v>
      </c>
      <c r="BI14" s="74">
        <f t="shared" si="1"/>
        <v>-2.1081479919885456E-2</v>
      </c>
      <c r="BJ14" s="74">
        <f t="shared" si="1"/>
        <v>-1.1691080393367656E-2</v>
      </c>
      <c r="BN14" s="59">
        <v>13</v>
      </c>
      <c r="BO14" s="78">
        <f t="shared" si="6"/>
        <v>0.1264256600540237</v>
      </c>
      <c r="BP14" s="78">
        <f t="shared" si="2"/>
        <v>2.6628346452455404E-2</v>
      </c>
      <c r="BQ14" s="78">
        <f t="shared" si="38"/>
        <v>-0.54605903221464325</v>
      </c>
      <c r="BR14" s="78">
        <f t="shared" si="38"/>
        <v>-0.55907237653971742</v>
      </c>
      <c r="BS14" s="78">
        <f t="shared" si="38"/>
        <v>0.15720794303025681</v>
      </c>
      <c r="BT14" s="78">
        <f t="shared" si="38"/>
        <v>0.36778775531196883</v>
      </c>
      <c r="BU14" s="78">
        <f t="shared" si="38"/>
        <v>0.39929049805809536</v>
      </c>
      <c r="BV14" s="78">
        <f t="shared" si="38"/>
        <v>0.21235038732356668</v>
      </c>
      <c r="BW14" s="78">
        <f t="shared" si="38"/>
        <v>-0.32052871201835037</v>
      </c>
      <c r="BX14" s="78">
        <f t="shared" si="38"/>
        <v>-0.30436454974949223</v>
      </c>
      <c r="BY14" s="78">
        <f t="shared" si="38"/>
        <v>0.24116351947930517</v>
      </c>
      <c r="BZ14" s="78">
        <f t="shared" si="38"/>
        <v>0.26829196283575202</v>
      </c>
      <c r="CA14" s="78">
        <f t="shared" si="38"/>
        <v>0.15610840094628581</v>
      </c>
      <c r="CB14" s="78">
        <f t="shared" si="38"/>
        <v>3.2172499454992676E-2</v>
      </c>
      <c r="CC14" s="78">
        <f t="shared" si="38"/>
        <v>5.935346818463165E-2</v>
      </c>
      <c r="CD14" s="78">
        <f t="shared" si="38"/>
        <v>0.1898082469402598</v>
      </c>
      <c r="CE14" s="78">
        <f t="shared" si="38"/>
        <v>-0.52686723375049194</v>
      </c>
      <c r="CF14" s="78">
        <f t="shared" si="38"/>
        <v>-0.51340295264601632</v>
      </c>
      <c r="CG14" s="78">
        <f t="shared" si="38"/>
        <v>-0.56535311256024534</v>
      </c>
      <c r="CH14" s="78">
        <f t="shared" si="38"/>
        <v>-0.57888225051555908</v>
      </c>
      <c r="CI14" s="78">
        <f t="shared" si="38"/>
        <v>0.10795420601875719</v>
      </c>
      <c r="CJ14" s="78">
        <f t="shared" si="38"/>
        <v>0.1378721797776539</v>
      </c>
      <c r="CK14" s="78">
        <f t="shared" si="38"/>
        <v>-0.70243992289720358</v>
      </c>
      <c r="CL14" s="78">
        <f t="shared" si="38"/>
        <v>-0.71637555183495283</v>
      </c>
      <c r="CM14" s="78">
        <f t="shared" si="37"/>
        <v>1.8286014213379782E-2</v>
      </c>
      <c r="CN14" s="78">
        <f t="shared" si="37"/>
        <v>3.0183309370463811E-2</v>
      </c>
      <c r="CO14" s="78">
        <f t="shared" si="37"/>
        <v>-0.68945121118498076</v>
      </c>
      <c r="CP14" s="78">
        <f t="shared" si="37"/>
        <v>-0.67261369621519129</v>
      </c>
      <c r="CU14" s="56">
        <v>13</v>
      </c>
      <c r="CV14" s="57">
        <f t="shared" si="7"/>
        <v>0.86399086124084556</v>
      </c>
      <c r="CW14" s="57">
        <f t="shared" si="8"/>
        <v>-2.0901576203607442</v>
      </c>
      <c r="CX14" s="57">
        <f t="shared" si="9"/>
        <v>-2.3331776519088856</v>
      </c>
      <c r="CY14" s="57">
        <f t="shared" si="10"/>
        <v>2.6930877982224795</v>
      </c>
      <c r="CZ14" s="57">
        <f t="shared" si="11"/>
        <v>-0.81517795819390504</v>
      </c>
      <c r="DA14" s="57">
        <f t="shared" si="12"/>
        <v>-1.0682054781519223</v>
      </c>
      <c r="DB14" s="57">
        <f t="shared" si="13"/>
        <v>-1.2526827547522323</v>
      </c>
      <c r="DC14" s="57">
        <f t="shared" si="14"/>
        <v>3.2859472520694126</v>
      </c>
      <c r="DF14" s="53">
        <v>13</v>
      </c>
      <c r="DG14" s="52">
        <f t="shared" si="36"/>
        <v>3.0183309370463811E-2</v>
      </c>
      <c r="DH14" s="52">
        <f t="shared" si="15"/>
        <v>0.39929049805809536</v>
      </c>
      <c r="DI14" s="52">
        <f t="shared" si="16"/>
        <v>-0.68945121118498076</v>
      </c>
      <c r="DJ14" s="52">
        <f t="shared" si="17"/>
        <v>-0.32052871201835037</v>
      </c>
      <c r="DK14" s="52">
        <f t="shared" si="18"/>
        <v>-0.15610840094628581</v>
      </c>
      <c r="DL14" s="52">
        <f t="shared" si="19"/>
        <v>0.21235038732356668</v>
      </c>
      <c r="DM14" s="52">
        <f t="shared" si="20"/>
        <v>-0.1264256600540237</v>
      </c>
      <c r="DN14" s="52">
        <f t="shared" si="21"/>
        <v>0.24116351947930517</v>
      </c>
      <c r="DO14" s="52">
        <f t="shared" si="22"/>
        <v>-0.10795420601875719</v>
      </c>
      <c r="DP14" s="52">
        <f t="shared" si="23"/>
        <v>0.26829196283575202</v>
      </c>
      <c r="DQ14" s="52">
        <f t="shared" si="24"/>
        <v>-0.67261369621519129</v>
      </c>
      <c r="DR14" s="52">
        <f t="shared" si="25"/>
        <v>-0.30436454974949223</v>
      </c>
      <c r="DS14" s="52">
        <f t="shared" si="26"/>
        <v>-0.36778775531196883</v>
      </c>
      <c r="DT14" s="52">
        <f t="shared" si="27"/>
        <v>0.36778775531196883</v>
      </c>
      <c r="DX14">
        <v>13</v>
      </c>
      <c r="DY14" s="19">
        <f t="shared" si="4"/>
        <v>0.83747486560851181</v>
      </c>
      <c r="EM14" s="21">
        <v>13</v>
      </c>
      <c r="EN14" s="16">
        <f t="shared" si="28"/>
        <v>0.86399086124084556</v>
      </c>
      <c r="EO14" s="16">
        <f t="shared" si="5"/>
        <v>-2.0901576203607442</v>
      </c>
      <c r="EP14" s="16">
        <f t="shared" si="29"/>
        <v>-2.3331776519088856</v>
      </c>
      <c r="EQ14" s="16">
        <f t="shared" si="30"/>
        <v>2.6930877982224795</v>
      </c>
      <c r="ER14" s="16">
        <f t="shared" si="31"/>
        <v>-0.81517795819390504</v>
      </c>
      <c r="ES14" s="16">
        <f t="shared" si="32"/>
        <v>-1.0682054781519223</v>
      </c>
      <c r="ET14" s="16">
        <f t="shared" si="33"/>
        <v>-1.2526827547522323</v>
      </c>
      <c r="EU14" s="16">
        <f t="shared" si="34"/>
        <v>3.2859472520694126</v>
      </c>
      <c r="EW14" s="40">
        <f>'SATORI H4'!EW3</f>
        <v>3.9782626816654063</v>
      </c>
      <c r="EX14" s="39" t="str">
        <f>'SATORI H4'!EX3</f>
        <v>AUD</v>
      </c>
      <c r="FK14" s="20"/>
      <c r="FL14" s="20"/>
    </row>
    <row r="15" spans="1:170" ht="18.600000000000001" thickBot="1" x14ac:dyDescent="0.4">
      <c r="A15" s="37" t="s">
        <v>51</v>
      </c>
      <c r="B15" s="38">
        <v>13</v>
      </c>
      <c r="C15" s="63">
        <f>RTD("fxbluelabs.excelrtd", , "21422436","@bh,AUDUSD,h1,close,13")</f>
        <v>0.67439000000000004</v>
      </c>
      <c r="D15" s="64">
        <f>RTD("fxbluelabs.excelrtd", , "21422436","@bh,AUDNZD,h1,close,13")</f>
        <v>1.09626</v>
      </c>
      <c r="E15" s="65">
        <f>RTD("fxbluelabs.excelrtd", , "21422436","@bh,AUDJPY,h1,close,13")</f>
        <v>98.061999999999998</v>
      </c>
      <c r="F15" s="64">
        <f>RTD("fxbluelabs.excelrtd", , "21422436","@bh,AUDCHF,h1,close,13")</f>
        <v>0.57581000000000004</v>
      </c>
      <c r="G15" s="64">
        <f>RTD("fxbluelabs.excelrtd", , "21422436","@bh,AUDCAD,h1,close,13")</f>
        <v>0.91846000000000005</v>
      </c>
      <c r="H15" s="64">
        <f>RTD("fxbluelabs.excelrtd", , "21422436","@bh,EURUSD,h1,close,13")</f>
        <v>1.1121700000000001</v>
      </c>
      <c r="I15" s="64">
        <f>RTD("fxbluelabs.excelrtd", , "21422436","@bh,EURCAD,h1,close,13")</f>
        <v>1.51468</v>
      </c>
      <c r="J15" s="64">
        <f>RTD("fxbluelabs.excelrtd", , "21422436","@bh,EURGBP,h1,close,13")</f>
        <v>0.85379000000000005</v>
      </c>
      <c r="K15" s="64">
        <f>RTD("fxbluelabs.excelrtd", , "21422436","@bh,EURCHF,h1,close,13")</f>
        <v>0.94959000000000005</v>
      </c>
      <c r="L15" s="65">
        <f>RTD("fxbluelabs.excelrtd", , "21422436","@bh,EURJPY,h1,close,13")</f>
        <v>161.71799999999999</v>
      </c>
      <c r="M15" s="64">
        <f>RTD("fxbluelabs.excelrtd", , "21422436","@bh,EURAUD,h1,close,13")</f>
        <v>1.6491400000000001</v>
      </c>
      <c r="N15" s="64">
        <f>RTD("fxbluelabs.excelrtd", , "21422436","@bh,EURNZD,h1,close,13")</f>
        <v>1.8079000000000001</v>
      </c>
      <c r="O15" s="64">
        <f>RTD("fxbluelabs.excelrtd", , "21422436","@bh,GBPUSD,h1,close,13")</f>
        <v>1.3025599999999999</v>
      </c>
      <c r="P15" s="64">
        <f>RTD("fxbluelabs.excelrtd", , "21422436","@bh,GBPAUD,h1,close,13")</f>
        <v>1.9314499999999999</v>
      </c>
      <c r="Q15" s="64">
        <f>RTD("fxbluelabs.excelrtd", , "21422436","@bh,GBPNZD,h1,close,13")</f>
        <v>2.1173799999999998</v>
      </c>
      <c r="R15" s="64">
        <f>RTD("fxbluelabs.excelrtd", , "21422436","@bh,GBPCAD,h1,close,13")</f>
        <v>1.7739799999999999</v>
      </c>
      <c r="S15" s="64">
        <f>RTD("fxbluelabs.excelrtd", , "21422436","@bh,GBPCHF,h1,close,13")</f>
        <v>1.11216</v>
      </c>
      <c r="T15" s="65">
        <f>RTD("fxbluelabs.excelrtd", , "21422436","@bh,GBPJPY,h1,close,13")</f>
        <v>189.404</v>
      </c>
      <c r="U15" s="65">
        <f>RTD("fxbluelabs.excelrtd", , "21422436","@bh,NZDJPY,h1,close,13")</f>
        <v>89.448999999999998</v>
      </c>
      <c r="V15" s="64">
        <f>RTD("fxbluelabs.excelrtd", , "21422436","@bh,NZDCHF,h1,close,13")</f>
        <v>0.52524000000000004</v>
      </c>
      <c r="W15" s="64">
        <f>RTD("fxbluelabs.excelrtd", , "21422436","@bh,NZDUSD,h1,close,13")</f>
        <v>0.61514999999999997</v>
      </c>
      <c r="X15" s="64">
        <f>RTD("fxbluelabs.excelrtd", , "21422436","@bh,NZDCAD,h1,close,13")</f>
        <v>0.83779000000000003</v>
      </c>
      <c r="Y15" s="65">
        <f>RTD("fxbluelabs.excelrtd", , "21422436","@bh,CADJPY,h1,close,13")</f>
        <v>106.767</v>
      </c>
      <c r="Z15" s="64">
        <f>RTD("fxbluelabs.excelrtd", , "21422436","@bh,CADCHF,h1,close,13")</f>
        <v>0.62692000000000003</v>
      </c>
      <c r="AA15" s="65">
        <f>RTD("fxbluelabs.excelrtd", , "21422436","@bh,CHFJPY,h1,close,13")</f>
        <v>170.30199999999999</v>
      </c>
      <c r="AB15" s="64">
        <f>RTD("fxbluelabs.excelrtd", , "21422436","@bh,USDCAD,h1,close,13")</f>
        <v>1.3620000000000001</v>
      </c>
      <c r="AC15" s="64">
        <f>RTD("fxbluelabs.excelrtd", , "21422436","@bh,USDCHF,h1,close,13")</f>
        <v>0.85382999999999998</v>
      </c>
      <c r="AD15" s="66">
        <f>RTD("fxbluelabs.excelrtd", , "21422436","@bh,USDJPY,h1,close,13")</f>
        <v>145.41</v>
      </c>
      <c r="AH15" s="56">
        <v>14</v>
      </c>
      <c r="AI15" s="75">
        <f t="shared" si="35"/>
        <v>-9.3330567983157309E-2</v>
      </c>
      <c r="AJ15" s="75">
        <f t="shared" si="35"/>
        <v>8.9474837484477113E-2</v>
      </c>
      <c r="AK15" s="75">
        <f t="shared" si="35"/>
        <v>-0.12222199588519743</v>
      </c>
      <c r="AL15" s="75">
        <f t="shared" si="35"/>
        <v>-5.7277744992526372E-2</v>
      </c>
      <c r="AM15" s="75">
        <f t="shared" si="35"/>
        <v>-7.3982200752867128E-2</v>
      </c>
      <c r="AN15" s="75">
        <f t="shared" si="35"/>
        <v>-5.5715813405929501E-2</v>
      </c>
      <c r="AO15" s="75">
        <f t="shared" si="35"/>
        <v>-3.4978649824111474E-2</v>
      </c>
      <c r="AP15" s="75">
        <f t="shared" si="35"/>
        <v>1.1713853975108062E-2</v>
      </c>
      <c r="AQ15" s="75">
        <f t="shared" si="35"/>
        <v>-2.0004632651762774E-2</v>
      </c>
      <c r="AR15" s="75">
        <f t="shared" si="35"/>
        <v>-8.4026344730450953E-2</v>
      </c>
      <c r="AS15" s="75">
        <f t="shared" si="35"/>
        <v>3.8216328684698937E-2</v>
      </c>
      <c r="AT15" s="75">
        <f t="shared" si="35"/>
        <v>0.12793602091283371</v>
      </c>
      <c r="AU15" s="75">
        <f t="shared" si="35"/>
        <v>-6.9046997989974601E-2</v>
      </c>
      <c r="AV15" s="75">
        <f t="shared" si="35"/>
        <v>2.4339972449221144E-2</v>
      </c>
      <c r="AW15" s="75">
        <f t="shared" si="35"/>
        <v>0.11394960685020597</v>
      </c>
      <c r="AX15" s="75">
        <f t="shared" si="35"/>
        <v>-4.9018226892421808E-2</v>
      </c>
      <c r="AY15" s="75">
        <f t="shared" si="1"/>
        <v>-3.4156075287184902E-2</v>
      </c>
      <c r="AZ15" s="75">
        <f t="shared" si="1"/>
        <v>-9.7579500920413245E-2</v>
      </c>
      <c r="BA15" s="75">
        <f t="shared" si="1"/>
        <v>-0.21196131148272263</v>
      </c>
      <c r="BB15" s="75">
        <f t="shared" si="1"/>
        <v>-0.14638504971387187</v>
      </c>
      <c r="BC15" s="75">
        <f t="shared" si="1"/>
        <v>-0.1833582137989348</v>
      </c>
      <c r="BD15" s="75">
        <f t="shared" si="1"/>
        <v>-0.16206876005480747</v>
      </c>
      <c r="BE15" s="75">
        <f t="shared" si="1"/>
        <v>-4.8680478192088213E-2</v>
      </c>
      <c r="BF15" s="75">
        <f t="shared" si="1"/>
        <v>1.4357959893437534E-2</v>
      </c>
      <c r="BG15" s="75">
        <f t="shared" si="1"/>
        <v>-6.3376562408311771E-2</v>
      </c>
      <c r="BH15" s="75">
        <f t="shared" si="1"/>
        <v>2.2765827758155853E-2</v>
      </c>
      <c r="BI15" s="75">
        <f t="shared" si="1"/>
        <v>3.5148149449927592E-2</v>
      </c>
      <c r="BJ15" s="75">
        <f t="shared" si="1"/>
        <v>-2.8188187087058059E-2</v>
      </c>
      <c r="BN15" s="59">
        <v>14</v>
      </c>
      <c r="BO15" s="79">
        <f t="shared" si="6"/>
        <v>0.15015080425842306</v>
      </c>
      <c r="BP15" s="79">
        <f t="shared" si="2"/>
        <v>-6.2105786200561536E-3</v>
      </c>
      <c r="BQ15" s="79">
        <f t="shared" si="38"/>
        <v>-0.51240685298109601</v>
      </c>
      <c r="BR15" s="79">
        <f t="shared" si="38"/>
        <v>-0.51565527714927895</v>
      </c>
      <c r="BS15" s="79">
        <f t="shared" si="38"/>
        <v>0.18551619815296636</v>
      </c>
      <c r="BT15" s="79">
        <f t="shared" si="38"/>
        <v>0.366888612195373</v>
      </c>
      <c r="BU15" s="79">
        <f t="shared" si="38"/>
        <v>0.40523234716153128</v>
      </c>
      <c r="BV15" s="79">
        <f t="shared" si="38"/>
        <v>0.22640536571403846</v>
      </c>
      <c r="BW15" s="79">
        <f t="shared" si="38"/>
        <v>-0.29946699064385307</v>
      </c>
      <c r="BX15" s="79">
        <f t="shared" si="38"/>
        <v>-0.29323406334723601</v>
      </c>
      <c r="BY15" s="79">
        <f t="shared" si="38"/>
        <v>0.21872758317311033</v>
      </c>
      <c r="BZ15" s="79">
        <f t="shared" si="38"/>
        <v>0.21297916898654082</v>
      </c>
      <c r="CA15" s="79">
        <f t="shared" si="38"/>
        <v>0.13614770815669075</v>
      </c>
      <c r="CB15" s="79">
        <f t="shared" si="38"/>
        <v>-9.7649050856477397E-3</v>
      </c>
      <c r="CC15" s="79">
        <f t="shared" si="38"/>
        <v>-1.5267053403375086E-2</v>
      </c>
      <c r="CD15" s="79">
        <f t="shared" si="38"/>
        <v>0.17684305003836831</v>
      </c>
      <c r="CE15" s="79">
        <f t="shared" si="38"/>
        <v>-0.52506893134794819</v>
      </c>
      <c r="CF15" s="79">
        <f t="shared" si="38"/>
        <v>-0.52132253195797096</v>
      </c>
      <c r="CG15" s="79">
        <f t="shared" si="38"/>
        <v>-0.49939373906250073</v>
      </c>
      <c r="CH15" s="79">
        <f t="shared" si="38"/>
        <v>-0.50272658834206374</v>
      </c>
      <c r="CI15" s="79">
        <f t="shared" si="38"/>
        <v>0.16159965834744794</v>
      </c>
      <c r="CJ15" s="79">
        <f t="shared" si="38"/>
        <v>0.19994023979270253</v>
      </c>
      <c r="CK15" s="79">
        <f t="shared" si="38"/>
        <v>-0.69775682793340821</v>
      </c>
      <c r="CL15" s="79">
        <f t="shared" si="38"/>
        <v>-0.70201965315568993</v>
      </c>
      <c r="CM15" s="79">
        <f t="shared" si="37"/>
        <v>9.4781317457548336E-3</v>
      </c>
      <c r="CN15" s="79">
        <f t="shared" si="37"/>
        <v>3.8993882057697285E-2</v>
      </c>
      <c r="CO15" s="79">
        <f t="shared" si="37"/>
        <v>-0.66836973126509536</v>
      </c>
      <c r="CP15" s="79">
        <f t="shared" si="37"/>
        <v>-0.66092261582182366</v>
      </c>
      <c r="CU15" s="56">
        <v>14</v>
      </c>
      <c r="CV15" s="58">
        <f t="shared" si="7"/>
        <v>0.83753202323950482</v>
      </c>
      <c r="CW15" s="58">
        <f t="shared" si="8"/>
        <v>-2.1050852479871565</v>
      </c>
      <c r="CX15" s="58">
        <f t="shared" si="9"/>
        <v>-2.406302198292364</v>
      </c>
      <c r="CY15" s="58">
        <f t="shared" si="10"/>
        <v>2.5207656504939941</v>
      </c>
      <c r="CZ15" s="58">
        <f t="shared" si="11"/>
        <v>-0.98483802931392139</v>
      </c>
      <c r="DA15" s="58">
        <f t="shared" si="12"/>
        <v>-0.90756838442650434</v>
      </c>
      <c r="DB15" s="58">
        <f t="shared" si="13"/>
        <v>-0.83208196622752351</v>
      </c>
      <c r="DC15" s="58">
        <f t="shared" si="14"/>
        <v>3.1755584993582806</v>
      </c>
      <c r="DF15" s="51">
        <v>14</v>
      </c>
      <c r="DG15" s="54">
        <f t="shared" si="36"/>
        <v>3.8993882057697285E-2</v>
      </c>
      <c r="DH15" s="54">
        <f t="shared" si="15"/>
        <v>0.40523234716153128</v>
      </c>
      <c r="DI15" s="54">
        <f t="shared" si="16"/>
        <v>-0.66836973126509536</v>
      </c>
      <c r="DJ15" s="54">
        <f t="shared" si="17"/>
        <v>-0.29946699064385307</v>
      </c>
      <c r="DK15" s="54">
        <f t="shared" si="18"/>
        <v>-0.13614770815669075</v>
      </c>
      <c r="DL15" s="54">
        <f t="shared" si="19"/>
        <v>0.22640536571403846</v>
      </c>
      <c r="DM15" s="54">
        <f t="shared" si="20"/>
        <v>-0.15015080425842306</v>
      </c>
      <c r="DN15" s="54">
        <f t="shared" si="21"/>
        <v>0.21872758317311033</v>
      </c>
      <c r="DO15" s="54">
        <f t="shared" si="22"/>
        <v>-0.16159965834744794</v>
      </c>
      <c r="DP15" s="54">
        <f t="shared" si="23"/>
        <v>0.21297916898654082</v>
      </c>
      <c r="DQ15" s="54">
        <f t="shared" si="24"/>
        <v>-0.66092261582182366</v>
      </c>
      <c r="DR15" s="54">
        <f t="shared" si="25"/>
        <v>-0.29323406334723601</v>
      </c>
      <c r="DS15" s="54">
        <f t="shared" si="26"/>
        <v>-0.366888612195373</v>
      </c>
      <c r="DT15" s="54">
        <f t="shared" si="27"/>
        <v>0.366888612195373</v>
      </c>
      <c r="DX15">
        <v>14</v>
      </c>
      <c r="DY15" s="19">
        <f t="shared" si="4"/>
        <v>1.2730032817596331</v>
      </c>
      <c r="EM15" s="21">
        <v>14</v>
      </c>
      <c r="EN15" s="16">
        <f t="shared" si="28"/>
        <v>0.83753202323950482</v>
      </c>
      <c r="EO15" s="16">
        <f t="shared" si="5"/>
        <v>-2.1050852479871565</v>
      </c>
      <c r="EP15" s="16">
        <f t="shared" si="29"/>
        <v>-2.406302198292364</v>
      </c>
      <c r="EQ15" s="16">
        <f t="shared" si="30"/>
        <v>2.5207656504939941</v>
      </c>
      <c r="ER15" s="16">
        <f t="shared" si="31"/>
        <v>-0.98483802931392139</v>
      </c>
      <c r="ES15" s="16">
        <f t="shared" si="32"/>
        <v>-0.90756838442650434</v>
      </c>
      <c r="ET15" s="16">
        <f t="shared" si="33"/>
        <v>-0.83208196622752351</v>
      </c>
      <c r="EU15" s="16">
        <f t="shared" si="34"/>
        <v>3.1755584993582806</v>
      </c>
      <c r="EW15" s="40">
        <f>'SATORI H4'!EW4</f>
        <v>3.4488555055201524</v>
      </c>
      <c r="EX15" s="39" t="str">
        <f>'SATORI H4'!EX4</f>
        <v>GBP</v>
      </c>
      <c r="FK15" s="20"/>
      <c r="FL15" s="20"/>
    </row>
    <row r="16" spans="1:170" ht="18.600000000000001" thickBot="1" x14ac:dyDescent="0.4">
      <c r="A16" s="37" t="s">
        <v>51</v>
      </c>
      <c r="B16" s="38">
        <v>14</v>
      </c>
      <c r="C16" s="63">
        <f>RTD("fxbluelabs.excelrtd", , "21422436","@bh,AUDUSD,h1,close,14")</f>
        <v>0.67501999999999995</v>
      </c>
      <c r="D16" s="64">
        <f>RTD("fxbluelabs.excelrtd", , "21422436","@bh,AUDNZD,h1,close,14")</f>
        <v>1.09528</v>
      </c>
      <c r="E16" s="65">
        <f>RTD("fxbluelabs.excelrtd", , "21422436","@bh,AUDJPY,h1,close,14")</f>
        <v>98.182000000000002</v>
      </c>
      <c r="F16" s="64">
        <f>RTD("fxbluelabs.excelrtd", , "21422436","@bh,AUDCHF,h1,close,14")</f>
        <v>0.57613999999999999</v>
      </c>
      <c r="G16" s="64">
        <f>RTD("fxbluelabs.excelrtd", , "21422436","@bh,AUDCAD,h1,close,14")</f>
        <v>0.91913999999999996</v>
      </c>
      <c r="H16" s="64">
        <f>RTD("fxbluelabs.excelrtd", , "21422436","@bh,EURUSD,h1,close,14")</f>
        <v>1.1127899999999999</v>
      </c>
      <c r="I16" s="64">
        <f>RTD("fxbluelabs.excelrtd", , "21422436","@bh,EURCAD,h1,close,14")</f>
        <v>1.5152099999999999</v>
      </c>
      <c r="J16" s="64">
        <f>RTD("fxbluelabs.excelrtd", , "21422436","@bh,EURGBP,h1,close,14")</f>
        <v>0.85368999999999995</v>
      </c>
      <c r="K16" s="64">
        <f>RTD("fxbluelabs.excelrtd", , "21422436","@bh,EURCHF,h1,close,14")</f>
        <v>0.94977999999999996</v>
      </c>
      <c r="L16" s="65">
        <f>RTD("fxbluelabs.excelrtd", , "21422436","@bh,EURJPY,h1,close,14")</f>
        <v>161.85400000000001</v>
      </c>
      <c r="M16" s="64">
        <f>RTD("fxbluelabs.excelrtd", , "21422436","@bh,EURAUD,h1,close,14")</f>
        <v>1.6485099999999999</v>
      </c>
      <c r="N16" s="64">
        <f>RTD("fxbluelabs.excelrtd", , "21422436","@bh,EURNZD,h1,close,14")</f>
        <v>1.80559</v>
      </c>
      <c r="O16" s="64">
        <f>RTD("fxbluelabs.excelrtd", , "21422436","@bh,GBPUSD,h1,close,14")</f>
        <v>1.3034600000000001</v>
      </c>
      <c r="P16" s="64">
        <f>RTD("fxbluelabs.excelrtd", , "21422436","@bh,GBPAUD,h1,close,14")</f>
        <v>1.9309799999999999</v>
      </c>
      <c r="Q16" s="64">
        <f>RTD("fxbluelabs.excelrtd", , "21422436","@bh,GBPNZD,h1,close,14")</f>
        <v>2.11497</v>
      </c>
      <c r="R16" s="64">
        <f>RTD("fxbluelabs.excelrtd", , "21422436","@bh,GBPCAD,h1,close,14")</f>
        <v>1.77485</v>
      </c>
      <c r="S16" s="64">
        <f>RTD("fxbluelabs.excelrtd", , "21422436","@bh,GBPCHF,h1,close,14")</f>
        <v>1.1125400000000001</v>
      </c>
      <c r="T16" s="65">
        <f>RTD("fxbluelabs.excelrtd", , "21422436","@bh,GBPJPY,h1,close,14")</f>
        <v>189.589</v>
      </c>
      <c r="U16" s="65">
        <f>RTD("fxbluelabs.excelrtd", , "21422436","@bh,NZDJPY,h1,close,14")</f>
        <v>89.638999999999996</v>
      </c>
      <c r="V16" s="64">
        <f>RTD("fxbluelabs.excelrtd", , "21422436","@bh,NZDCHF,h1,close,14")</f>
        <v>0.52600999999999998</v>
      </c>
      <c r="W16" s="64">
        <f>RTD("fxbluelabs.excelrtd", , "21422436","@bh,NZDUSD,h1,close,14")</f>
        <v>0.61628000000000005</v>
      </c>
      <c r="X16" s="64">
        <f>RTD("fxbluelabs.excelrtd", , "21422436","@bh,NZDCAD,h1,close,14")</f>
        <v>0.83914999999999995</v>
      </c>
      <c r="Y16" s="65">
        <f>RTD("fxbluelabs.excelrtd", , "21422436","@bh,CADJPY,h1,close,14")</f>
        <v>106.819</v>
      </c>
      <c r="Z16" s="64">
        <f>RTD("fxbluelabs.excelrtd", , "21422436","@bh,CADCHF,h1,close,14")</f>
        <v>0.62683</v>
      </c>
      <c r="AA16" s="65">
        <f>RTD("fxbluelabs.excelrtd", , "21422436","@bh,CHFJPY,h1,close,14")</f>
        <v>170.41</v>
      </c>
      <c r="AB16" s="64">
        <f>RTD("fxbluelabs.excelrtd", , "21422436","@bh,USDCAD,h1,close,14")</f>
        <v>1.3616900000000001</v>
      </c>
      <c r="AC16" s="64">
        <f>RTD("fxbluelabs.excelrtd", , "21422436","@bh,USDCHF,h1,close,14")</f>
        <v>0.85353000000000001</v>
      </c>
      <c r="AD16" s="66">
        <f>RTD("fxbluelabs.excelrtd", , "21422436","@bh,USDJPY,h1,close,14")</f>
        <v>145.45099999999999</v>
      </c>
      <c r="AH16" s="56">
        <v>15</v>
      </c>
      <c r="AI16" s="74">
        <f t="shared" si="35"/>
        <v>5.6326337009358463E-2</v>
      </c>
      <c r="AJ16" s="74">
        <f t="shared" si="35"/>
        <v>-4.9278166122171972E-2</v>
      </c>
      <c r="AK16" s="74">
        <f t="shared" si="35"/>
        <v>0.14177452750323408</v>
      </c>
      <c r="AL16" s="74">
        <f t="shared" si="35"/>
        <v>4.1673901719051568E-2</v>
      </c>
      <c r="AM16" s="74">
        <f t="shared" si="35"/>
        <v>5.2250016328121929E-2</v>
      </c>
      <c r="AN16" s="74">
        <f>IF(H16=0,0,(H16-H17)*100/H17)</f>
        <v>1.7973166062986042E-3</v>
      </c>
      <c r="AO16" s="74">
        <f t="shared" si="35"/>
        <v>-3.2997637369234002E-3</v>
      </c>
      <c r="AP16" s="74">
        <f t="shared" si="35"/>
        <v>-7.0278184480304547E-3</v>
      </c>
      <c r="AQ16" s="74">
        <f t="shared" si="35"/>
        <v>-8.422293811728045E-3</v>
      </c>
      <c r="AR16" s="74">
        <f t="shared" si="35"/>
        <v>8.7191505939546957E-2</v>
      </c>
      <c r="AS16" s="74">
        <f t="shared" si="35"/>
        <v>-5.4564965654392956E-2</v>
      </c>
      <c r="AT16" s="74">
        <f t="shared" si="35"/>
        <v>-0.10346010423467397</v>
      </c>
      <c r="AU16" s="74">
        <f t="shared" si="35"/>
        <v>6.1378876459727795E-3</v>
      </c>
      <c r="AV16" s="74">
        <f t="shared" si="35"/>
        <v>-4.9173624303158317E-2</v>
      </c>
      <c r="AW16" s="74">
        <f t="shared" si="35"/>
        <v>-9.8721812324635352E-2</v>
      </c>
      <c r="AX16" s="74">
        <f t="shared" si="35"/>
        <v>2.2537623745662919E-3</v>
      </c>
      <c r="AY16" s="74">
        <f t="shared" si="1"/>
        <v>-6.291512749302495E-3</v>
      </c>
      <c r="AZ16" s="74">
        <f t="shared" si="1"/>
        <v>9.2390214028536102E-2</v>
      </c>
      <c r="BA16" s="74">
        <f t="shared" si="1"/>
        <v>0.19672937415468064</v>
      </c>
      <c r="BB16" s="74">
        <f t="shared" si="1"/>
        <v>9.7050428163655653E-2</v>
      </c>
      <c r="BC16" s="74">
        <f t="shared" si="1"/>
        <v>0.11046133853151623</v>
      </c>
      <c r="BD16" s="74">
        <f t="shared" si="1"/>
        <v>0.10497810967826499</v>
      </c>
      <c r="BE16" s="74">
        <f t="shared" si="1"/>
        <v>9.1828224997890742E-2</v>
      </c>
      <c r="BF16" s="74">
        <f t="shared" si="1"/>
        <v>-7.9760081674314851E-3</v>
      </c>
      <c r="BG16" s="74">
        <f t="shared" si="1"/>
        <v>9.8683051185962559E-2</v>
      </c>
      <c r="BH16" s="74">
        <f t="shared" si="1"/>
        <v>-5.1404065327234237E-3</v>
      </c>
      <c r="BI16" s="74">
        <f t="shared" si="1"/>
        <v>-1.5228545322489455E-2</v>
      </c>
      <c r="BJ16" s="74">
        <f t="shared" si="1"/>
        <v>8.5324819200833443E-2</v>
      </c>
      <c r="BN16" s="59">
        <v>15</v>
      </c>
      <c r="BO16" s="78">
        <f t="shared" si="6"/>
        <v>0.24348137224158034</v>
      </c>
      <c r="BP16" s="78">
        <f t="shared" si="2"/>
        <v>-9.5685416104533294E-2</v>
      </c>
      <c r="BQ16" s="78">
        <f t="shared" si="38"/>
        <v>-0.39018485709589856</v>
      </c>
      <c r="BR16" s="78">
        <f t="shared" si="38"/>
        <v>-0.45837753215675264</v>
      </c>
      <c r="BS16" s="78">
        <f t="shared" si="38"/>
        <v>0.25949839890583348</v>
      </c>
      <c r="BT16" s="78">
        <f t="shared" si="38"/>
        <v>0.42260442560130251</v>
      </c>
      <c r="BU16" s="78">
        <f t="shared" si="38"/>
        <v>0.4402109969856427</v>
      </c>
      <c r="BV16" s="78">
        <f t="shared" si="38"/>
        <v>0.21469151173893039</v>
      </c>
      <c r="BW16" s="78">
        <f t="shared" si="38"/>
        <v>-0.27946235799209035</v>
      </c>
      <c r="BX16" s="78">
        <f t="shared" si="38"/>
        <v>-0.20920771861678511</v>
      </c>
      <c r="BY16" s="78">
        <f t="shared" si="38"/>
        <v>0.1805112544884114</v>
      </c>
      <c r="BZ16" s="78">
        <f t="shared" si="38"/>
        <v>8.5043148073707081E-2</v>
      </c>
      <c r="CA16" s="78">
        <f t="shared" si="38"/>
        <v>0.20519470614666538</v>
      </c>
      <c r="CB16" s="78">
        <f t="shared" si="38"/>
        <v>-3.4104877534868912E-2</v>
      </c>
      <c r="CC16" s="78">
        <f t="shared" si="38"/>
        <v>-0.12921666025358108</v>
      </c>
      <c r="CD16" s="78">
        <f t="shared" si="38"/>
        <v>0.22586127693079011</v>
      </c>
      <c r="CE16" s="78">
        <f t="shared" si="38"/>
        <v>-0.49091285606076329</v>
      </c>
      <c r="CF16" s="78">
        <f t="shared" si="38"/>
        <v>-0.42374303103755784</v>
      </c>
      <c r="CG16" s="78">
        <f t="shared" si="38"/>
        <v>-0.28743242757977816</v>
      </c>
      <c r="CH16" s="78">
        <f t="shared" si="38"/>
        <v>-0.35634153862819196</v>
      </c>
      <c r="CI16" s="78">
        <f t="shared" si="38"/>
        <v>0.34495787214638279</v>
      </c>
      <c r="CJ16" s="78">
        <f t="shared" si="38"/>
        <v>0.36200899984751</v>
      </c>
      <c r="CK16" s="78">
        <f t="shared" si="38"/>
        <v>-0.64907634974131989</v>
      </c>
      <c r="CL16" s="78">
        <f t="shared" si="38"/>
        <v>-0.7163776130491275</v>
      </c>
      <c r="CM16" s="78">
        <f t="shared" si="37"/>
        <v>7.2854694154066563E-2</v>
      </c>
      <c r="CN16" s="78">
        <f t="shared" si="37"/>
        <v>1.6228054299541442E-2</v>
      </c>
      <c r="CO16" s="78">
        <f t="shared" si="37"/>
        <v>-0.70351788071502286</v>
      </c>
      <c r="CP16" s="78">
        <f t="shared" si="37"/>
        <v>-0.6327344287347656</v>
      </c>
      <c r="CU16" s="56">
        <v>15</v>
      </c>
      <c r="CV16" s="57">
        <f t="shared" si="7"/>
        <v>0.85439126027911871</v>
      </c>
      <c r="CW16" s="57">
        <f t="shared" si="8"/>
        <v>-2.5362626312861782</v>
      </c>
      <c r="CX16" s="57">
        <f t="shared" si="9"/>
        <v>-2.6692616897597654</v>
      </c>
      <c r="CY16" s="57">
        <f t="shared" si="10"/>
        <v>2.3614668597068875</v>
      </c>
      <c r="CZ16" s="57">
        <f t="shared" si="11"/>
        <v>-0.86161295354824607</v>
      </c>
      <c r="DA16" s="57">
        <f t="shared" si="12"/>
        <v>-0.5876744111633132</v>
      </c>
      <c r="DB16" s="57">
        <f t="shared" si="13"/>
        <v>0.20305183407032998</v>
      </c>
      <c r="DC16" s="57">
        <f t="shared" si="14"/>
        <v>2.5195241186520385</v>
      </c>
      <c r="DF16" s="53">
        <v>15</v>
      </c>
      <c r="DG16" s="52">
        <f t="shared" si="36"/>
        <v>1.6228054299541442E-2</v>
      </c>
      <c r="DH16" s="52">
        <f t="shared" si="15"/>
        <v>0.4402109969856427</v>
      </c>
      <c r="DI16" s="52">
        <f t="shared" si="16"/>
        <v>-0.70351788071502286</v>
      </c>
      <c r="DJ16" s="52">
        <f t="shared" si="17"/>
        <v>-0.27946235799209035</v>
      </c>
      <c r="DK16" s="52">
        <f t="shared" si="18"/>
        <v>-0.20519470614666538</v>
      </c>
      <c r="DL16" s="52">
        <f t="shared" si="19"/>
        <v>0.21469151173893039</v>
      </c>
      <c r="DM16" s="52">
        <f t="shared" si="20"/>
        <v>-0.24348137224158034</v>
      </c>
      <c r="DN16" s="52">
        <f t="shared" si="21"/>
        <v>0.1805112544884114</v>
      </c>
      <c r="DO16" s="52">
        <f t="shared" si="22"/>
        <v>-0.34495787214638279</v>
      </c>
      <c r="DP16" s="52">
        <f t="shared" si="23"/>
        <v>8.5043148073707081E-2</v>
      </c>
      <c r="DQ16" s="52">
        <f t="shared" si="24"/>
        <v>-0.6327344287347656</v>
      </c>
      <c r="DR16" s="52">
        <f t="shared" si="25"/>
        <v>-0.20920771861678511</v>
      </c>
      <c r="DS16" s="52">
        <f t="shared" si="26"/>
        <v>-0.42260442560130251</v>
      </c>
      <c r="DT16" s="52">
        <f t="shared" si="27"/>
        <v>0.42260442560130251</v>
      </c>
      <c r="DX16">
        <v>15</v>
      </c>
      <c r="DY16" s="19">
        <f t="shared" si="4"/>
        <v>2.7393144653565082</v>
      </c>
      <c r="EM16" s="21">
        <v>15</v>
      </c>
      <c r="EN16" s="16">
        <f t="shared" si="28"/>
        <v>0.85439126027911871</v>
      </c>
      <c r="EO16" s="16">
        <f t="shared" si="5"/>
        <v>-2.5362626312861782</v>
      </c>
      <c r="EP16" s="16">
        <f t="shared" si="29"/>
        <v>-2.6692616897597654</v>
      </c>
      <c r="EQ16" s="16">
        <f t="shared" si="30"/>
        <v>2.3614668597068875</v>
      </c>
      <c r="ER16" s="16">
        <f t="shared" si="31"/>
        <v>-0.86161295354824607</v>
      </c>
      <c r="ES16" s="16">
        <f t="shared" si="32"/>
        <v>-0.5876744111633132</v>
      </c>
      <c r="ET16" s="16">
        <f t="shared" si="33"/>
        <v>0.20305183407032998</v>
      </c>
      <c r="EU16" s="16">
        <f t="shared" si="34"/>
        <v>2.5195241186520385</v>
      </c>
      <c r="EW16" s="40">
        <f>'SATORI H4'!EW5</f>
        <v>0.23238547587741709</v>
      </c>
      <c r="EX16" s="39" t="str">
        <f>'SATORI H4'!EX5</f>
        <v>CHF</v>
      </c>
      <c r="FK16" s="20"/>
      <c r="FL16" s="20"/>
    </row>
    <row r="17" spans="1:168" ht="18.600000000000001" thickBot="1" x14ac:dyDescent="0.4">
      <c r="A17" s="37" t="s">
        <v>51</v>
      </c>
      <c r="B17" s="38">
        <v>15</v>
      </c>
      <c r="C17" s="63">
        <f>RTD("fxbluelabs.excelrtd", , "21422436","@bh,AUDUSD,h1,close,15")</f>
        <v>0.67464000000000002</v>
      </c>
      <c r="D17" s="64">
        <f>RTD("fxbluelabs.excelrtd", , "21422436","@bh,AUDNZD,h1,close,15")</f>
        <v>1.09582</v>
      </c>
      <c r="E17" s="65">
        <f>RTD("fxbluelabs.excelrtd", , "21422436","@bh,AUDJPY,h1,close,15")</f>
        <v>98.043000000000006</v>
      </c>
      <c r="F17" s="64">
        <f>RTD("fxbluelabs.excelrtd", , "21422436","@bh,AUDCHF,h1,close,15")</f>
        <v>0.57589999999999997</v>
      </c>
      <c r="G17" s="64">
        <f>RTD("fxbluelabs.excelrtd", , "21422436","@bh,AUDCAD,h1,close,15")</f>
        <v>0.91866000000000003</v>
      </c>
      <c r="H17" s="64">
        <f>RTD("fxbluelabs.excelrtd", , "21422436","@bh,EURUSD,h1,close,15")</f>
        <v>1.11277</v>
      </c>
      <c r="I17" s="64">
        <f>RTD("fxbluelabs.excelrtd", , "21422436","@bh,EURCAD,h1,close,15")</f>
        <v>1.5152600000000001</v>
      </c>
      <c r="J17" s="64">
        <f>RTD("fxbluelabs.excelrtd", , "21422436","@bh,EURGBP,h1,close,15")</f>
        <v>0.85375000000000001</v>
      </c>
      <c r="K17" s="64">
        <f>RTD("fxbluelabs.excelrtd", , "21422436","@bh,EURCHF,h1,close,15")</f>
        <v>0.94986000000000004</v>
      </c>
      <c r="L17" s="65">
        <f>RTD("fxbluelabs.excelrtd", , "21422436","@bh,EURJPY,h1,close,15")</f>
        <v>161.71299999999999</v>
      </c>
      <c r="M17" s="64">
        <f>RTD("fxbluelabs.excelrtd", , "21422436","@bh,EURAUD,h1,close,15")</f>
        <v>1.64941</v>
      </c>
      <c r="N17" s="64">
        <f>RTD("fxbluelabs.excelrtd", , "21422436","@bh,EURNZD,h1,close,15")</f>
        <v>1.8074600000000001</v>
      </c>
      <c r="O17" s="64">
        <f>RTD("fxbluelabs.excelrtd", , "21422436","@bh,GBPUSD,h1,close,15")</f>
        <v>1.30338</v>
      </c>
      <c r="P17" s="64">
        <f>RTD("fxbluelabs.excelrtd", , "21422436","@bh,GBPAUD,h1,close,15")</f>
        <v>1.9319299999999999</v>
      </c>
      <c r="Q17" s="64">
        <f>RTD("fxbluelabs.excelrtd", , "21422436","@bh,GBPNZD,h1,close,15")</f>
        <v>2.1170599999999999</v>
      </c>
      <c r="R17" s="64">
        <f>RTD("fxbluelabs.excelrtd", , "21422436","@bh,GBPCAD,h1,close,15")</f>
        <v>1.77481</v>
      </c>
      <c r="S17" s="64">
        <f>RTD("fxbluelabs.excelrtd", , "21422436","@bh,GBPCHF,h1,close,15")</f>
        <v>1.1126100000000001</v>
      </c>
      <c r="T17" s="65">
        <f>RTD("fxbluelabs.excelrtd", , "21422436","@bh,GBPJPY,h1,close,15")</f>
        <v>189.41399999999999</v>
      </c>
      <c r="U17" s="65">
        <f>RTD("fxbluelabs.excelrtd", , "21422436","@bh,NZDJPY,h1,close,15")</f>
        <v>89.462999999999994</v>
      </c>
      <c r="V17" s="64">
        <f>RTD("fxbluelabs.excelrtd", , "21422436","@bh,NZDCHF,h1,close,15")</f>
        <v>0.52549999999999997</v>
      </c>
      <c r="W17" s="64">
        <f>RTD("fxbluelabs.excelrtd", , "21422436","@bh,NZDUSD,h1,close,15")</f>
        <v>0.61560000000000004</v>
      </c>
      <c r="X17" s="64">
        <f>RTD("fxbluelabs.excelrtd", , "21422436","@bh,NZDCAD,h1,close,15")</f>
        <v>0.83826999999999996</v>
      </c>
      <c r="Y17" s="65">
        <f>RTD("fxbluelabs.excelrtd", , "21422436","@bh,CADJPY,h1,close,15")</f>
        <v>106.721</v>
      </c>
      <c r="Z17" s="64">
        <f>RTD("fxbluelabs.excelrtd", , "21422436","@bh,CADCHF,h1,close,15")</f>
        <v>0.62687999999999999</v>
      </c>
      <c r="AA17" s="65">
        <f>RTD("fxbluelabs.excelrtd", , "21422436","@bh,CHFJPY,h1,close,15")</f>
        <v>170.24199999999999</v>
      </c>
      <c r="AB17" s="64">
        <f>RTD("fxbluelabs.excelrtd", , "21422436","@bh,USDCAD,h1,close,15")</f>
        <v>1.3617600000000001</v>
      </c>
      <c r="AC17" s="64">
        <f>RTD("fxbluelabs.excelrtd", , "21422436","@bh,USDCHF,h1,close,15")</f>
        <v>0.85365999999999997</v>
      </c>
      <c r="AD17" s="66">
        <f>RTD("fxbluelabs.excelrtd", , "21422436","@bh,USDJPY,h1,close,15")</f>
        <v>145.327</v>
      </c>
      <c r="AH17" s="56">
        <v>16</v>
      </c>
      <c r="AI17" s="75">
        <f t="shared" si="35"/>
        <v>1.4824917721705012E-2</v>
      </c>
      <c r="AJ17" s="75">
        <f t="shared" si="35"/>
        <v>1.9167404459620074E-2</v>
      </c>
      <c r="AK17" s="75">
        <f t="shared" si="35"/>
        <v>0.15118238929466302</v>
      </c>
      <c r="AL17" s="75">
        <f t="shared" si="35"/>
        <v>5.3857780711951464E-2</v>
      </c>
      <c r="AM17" s="75">
        <f t="shared" si="35"/>
        <v>7.6203747047120579E-3</v>
      </c>
      <c r="AN17" s="75">
        <f t="shared" si="35"/>
        <v>-8.0872706360120301E-3</v>
      </c>
      <c r="AO17" s="75">
        <f t="shared" si="35"/>
        <v>-1.5176609545424415E-2</v>
      </c>
      <c r="AP17" s="75">
        <f t="shared" si="35"/>
        <v>-2.4591315752499354E-2</v>
      </c>
      <c r="AQ17" s="75">
        <f t="shared" si="35"/>
        <v>2.843332385555792E-2</v>
      </c>
      <c r="AR17" s="75">
        <f t="shared" si="35"/>
        <v>0.12940855954032296</v>
      </c>
      <c r="AS17" s="75">
        <f t="shared" si="35"/>
        <v>-2.3639228997447595E-2</v>
      </c>
      <c r="AT17" s="75">
        <f t="shared" si="35"/>
        <v>-4.9791153771637561E-3</v>
      </c>
      <c r="AU17" s="75">
        <f t="shared" si="35"/>
        <v>1.4579608499137689E-2</v>
      </c>
      <c r="AV17" s="75">
        <f t="shared" si="35"/>
        <v>-1.5528271806856506E-3</v>
      </c>
      <c r="AW17" s="75">
        <f t="shared" si="35"/>
        <v>1.7952642817989726E-2</v>
      </c>
      <c r="AX17" s="75">
        <f t="shared" si="35"/>
        <v>7.325264272993637E-3</v>
      </c>
      <c r="AY17" s="75">
        <f t="shared" si="1"/>
        <v>5.2156866271595631E-2</v>
      </c>
      <c r="AZ17" s="75">
        <f t="shared" si="1"/>
        <v>0.1501612647385353</v>
      </c>
      <c r="BA17" s="75">
        <f t="shared" si="1"/>
        <v>0.12646894236149922</v>
      </c>
      <c r="BB17" s="75">
        <f t="shared" si="1"/>
        <v>2.8552393642330538E-2</v>
      </c>
      <c r="BC17" s="75">
        <f t="shared" si="1"/>
        <v>-9.7456388266167985E-3</v>
      </c>
      <c r="BD17" s="75">
        <f t="shared" si="1"/>
        <v>-1.4313147819035173E-2</v>
      </c>
      <c r="BE17" s="75">
        <f t="shared" si="1"/>
        <v>0.14263059613959128</v>
      </c>
      <c r="BF17" s="75">
        <f t="shared" si="1"/>
        <v>4.6282257935813288E-2</v>
      </c>
      <c r="BG17" s="75">
        <f t="shared" si="1"/>
        <v>9.7603424351464532E-2</v>
      </c>
      <c r="BH17" s="75">
        <f t="shared" si="1"/>
        <v>-5.8744052164614027E-3</v>
      </c>
      <c r="BI17" s="75">
        <f t="shared" si="1"/>
        <v>3.8672026062594941E-2</v>
      </c>
      <c r="BJ17" s="75">
        <f t="shared" si="1"/>
        <v>0.13643034817300989</v>
      </c>
      <c r="BN17" s="59">
        <v>16</v>
      </c>
      <c r="BO17" s="79">
        <f t="shared" si="6"/>
        <v>0.18715503523222193</v>
      </c>
      <c r="BP17" s="79">
        <f t="shared" si="2"/>
        <v>-4.6407249982361301E-2</v>
      </c>
      <c r="BQ17" s="79">
        <f t="shared" si="38"/>
        <v>-0.5319593845991325</v>
      </c>
      <c r="BR17" s="79">
        <f t="shared" si="38"/>
        <v>-0.5000514338758042</v>
      </c>
      <c r="BS17" s="79">
        <f t="shared" si="38"/>
        <v>0.20724838257771155</v>
      </c>
      <c r="BT17" s="79">
        <f t="shared" si="38"/>
        <v>0.4208071089950039</v>
      </c>
      <c r="BU17" s="79">
        <f t="shared" si="38"/>
        <v>0.44351076072256612</v>
      </c>
      <c r="BV17" s="79">
        <f t="shared" si="38"/>
        <v>0.22171933018696086</v>
      </c>
      <c r="BW17" s="79">
        <f t="shared" si="38"/>
        <v>-0.27104006418036225</v>
      </c>
      <c r="BX17" s="79">
        <f t="shared" si="38"/>
        <v>-0.29639922455633205</v>
      </c>
      <c r="BY17" s="79">
        <f t="shared" si="38"/>
        <v>0.23507622014280444</v>
      </c>
      <c r="BZ17" s="79">
        <f t="shared" si="38"/>
        <v>0.18850325230838108</v>
      </c>
      <c r="CA17" s="79">
        <f t="shared" si="38"/>
        <v>0.19905681850069259</v>
      </c>
      <c r="CB17" s="79">
        <f t="shared" si="38"/>
        <v>1.5068746768289423E-2</v>
      </c>
      <c r="CC17" s="79">
        <f t="shared" si="38"/>
        <v>-3.0494847928945714E-2</v>
      </c>
      <c r="CD17" s="79">
        <f t="shared" si="38"/>
        <v>0.22360751455622382</v>
      </c>
      <c r="CE17" s="79">
        <f t="shared" si="38"/>
        <v>-0.48462134331146078</v>
      </c>
      <c r="CF17" s="79">
        <f t="shared" si="38"/>
        <v>-0.51613324506609382</v>
      </c>
      <c r="CG17" s="79">
        <f t="shared" si="38"/>
        <v>-0.48416180173445889</v>
      </c>
      <c r="CH17" s="79">
        <f t="shared" si="38"/>
        <v>-0.45339196679184762</v>
      </c>
      <c r="CI17" s="79">
        <f t="shared" si="38"/>
        <v>0.23449653361486655</v>
      </c>
      <c r="CJ17" s="79">
        <f t="shared" si="38"/>
        <v>0.25703089016924502</v>
      </c>
      <c r="CK17" s="79">
        <f t="shared" si="38"/>
        <v>-0.74090457473921068</v>
      </c>
      <c r="CL17" s="79">
        <f t="shared" si="38"/>
        <v>-0.70840160488169601</v>
      </c>
      <c r="CM17" s="79">
        <f t="shared" si="37"/>
        <v>-2.5828357031896038E-2</v>
      </c>
      <c r="CN17" s="79">
        <f t="shared" si="37"/>
        <v>2.1368460832264867E-2</v>
      </c>
      <c r="CO17" s="79">
        <f t="shared" si="37"/>
        <v>-0.68828933539253356</v>
      </c>
      <c r="CP17" s="79">
        <f t="shared" si="37"/>
        <v>-0.71805924793559905</v>
      </c>
      <c r="CU17" s="56">
        <v>16</v>
      </c>
      <c r="CV17" s="58">
        <f t="shared" si="7"/>
        <v>0.94217738361902204</v>
      </c>
      <c r="CW17" s="58">
        <f t="shared" si="8"/>
        <v>-2.4264956188386528</v>
      </c>
      <c r="CX17" s="58">
        <f t="shared" si="9"/>
        <v>-2.602072188478918</v>
      </c>
      <c r="CY17" s="58">
        <f t="shared" si="10"/>
        <v>2.3715657865201125</v>
      </c>
      <c r="CZ17" s="58">
        <f t="shared" si="11"/>
        <v>-0.8152356866682553</v>
      </c>
      <c r="DA17" s="58">
        <f t="shared" si="12"/>
        <v>-0.93415961755845844</v>
      </c>
      <c r="DB17" s="58">
        <f t="shared" si="13"/>
        <v>-0.5576274991392689</v>
      </c>
      <c r="DC17" s="58">
        <f t="shared" si="14"/>
        <v>3.3134458356627232</v>
      </c>
      <c r="DF17" s="51">
        <v>16</v>
      </c>
      <c r="DG17" s="54">
        <f t="shared" si="36"/>
        <v>2.1368460832264867E-2</v>
      </c>
      <c r="DH17" s="54">
        <f t="shared" si="15"/>
        <v>0.44351076072256612</v>
      </c>
      <c r="DI17" s="54">
        <f t="shared" si="16"/>
        <v>-0.68828933539253356</v>
      </c>
      <c r="DJ17" s="54">
        <f t="shared" si="17"/>
        <v>-0.27104006418036225</v>
      </c>
      <c r="DK17" s="54">
        <f t="shared" si="18"/>
        <v>-0.19905681850069259</v>
      </c>
      <c r="DL17" s="54">
        <f t="shared" si="19"/>
        <v>0.22171933018696086</v>
      </c>
      <c r="DM17" s="54">
        <f t="shared" si="20"/>
        <v>-0.18715503523222193</v>
      </c>
      <c r="DN17" s="54">
        <f t="shared" si="21"/>
        <v>0.23507622014280444</v>
      </c>
      <c r="DO17" s="54">
        <f t="shared" si="22"/>
        <v>-0.23449653361486655</v>
      </c>
      <c r="DP17" s="54">
        <f t="shared" si="23"/>
        <v>0.18850325230838108</v>
      </c>
      <c r="DQ17" s="54">
        <f t="shared" si="24"/>
        <v>-0.71805924793559905</v>
      </c>
      <c r="DR17" s="54">
        <f t="shared" si="25"/>
        <v>-0.29639922455633205</v>
      </c>
      <c r="DS17" s="54">
        <f t="shared" si="26"/>
        <v>-0.4208071089950039</v>
      </c>
      <c r="DT17" s="54">
        <f t="shared" si="27"/>
        <v>0.4208071089950039</v>
      </c>
      <c r="DX17">
        <v>16</v>
      </c>
      <c r="DY17" s="19">
        <f t="shared" si="4"/>
        <v>1.8688681196993839</v>
      </c>
      <c r="EM17" s="13">
        <v>16</v>
      </c>
      <c r="EN17" s="16">
        <f t="shared" si="28"/>
        <v>0.94217738361902204</v>
      </c>
      <c r="EO17" s="16">
        <f t="shared" si="5"/>
        <v>-2.4264956188386528</v>
      </c>
      <c r="EP17" s="16">
        <f t="shared" si="29"/>
        <v>-2.602072188478918</v>
      </c>
      <c r="EQ17" s="16">
        <f t="shared" si="30"/>
        <v>2.3715657865201125</v>
      </c>
      <c r="ER17" s="16">
        <f t="shared" si="31"/>
        <v>-0.8152356866682553</v>
      </c>
      <c r="ES17" s="16">
        <f t="shared" si="32"/>
        <v>-0.93415961755845844</v>
      </c>
      <c r="ET17" s="16">
        <f t="shared" si="33"/>
        <v>-0.5576274991392689</v>
      </c>
      <c r="EU17" s="16">
        <f t="shared" si="34"/>
        <v>3.3134458356627232</v>
      </c>
      <c r="EW17" s="40">
        <f>'SATORI H4'!EW6</f>
        <v>-2.0035606874134038</v>
      </c>
      <c r="EX17" s="39" t="str">
        <f>'SATORI H4'!EX6</f>
        <v>JPY</v>
      </c>
      <c r="FK17" s="20"/>
      <c r="FL17" s="20"/>
    </row>
    <row r="18" spans="1:168" ht="18.600000000000001" thickBot="1" x14ac:dyDescent="0.4">
      <c r="A18" s="37" t="s">
        <v>51</v>
      </c>
      <c r="B18" s="38">
        <v>16</v>
      </c>
      <c r="C18" s="63">
        <f>RTD("fxbluelabs.excelrtd", , "21422436","@bh,AUDUSD,h1,close,16")</f>
        <v>0.67454000000000003</v>
      </c>
      <c r="D18" s="64">
        <f>RTD("fxbluelabs.excelrtd", , "21422436","@bh,AUDNZD,h1,close,16")</f>
        <v>1.09561</v>
      </c>
      <c r="E18" s="65">
        <f>RTD("fxbluelabs.excelrtd", , "21422436","@bh,AUDJPY,h1,close,16")</f>
        <v>97.894999999999996</v>
      </c>
      <c r="F18" s="64">
        <f>RTD("fxbluelabs.excelrtd", , "21422436","@bh,AUDCHF,h1,close,16")</f>
        <v>0.57559000000000005</v>
      </c>
      <c r="G18" s="64">
        <f>RTD("fxbluelabs.excelrtd", , "21422436","@bh,AUDCAD,h1,close,16")</f>
        <v>0.91859000000000002</v>
      </c>
      <c r="H18" s="64">
        <f>RTD("fxbluelabs.excelrtd", , "21422436","@bh,EURUSD,h1,close,16")</f>
        <v>1.11286</v>
      </c>
      <c r="I18" s="64">
        <f>RTD("fxbluelabs.excelrtd", , "21422436","@bh,EURCAD,h1,close,16")</f>
        <v>1.51549</v>
      </c>
      <c r="J18" s="64">
        <f>RTD("fxbluelabs.excelrtd", , "21422436","@bh,EURGBP,h1,close,16")</f>
        <v>0.85396000000000005</v>
      </c>
      <c r="K18" s="64">
        <f>RTD("fxbluelabs.excelrtd", , "21422436","@bh,EURCHF,h1,close,16")</f>
        <v>0.94959000000000005</v>
      </c>
      <c r="L18" s="65">
        <f>RTD("fxbluelabs.excelrtd", , "21422436","@bh,EURJPY,h1,close,16")</f>
        <v>161.50399999999999</v>
      </c>
      <c r="M18" s="64">
        <f>RTD("fxbluelabs.excelrtd", , "21422436","@bh,EURAUD,h1,close,16")</f>
        <v>1.6497999999999999</v>
      </c>
      <c r="N18" s="64">
        <f>RTD("fxbluelabs.excelrtd", , "21422436","@bh,EURNZD,h1,close,16")</f>
        <v>1.80755</v>
      </c>
      <c r="O18" s="64">
        <f>RTD("fxbluelabs.excelrtd", , "21422436","@bh,GBPUSD,h1,close,16")</f>
        <v>1.3031900000000001</v>
      </c>
      <c r="P18" s="64">
        <f>RTD("fxbluelabs.excelrtd", , "21422436","@bh,GBPAUD,h1,close,16")</f>
        <v>1.9319599999999999</v>
      </c>
      <c r="Q18" s="64">
        <f>RTD("fxbluelabs.excelrtd", , "21422436","@bh,GBPNZD,h1,close,16")</f>
        <v>2.1166800000000001</v>
      </c>
      <c r="R18" s="64">
        <f>RTD("fxbluelabs.excelrtd", , "21422436","@bh,GBPCAD,h1,close,16")</f>
        <v>1.77468</v>
      </c>
      <c r="S18" s="64">
        <f>RTD("fxbluelabs.excelrtd", , "21422436","@bh,GBPCHF,h1,close,16")</f>
        <v>1.1120300000000001</v>
      </c>
      <c r="T18" s="65">
        <f>RTD("fxbluelabs.excelrtd", , "21422436","@bh,GBPJPY,h1,close,16")</f>
        <v>189.13</v>
      </c>
      <c r="U18" s="65">
        <f>RTD("fxbluelabs.excelrtd", , "21422436","@bh,NZDJPY,h1,close,16")</f>
        <v>89.35</v>
      </c>
      <c r="V18" s="64">
        <f>RTD("fxbluelabs.excelrtd", , "21422436","@bh,NZDCHF,h1,close,16")</f>
        <v>0.52534999999999998</v>
      </c>
      <c r="W18" s="64">
        <f>RTD("fxbluelabs.excelrtd", , "21422436","@bh,NZDUSD,h1,close,16")</f>
        <v>0.61565999999999999</v>
      </c>
      <c r="X18" s="64">
        <f>RTD("fxbluelabs.excelrtd", , "21422436","@bh,NZDCAD,h1,close,16")</f>
        <v>0.83838999999999997</v>
      </c>
      <c r="Y18" s="65">
        <f>RTD("fxbluelabs.excelrtd", , "21422436","@bh,CADJPY,h1,close,16")</f>
        <v>106.569</v>
      </c>
      <c r="Z18" s="64">
        <f>RTD("fxbluelabs.excelrtd", , "21422436","@bh,CADCHF,h1,close,16")</f>
        <v>0.62658999999999998</v>
      </c>
      <c r="AA18" s="65">
        <f>RTD("fxbluelabs.excelrtd", , "21422436","@bh,CHFJPY,h1,close,16")</f>
        <v>170.07599999999999</v>
      </c>
      <c r="AB18" s="64">
        <f>RTD("fxbluelabs.excelrtd", , "21422436","@bh,USDCAD,h1,close,16")</f>
        <v>1.3618399999999999</v>
      </c>
      <c r="AC18" s="64">
        <f>RTD("fxbluelabs.excelrtd", , "21422436","@bh,USDCHF,h1,close,16")</f>
        <v>0.85333000000000003</v>
      </c>
      <c r="AD18" s="66">
        <f>RTD("fxbluelabs.excelrtd", , "21422436","@bh,USDJPY,h1,close,16")</f>
        <v>145.12899999999999</v>
      </c>
      <c r="AH18" s="56">
        <v>17</v>
      </c>
      <c r="AI18" s="74">
        <f t="shared" si="35"/>
        <v>2.5208713317615473E-2</v>
      </c>
      <c r="AJ18" s="74">
        <f t="shared" si="35"/>
        <v>1.1866944170588553E-2</v>
      </c>
      <c r="AK18" s="74">
        <f t="shared" si="35"/>
        <v>3.5765379113015111E-2</v>
      </c>
      <c r="AL18" s="74">
        <f t="shared" si="35"/>
        <v>-5.3828789720423938E-2</v>
      </c>
      <c r="AM18" s="74">
        <f t="shared" si="35"/>
        <v>0</v>
      </c>
      <c r="AN18" s="74">
        <f t="shared" si="35"/>
        <v>-8.9857755174148931E-4</v>
      </c>
      <c r="AO18" s="74">
        <f t="shared" si="35"/>
        <v>-2.7706130311171966E-2</v>
      </c>
      <c r="AP18" s="74">
        <f t="shared" si="35"/>
        <v>1.5225513275485108E-2</v>
      </c>
      <c r="AQ18" s="74">
        <f t="shared" si="35"/>
        <v>-7.7867688066246762E-2</v>
      </c>
      <c r="AR18" s="74">
        <f t="shared" si="35"/>
        <v>6.191835445810758E-4</v>
      </c>
      <c r="AS18" s="74">
        <f t="shared" si="35"/>
        <v>-3.636672202500274E-3</v>
      </c>
      <c r="AT18" s="74">
        <f t="shared" si="35"/>
        <v>-1.4935115221647756E-2</v>
      </c>
      <c r="AU18" s="74">
        <f t="shared" si="35"/>
        <v>-1.5346720789365473E-3</v>
      </c>
      <c r="AV18" s="74">
        <f t="shared" si="35"/>
        <v>-4.1407010206869427E-3</v>
      </c>
      <c r="AW18" s="74">
        <f t="shared" si="35"/>
        <v>-1.653259519232474E-2</v>
      </c>
      <c r="AX18" s="74">
        <f t="shared" si="35"/>
        <v>-2.929247408741854E-2</v>
      </c>
      <c r="AY18" s="74">
        <f t="shared" ref="AX18:BJ28" si="39">IF(S18=0,0,(S18-S19)*100/S19)</f>
        <v>-8.1765414128341721E-2</v>
      </c>
      <c r="AZ18" s="74">
        <f t="shared" si="39"/>
        <v>7.9316817809197346E-3</v>
      </c>
      <c r="BA18" s="74">
        <f t="shared" si="39"/>
        <v>0.1120448179271645</v>
      </c>
      <c r="BB18" s="74">
        <f t="shared" si="39"/>
        <v>2.4751532691055837E-2</v>
      </c>
      <c r="BC18" s="74">
        <f t="shared" si="39"/>
        <v>0.10243402760841251</v>
      </c>
      <c r="BD18" s="74">
        <f t="shared" si="39"/>
        <v>7.281147795363932E-2</v>
      </c>
      <c r="BE18" s="74">
        <f t="shared" si="39"/>
        <v>5.4454469491420548E-2</v>
      </c>
      <c r="BF18" s="74">
        <f t="shared" si="39"/>
        <v>-3.6693149548524852E-2</v>
      </c>
      <c r="BG18" s="74">
        <f t="shared" si="39"/>
        <v>0.11891166393915384</v>
      </c>
      <c r="BH18" s="74">
        <f t="shared" si="39"/>
        <v>-2.569391935046304E-2</v>
      </c>
      <c r="BI18" s="74">
        <f t="shared" si="39"/>
        <v>-7.8454332552687175E-2</v>
      </c>
      <c r="BJ18" s="74">
        <f t="shared" si="39"/>
        <v>1.102589016834545E-2</v>
      </c>
      <c r="BN18" s="59">
        <v>17</v>
      </c>
      <c r="BO18" s="78">
        <f t="shared" si="6"/>
        <v>0.17233011751051691</v>
      </c>
      <c r="BP18" s="78">
        <f t="shared" si="2"/>
        <v>-6.5574654441981392E-2</v>
      </c>
      <c r="BQ18" s="78">
        <f t="shared" si="38"/>
        <v>-0.6831417738937956</v>
      </c>
      <c r="BR18" s="78">
        <f t="shared" si="38"/>
        <v>-0.55390921458775566</v>
      </c>
      <c r="BS18" s="78">
        <f t="shared" si="38"/>
        <v>0.1996280078729995</v>
      </c>
      <c r="BT18" s="78">
        <f t="shared" si="38"/>
        <v>0.4288943796310159</v>
      </c>
      <c r="BU18" s="78">
        <f t="shared" si="38"/>
        <v>0.45868737026799056</v>
      </c>
      <c r="BV18" s="78">
        <f t="shared" si="38"/>
        <v>0.2463106459394602</v>
      </c>
      <c r="BW18" s="78">
        <f t="shared" si="38"/>
        <v>-0.29947338803592011</v>
      </c>
      <c r="BX18" s="78">
        <f t="shared" si="38"/>
        <v>-0.42580778409665493</v>
      </c>
      <c r="BY18" s="78">
        <f t="shared" si="38"/>
        <v>0.25871544914025202</v>
      </c>
      <c r="BZ18" s="78">
        <f t="shared" si="38"/>
        <v>0.19348236768554483</v>
      </c>
      <c r="CA18" s="78">
        <f t="shared" si="38"/>
        <v>0.1844772100015549</v>
      </c>
      <c r="CB18" s="78">
        <f t="shared" si="38"/>
        <v>1.6621573948975066E-2</v>
      </c>
      <c r="CC18" s="78">
        <f t="shared" si="38"/>
        <v>-4.8447490746935426E-2</v>
      </c>
      <c r="CD18" s="78">
        <f t="shared" si="38"/>
        <v>0.2162822502832302</v>
      </c>
      <c r="CE18" s="78">
        <f t="shared" si="38"/>
        <v>-0.53677820958305644</v>
      </c>
      <c r="CF18" s="78">
        <f t="shared" si="38"/>
        <v>-0.66629450980462923</v>
      </c>
      <c r="CG18" s="78">
        <f t="shared" si="38"/>
        <v>-0.61063074409595808</v>
      </c>
      <c r="CH18" s="78">
        <f t="shared" si="38"/>
        <v>-0.48194436043417804</v>
      </c>
      <c r="CI18" s="78">
        <f t="shared" si="38"/>
        <v>0.24424217244148339</v>
      </c>
      <c r="CJ18" s="78">
        <f t="shared" si="38"/>
        <v>0.27134403798828022</v>
      </c>
      <c r="CK18" s="78">
        <f t="shared" si="38"/>
        <v>-0.88353517087880207</v>
      </c>
      <c r="CL18" s="78">
        <f t="shared" si="38"/>
        <v>-0.75468386281750932</v>
      </c>
      <c r="CM18" s="78">
        <f t="shared" si="37"/>
        <v>-0.12343178138336056</v>
      </c>
      <c r="CN18" s="78">
        <f t="shared" si="37"/>
        <v>2.724286604872626E-2</v>
      </c>
      <c r="CO18" s="78">
        <f t="shared" si="37"/>
        <v>-0.72696136145512846</v>
      </c>
      <c r="CP18" s="78">
        <f t="shared" si="37"/>
        <v>-0.85448959610860886</v>
      </c>
      <c r="CU18" s="56">
        <v>17</v>
      </c>
      <c r="CV18" s="57">
        <f t="shared" si="7"/>
        <v>0.86080904053168839</v>
      </c>
      <c r="CW18" s="57">
        <f t="shared" si="8"/>
        <v>-2.5841519710995824</v>
      </c>
      <c r="CX18" s="57">
        <f t="shared" si="9"/>
        <v>-2.8114035661575381</v>
      </c>
      <c r="CY18" s="57">
        <f t="shared" si="10"/>
        <v>2.4756347527126783</v>
      </c>
      <c r="CZ18" s="57">
        <f t="shared" si="11"/>
        <v>-1.0804498218403211</v>
      </c>
      <c r="DA18" s="57">
        <f t="shared" si="12"/>
        <v>-1.206004540629243</v>
      </c>
      <c r="DB18" s="57">
        <f t="shared" si="13"/>
        <v>-0.65644911659700056</v>
      </c>
      <c r="DC18" s="57">
        <f t="shared" si="14"/>
        <v>4.2473313602618097</v>
      </c>
      <c r="DF18" s="53">
        <v>17</v>
      </c>
      <c r="DG18" s="52">
        <f t="shared" si="36"/>
        <v>2.724286604872626E-2</v>
      </c>
      <c r="DH18" s="52">
        <f t="shared" si="15"/>
        <v>0.45868737026799056</v>
      </c>
      <c r="DI18" s="52">
        <f t="shared" si="16"/>
        <v>-0.72696136145512846</v>
      </c>
      <c r="DJ18" s="52">
        <f t="shared" si="17"/>
        <v>-0.29947338803592011</v>
      </c>
      <c r="DK18" s="52">
        <f t="shared" si="18"/>
        <v>-0.1844772100015549</v>
      </c>
      <c r="DL18" s="52">
        <f t="shared" si="19"/>
        <v>0.2463106459394602</v>
      </c>
      <c r="DM18" s="52">
        <f t="shared" si="20"/>
        <v>-0.17233011751051691</v>
      </c>
      <c r="DN18" s="52">
        <f t="shared" si="21"/>
        <v>0.25871544914025202</v>
      </c>
      <c r="DO18" s="52">
        <f t="shared" si="22"/>
        <v>-0.24424217244148339</v>
      </c>
      <c r="DP18" s="52">
        <f t="shared" si="23"/>
        <v>0.19348236768554483</v>
      </c>
      <c r="DQ18" s="52">
        <f t="shared" si="24"/>
        <v>-0.85448959610860886</v>
      </c>
      <c r="DR18" s="52">
        <f t="shared" si="25"/>
        <v>-0.42580778409665493</v>
      </c>
      <c r="DS18" s="52">
        <f t="shared" si="26"/>
        <v>-0.4288943796310159</v>
      </c>
      <c r="DT18" s="52">
        <f t="shared" si="27"/>
        <v>0.4288943796310159</v>
      </c>
      <c r="DX18">
        <v>17</v>
      </c>
      <c r="DY18" s="19">
        <f t="shared" si="4"/>
        <v>1.9277028545025818</v>
      </c>
      <c r="EM18" s="21">
        <v>17</v>
      </c>
      <c r="EN18" s="16">
        <f t="shared" si="28"/>
        <v>0.86080904053168839</v>
      </c>
      <c r="EO18" s="16">
        <f t="shared" si="5"/>
        <v>-2.5841519710995824</v>
      </c>
      <c r="EP18" s="16">
        <f t="shared" si="29"/>
        <v>-2.8114035661575381</v>
      </c>
      <c r="EQ18" s="16">
        <f t="shared" si="30"/>
        <v>2.4756347527126783</v>
      </c>
      <c r="ER18" s="16">
        <f t="shared" si="31"/>
        <v>-1.0804498218403211</v>
      </c>
      <c r="ES18" s="16">
        <f t="shared" si="32"/>
        <v>-1.206004540629243</v>
      </c>
      <c r="ET18" s="16">
        <f t="shared" si="33"/>
        <v>-0.65644911659700056</v>
      </c>
      <c r="EU18" s="16">
        <f t="shared" si="34"/>
        <v>4.2473313602618097</v>
      </c>
      <c r="EW18" s="40">
        <f>'SATORI H4'!EW7</f>
        <v>-2.1075866693265084</v>
      </c>
      <c r="EX18" s="39" t="str">
        <f>'SATORI H4'!EX7</f>
        <v>EUR</v>
      </c>
      <c r="FK18" s="20"/>
      <c r="FL18" s="20"/>
    </row>
    <row r="19" spans="1:168" ht="18.600000000000001" thickBot="1" x14ac:dyDescent="0.4">
      <c r="A19" s="37" t="s">
        <v>51</v>
      </c>
      <c r="B19" s="38">
        <v>17</v>
      </c>
      <c r="C19" s="63">
        <f>RTD("fxbluelabs.excelrtd", , "21422436","@bh,AUDUSD,h1,close,17")</f>
        <v>0.67437000000000002</v>
      </c>
      <c r="D19" s="64">
        <f>RTD("fxbluelabs.excelrtd", , "21422436","@bh,AUDNZD,h1,close,17")</f>
        <v>1.09548</v>
      </c>
      <c r="E19" s="65">
        <f>RTD("fxbluelabs.excelrtd", , "21422436","@bh,AUDJPY,h1,close,17")</f>
        <v>97.86</v>
      </c>
      <c r="F19" s="64">
        <f>RTD("fxbluelabs.excelrtd", , "21422436","@bh,AUDCHF,h1,close,17")</f>
        <v>0.57589999999999997</v>
      </c>
      <c r="G19" s="64">
        <f>RTD("fxbluelabs.excelrtd", , "21422436","@bh,AUDCAD,h1,close,17")</f>
        <v>0.91859000000000002</v>
      </c>
      <c r="H19" s="64">
        <f>RTD("fxbluelabs.excelrtd", , "21422436","@bh,EURUSD,h1,close,17")</f>
        <v>1.11287</v>
      </c>
      <c r="I19" s="64">
        <f>RTD("fxbluelabs.excelrtd", , "21422436","@bh,EURCAD,h1,close,17")</f>
        <v>1.5159100000000001</v>
      </c>
      <c r="J19" s="64">
        <f>RTD("fxbluelabs.excelrtd", , "21422436","@bh,EURGBP,h1,close,17")</f>
        <v>0.85382999999999998</v>
      </c>
      <c r="K19" s="64">
        <f>RTD("fxbluelabs.excelrtd", , "21422436","@bh,EURCHF,h1,close,17")</f>
        <v>0.95033000000000001</v>
      </c>
      <c r="L19" s="65">
        <f>RTD("fxbluelabs.excelrtd", , "21422436","@bh,EURJPY,h1,close,17")</f>
        <v>161.50299999999999</v>
      </c>
      <c r="M19" s="64">
        <f>RTD("fxbluelabs.excelrtd", , "21422436","@bh,EURAUD,h1,close,17")</f>
        <v>1.6498600000000001</v>
      </c>
      <c r="N19" s="64">
        <f>RTD("fxbluelabs.excelrtd", , "21422436","@bh,EURNZD,h1,close,17")</f>
        <v>1.80782</v>
      </c>
      <c r="O19" s="64">
        <f>RTD("fxbluelabs.excelrtd", , "21422436","@bh,GBPUSD,h1,close,17")</f>
        <v>1.30321</v>
      </c>
      <c r="P19" s="64">
        <f>RTD("fxbluelabs.excelrtd", , "21422436","@bh,GBPAUD,h1,close,17")</f>
        <v>1.93204</v>
      </c>
      <c r="Q19" s="64">
        <f>RTD("fxbluelabs.excelrtd", , "21422436","@bh,GBPNZD,h1,close,17")</f>
        <v>2.1170300000000002</v>
      </c>
      <c r="R19" s="64">
        <f>RTD("fxbluelabs.excelrtd", , "21422436","@bh,GBPCAD,h1,close,17")</f>
        <v>1.7751999999999999</v>
      </c>
      <c r="S19" s="64">
        <f>RTD("fxbluelabs.excelrtd", , "21422436","@bh,GBPCHF,h1,close,17")</f>
        <v>1.11294</v>
      </c>
      <c r="T19" s="65">
        <f>RTD("fxbluelabs.excelrtd", , "21422436","@bh,GBPJPY,h1,close,17")</f>
        <v>189.11500000000001</v>
      </c>
      <c r="U19" s="65">
        <f>RTD("fxbluelabs.excelrtd", , "21422436","@bh,NZDJPY,h1,close,17")</f>
        <v>89.25</v>
      </c>
      <c r="V19" s="64">
        <f>RTD("fxbluelabs.excelrtd", , "21422436","@bh,NZDCHF,h1,close,17")</f>
        <v>0.52522000000000002</v>
      </c>
      <c r="W19" s="64">
        <f>RTD("fxbluelabs.excelrtd", , "21422436","@bh,NZDUSD,h1,close,17")</f>
        <v>0.61502999999999997</v>
      </c>
      <c r="X19" s="64">
        <f>RTD("fxbluelabs.excelrtd", , "21422436","@bh,NZDCAD,h1,close,17")</f>
        <v>0.83777999999999997</v>
      </c>
      <c r="Y19" s="65">
        <f>RTD("fxbluelabs.excelrtd", , "21422436","@bh,CADJPY,h1,close,17")</f>
        <v>106.511</v>
      </c>
      <c r="Z19" s="64">
        <f>RTD("fxbluelabs.excelrtd", , "21422436","@bh,CADCHF,h1,close,17")</f>
        <v>0.62682000000000004</v>
      </c>
      <c r="AA19" s="65">
        <f>RTD("fxbluelabs.excelrtd", , "21422436","@bh,CHFJPY,h1,close,17")</f>
        <v>169.874</v>
      </c>
      <c r="AB19" s="64">
        <f>RTD("fxbluelabs.excelrtd", , "21422436","@bh,USDCAD,h1,close,17")</f>
        <v>1.36219</v>
      </c>
      <c r="AC19" s="64">
        <f>RTD("fxbluelabs.excelrtd", , "21422436","@bh,USDCHF,h1,close,17")</f>
        <v>0.85399999999999998</v>
      </c>
      <c r="AD19" s="66">
        <f>RTD("fxbluelabs.excelrtd", , "21422436","@bh,USDJPY,h1,close,17")</f>
        <v>145.113</v>
      </c>
      <c r="AH19" s="56">
        <v>18</v>
      </c>
      <c r="AI19" s="75">
        <f t="shared" si="35"/>
        <v>-4.4466183467468091E-2</v>
      </c>
      <c r="AJ19" s="75">
        <f t="shared" si="35"/>
        <v>-7.2062539337943057E-2</v>
      </c>
      <c r="AK19" s="75">
        <f t="shared" si="35"/>
        <v>-0.14489500214280923</v>
      </c>
      <c r="AL19" s="75">
        <f t="shared" si="35"/>
        <v>-4.6861169446516214E-2</v>
      </c>
      <c r="AM19" s="75">
        <f t="shared" si="35"/>
        <v>-3.047221043237313E-2</v>
      </c>
      <c r="AN19" s="75">
        <f t="shared" si="35"/>
        <v>-1.1680143755612172E-2</v>
      </c>
      <c r="AO19" s="75">
        <f t="shared" si="35"/>
        <v>1.3193569454334434E-3</v>
      </c>
      <c r="AP19" s="75">
        <f t="shared" si="35"/>
        <v>-1.6394018525244327E-2</v>
      </c>
      <c r="AQ19" s="75">
        <f t="shared" si="35"/>
        <v>-1.9989058620547014E-2</v>
      </c>
      <c r="AR19" s="75">
        <f t="shared" si="35"/>
        <v>-0.10762198704825461</v>
      </c>
      <c r="AS19" s="75">
        <f t="shared" si="35"/>
        <v>1.6367703489971117E-2</v>
      </c>
      <c r="AT19" s="75">
        <f t="shared" si="35"/>
        <v>-4.2021917747630401E-2</v>
      </c>
      <c r="AU19" s="75">
        <f t="shared" si="35"/>
        <v>-1.227586947681303E-2</v>
      </c>
      <c r="AV19" s="75">
        <f t="shared" si="35"/>
        <v>1.5530040274569402E-2</v>
      </c>
      <c r="AW19" s="75">
        <f t="shared" si="35"/>
        <v>-3.8246515317492222E-2</v>
      </c>
      <c r="AX19" s="75">
        <f t="shared" si="35"/>
        <v>1.68997898792648E-3</v>
      </c>
      <c r="AY19" s="75">
        <f t="shared" si="39"/>
        <v>-1.4374270056593115E-2</v>
      </c>
      <c r="AZ19" s="75">
        <f t="shared" si="39"/>
        <v>-0.11303075598561162</v>
      </c>
      <c r="BA19" s="75">
        <f t="shared" si="39"/>
        <v>-0.13986013986013987</v>
      </c>
      <c r="BB19" s="75">
        <f t="shared" si="39"/>
        <v>-4.5674266357100056E-2</v>
      </c>
      <c r="BC19" s="75">
        <f t="shared" si="39"/>
        <v>-5.3627145085811956E-2</v>
      </c>
      <c r="BD19" s="75">
        <f t="shared" si="39"/>
        <v>-3.5796105383743552E-2</v>
      </c>
      <c r="BE19" s="75">
        <f t="shared" si="39"/>
        <v>-0.12752351214756147</v>
      </c>
      <c r="BF19" s="75">
        <f t="shared" si="39"/>
        <v>-2.7113670074483402E-2</v>
      </c>
      <c r="BG19" s="75">
        <f t="shared" si="39"/>
        <v>-0.11935770268760794</v>
      </c>
      <c r="BH19" s="75">
        <f t="shared" si="39"/>
        <v>1.1747171501357383E-2</v>
      </c>
      <c r="BI19" s="75">
        <f t="shared" si="39"/>
        <v>-3.5127571630943284E-3</v>
      </c>
      <c r="BJ19" s="75">
        <f t="shared" si="39"/>
        <v>-0.10257328138122902</v>
      </c>
      <c r="BN19" s="59">
        <v>18</v>
      </c>
      <c r="BO19" s="79">
        <f t="shared" si="6"/>
        <v>0.1471214041929014</v>
      </c>
      <c r="BP19" s="79">
        <f t="shared" si="2"/>
        <v>-7.7441598612569981E-2</v>
      </c>
      <c r="BQ19" s="79">
        <f t="shared" si="38"/>
        <v>-0.71890715300681074</v>
      </c>
      <c r="BR19" s="79">
        <f t="shared" si="38"/>
        <v>-0.50008042486733162</v>
      </c>
      <c r="BS19" s="79">
        <f t="shared" si="38"/>
        <v>0.1996280078729995</v>
      </c>
      <c r="BT19" s="79">
        <f t="shared" si="38"/>
        <v>0.4297929571827574</v>
      </c>
      <c r="BU19" s="79">
        <f t="shared" si="38"/>
        <v>0.48639350057916259</v>
      </c>
      <c r="BV19" s="79">
        <f t="shared" si="38"/>
        <v>0.2310851326639751</v>
      </c>
      <c r="BW19" s="79">
        <f t="shared" si="38"/>
        <v>-0.22160569996967336</v>
      </c>
      <c r="BX19" s="79">
        <f t="shared" si="38"/>
        <v>-0.42642696764123605</v>
      </c>
      <c r="BY19" s="79">
        <f t="shared" si="38"/>
        <v>0.26235212134275221</v>
      </c>
      <c r="BZ19" s="79">
        <f t="shared" si="38"/>
        <v>0.20841748290719261</v>
      </c>
      <c r="CA19" s="79">
        <f t="shared" si="38"/>
        <v>0.18601188208049144</v>
      </c>
      <c r="CB19" s="79">
        <f t="shared" si="38"/>
        <v>2.0762274969662008E-2</v>
      </c>
      <c r="CC19" s="79">
        <f t="shared" si="38"/>
        <v>-3.1914895554610703E-2</v>
      </c>
      <c r="CD19" s="79">
        <f t="shared" si="38"/>
        <v>0.24557472437064873</v>
      </c>
      <c r="CE19" s="79">
        <f t="shared" si="38"/>
        <v>-0.45501279545471468</v>
      </c>
      <c r="CF19" s="79">
        <f t="shared" si="38"/>
        <v>-0.67422619158554897</v>
      </c>
      <c r="CG19" s="79">
        <f t="shared" si="38"/>
        <v>-0.72267556202312255</v>
      </c>
      <c r="CH19" s="79">
        <f t="shared" si="38"/>
        <v>-0.506695893125234</v>
      </c>
      <c r="CI19" s="79">
        <f t="shared" si="38"/>
        <v>0.14180814483307083</v>
      </c>
      <c r="CJ19" s="79">
        <f t="shared" si="38"/>
        <v>0.19853256003464084</v>
      </c>
      <c r="CK19" s="79">
        <f t="shared" si="38"/>
        <v>-0.93798964037022259</v>
      </c>
      <c r="CL19" s="79">
        <f t="shared" si="38"/>
        <v>-0.71799071326898445</v>
      </c>
      <c r="CM19" s="79">
        <f t="shared" si="37"/>
        <v>-0.24234344532251439</v>
      </c>
      <c r="CN19" s="79">
        <f t="shared" si="37"/>
        <v>5.2936785399189293E-2</v>
      </c>
      <c r="CO19" s="79">
        <f t="shared" si="37"/>
        <v>-0.64850702890244116</v>
      </c>
      <c r="CP19" s="79">
        <f t="shared" si="37"/>
        <v>-0.8655154862769544</v>
      </c>
      <c r="CU19" s="56">
        <v>18</v>
      </c>
      <c r="CV19" s="58">
        <f t="shared" si="7"/>
        <v>0.97000852706493046</v>
      </c>
      <c r="CW19" s="58">
        <f t="shared" si="8"/>
        <v>-2.3658201180694269</v>
      </c>
      <c r="CX19" s="58">
        <f t="shared" si="9"/>
        <v>-2.8390459318958481</v>
      </c>
      <c r="CY19" s="58">
        <f t="shared" si="10"/>
        <v>2.0895583969968805</v>
      </c>
      <c r="CZ19" s="58">
        <f t="shared" si="11"/>
        <v>-0.9398901338380472</v>
      </c>
      <c r="DA19" s="58">
        <f t="shared" si="12"/>
        <v>-1.2327941607332258</v>
      </c>
      <c r="DB19" s="58">
        <f t="shared" si="13"/>
        <v>-0.98809173902065683</v>
      </c>
      <c r="DC19" s="58">
        <f t="shared" si="14"/>
        <v>4.5880844462264099</v>
      </c>
      <c r="DF19" s="51">
        <v>18</v>
      </c>
      <c r="DG19" s="54">
        <f t="shared" si="36"/>
        <v>5.2936785399189293E-2</v>
      </c>
      <c r="DH19" s="54">
        <f t="shared" si="15"/>
        <v>0.48639350057916259</v>
      </c>
      <c r="DI19" s="54">
        <f t="shared" si="16"/>
        <v>-0.64850702890244116</v>
      </c>
      <c r="DJ19" s="54">
        <f t="shared" si="17"/>
        <v>-0.22160569996967336</v>
      </c>
      <c r="DK19" s="54">
        <f t="shared" si="18"/>
        <v>-0.18601188208049144</v>
      </c>
      <c r="DL19" s="54">
        <f t="shared" si="19"/>
        <v>0.2310851326639751</v>
      </c>
      <c r="DM19" s="54">
        <f t="shared" si="20"/>
        <v>-0.1471214041929014</v>
      </c>
      <c r="DN19" s="54">
        <f t="shared" si="21"/>
        <v>0.26235212134275221</v>
      </c>
      <c r="DO19" s="54">
        <f t="shared" si="22"/>
        <v>-0.14180814483307083</v>
      </c>
      <c r="DP19" s="54">
        <f t="shared" si="23"/>
        <v>0.20841748290719261</v>
      </c>
      <c r="DQ19" s="54">
        <f t="shared" si="24"/>
        <v>-0.8655154862769544</v>
      </c>
      <c r="DR19" s="54">
        <f t="shared" si="25"/>
        <v>-0.42642696764123605</v>
      </c>
      <c r="DS19" s="54">
        <f t="shared" si="26"/>
        <v>-0.4297929571827574</v>
      </c>
      <c r="DT19" s="54">
        <f t="shared" si="27"/>
        <v>0.4297929571827574</v>
      </c>
      <c r="DX19">
        <v>18</v>
      </c>
      <c r="DY19" s="19">
        <f t="shared" si="4"/>
        <v>1.37772837904877</v>
      </c>
      <c r="EM19" s="21">
        <v>18</v>
      </c>
      <c r="EN19" s="16">
        <f t="shared" si="28"/>
        <v>0.97000852706493046</v>
      </c>
      <c r="EO19" s="16">
        <f t="shared" si="5"/>
        <v>-2.3658201180694269</v>
      </c>
      <c r="EP19" s="16">
        <f t="shared" si="29"/>
        <v>-2.8390459318958481</v>
      </c>
      <c r="EQ19" s="16">
        <f t="shared" si="30"/>
        <v>2.0895583969968805</v>
      </c>
      <c r="ER19" s="16">
        <f t="shared" si="31"/>
        <v>-0.9398901338380472</v>
      </c>
      <c r="ES19" s="16">
        <f t="shared" si="32"/>
        <v>-1.2327941607332258</v>
      </c>
      <c r="ET19" s="16">
        <f t="shared" si="33"/>
        <v>-0.98809173902065683</v>
      </c>
      <c r="EU19" s="16">
        <f t="shared" si="34"/>
        <v>4.5880844462264099</v>
      </c>
      <c r="EW19" s="40">
        <f>'SATORI H4'!EW8</f>
        <v>-3.2531731805971296</v>
      </c>
      <c r="EX19" s="39" t="str">
        <f>'SATORI H4'!EX8</f>
        <v>CAD</v>
      </c>
      <c r="FK19" s="20"/>
      <c r="FL19" s="20"/>
    </row>
    <row r="20" spans="1:168" ht="18.600000000000001" thickBot="1" x14ac:dyDescent="0.4">
      <c r="A20" s="37" t="s">
        <v>51</v>
      </c>
      <c r="B20" s="38">
        <v>18</v>
      </c>
      <c r="C20" s="63">
        <f>RTD("fxbluelabs.excelrtd", , "21422436","@bh,AUDUSD,h1,close,18")</f>
        <v>0.67466999999999999</v>
      </c>
      <c r="D20" s="64">
        <f>RTD("fxbluelabs.excelrtd", , "21422436","@bh,AUDNZD,h1,close,18")</f>
        <v>1.0962700000000001</v>
      </c>
      <c r="E20" s="65">
        <f>RTD("fxbluelabs.excelrtd", , "21422436","@bh,AUDJPY,h1,close,18")</f>
        <v>98.001999999999995</v>
      </c>
      <c r="F20" s="64">
        <f>RTD("fxbluelabs.excelrtd", , "21422436","@bh,AUDCHF,h1,close,18")</f>
        <v>0.57616999999999996</v>
      </c>
      <c r="G20" s="64">
        <f>RTD("fxbluelabs.excelrtd", , "21422436","@bh,AUDCAD,h1,close,18")</f>
        <v>0.91886999999999996</v>
      </c>
      <c r="H20" s="64">
        <f>RTD("fxbluelabs.excelrtd", , "21422436","@bh,EURUSD,h1,close,18")</f>
        <v>1.113</v>
      </c>
      <c r="I20" s="64">
        <f>RTD("fxbluelabs.excelrtd", , "21422436","@bh,EURCAD,h1,close,18")</f>
        <v>1.51589</v>
      </c>
      <c r="J20" s="64">
        <f>RTD("fxbluelabs.excelrtd", , "21422436","@bh,EURGBP,h1,close,18")</f>
        <v>0.85397000000000001</v>
      </c>
      <c r="K20" s="64">
        <f>RTD("fxbluelabs.excelrtd", , "21422436","@bh,EURCHF,h1,close,18")</f>
        <v>0.95052000000000003</v>
      </c>
      <c r="L20" s="65">
        <f>RTD("fxbluelabs.excelrtd", , "21422436","@bh,EURJPY,h1,close,18")</f>
        <v>161.67699999999999</v>
      </c>
      <c r="M20" s="64">
        <f>RTD("fxbluelabs.excelrtd", , "21422436","@bh,EURAUD,h1,close,18")</f>
        <v>1.6495899999999999</v>
      </c>
      <c r="N20" s="64">
        <f>RTD("fxbluelabs.excelrtd", , "21422436","@bh,EURNZD,h1,close,18")</f>
        <v>1.8085800000000001</v>
      </c>
      <c r="O20" s="64">
        <f>RTD("fxbluelabs.excelrtd", , "21422436","@bh,GBPUSD,h1,close,18")</f>
        <v>1.3033699999999999</v>
      </c>
      <c r="P20" s="64">
        <f>RTD("fxbluelabs.excelrtd", , "21422436","@bh,GBPAUD,h1,close,18")</f>
        <v>1.93174</v>
      </c>
      <c r="Q20" s="64">
        <f>RTD("fxbluelabs.excelrtd", , "21422436","@bh,GBPNZD,h1,close,18")</f>
        <v>2.1178400000000002</v>
      </c>
      <c r="R20" s="64">
        <f>RTD("fxbluelabs.excelrtd", , "21422436","@bh,GBPCAD,h1,close,18")</f>
        <v>1.7751699999999999</v>
      </c>
      <c r="S20" s="64">
        <f>RTD("fxbluelabs.excelrtd", , "21422436","@bh,GBPCHF,h1,close,18")</f>
        <v>1.1131</v>
      </c>
      <c r="T20" s="65">
        <f>RTD("fxbluelabs.excelrtd", , "21422436","@bh,GBPJPY,h1,close,18")</f>
        <v>189.32900000000001</v>
      </c>
      <c r="U20" s="65">
        <f>RTD("fxbluelabs.excelrtd", , "21422436","@bh,NZDJPY,h1,close,18")</f>
        <v>89.375</v>
      </c>
      <c r="V20" s="64">
        <f>RTD("fxbluelabs.excelrtd", , "21422436","@bh,NZDCHF,h1,close,18")</f>
        <v>0.52546000000000004</v>
      </c>
      <c r="W20" s="64">
        <f>RTD("fxbluelabs.excelrtd", , "21422436","@bh,NZDUSD,h1,close,18")</f>
        <v>0.61536000000000002</v>
      </c>
      <c r="X20" s="64">
        <f>RTD("fxbluelabs.excelrtd", , "21422436","@bh,NZDCAD,h1,close,18")</f>
        <v>0.83808000000000005</v>
      </c>
      <c r="Y20" s="65">
        <f>RTD("fxbluelabs.excelrtd", , "21422436","@bh,CADJPY,h1,close,18")</f>
        <v>106.64700000000001</v>
      </c>
      <c r="Z20" s="64">
        <f>RTD("fxbluelabs.excelrtd", , "21422436","@bh,CADCHF,h1,close,18")</f>
        <v>0.62699000000000005</v>
      </c>
      <c r="AA20" s="65">
        <f>RTD("fxbluelabs.excelrtd", , "21422436","@bh,CHFJPY,h1,close,18")</f>
        <v>170.077</v>
      </c>
      <c r="AB20" s="64">
        <f>RTD("fxbluelabs.excelrtd", , "21422436","@bh,USDCAD,h1,close,18")</f>
        <v>1.3620300000000001</v>
      </c>
      <c r="AC20" s="64">
        <f>RTD("fxbluelabs.excelrtd", , "21422436","@bh,USDCHF,h1,close,18")</f>
        <v>0.85402999999999996</v>
      </c>
      <c r="AD20" s="66">
        <f>RTD("fxbluelabs.excelrtd", , "21422436","@bh,USDJPY,h1,close,18")</f>
        <v>145.262</v>
      </c>
      <c r="AH20" s="56">
        <v>19</v>
      </c>
      <c r="AI20" s="74">
        <f t="shared" ref="AI20:AX28" si="40">IF(C20=0,0,(C20-C21)*100/C21)</f>
        <v>1.4822280852510136E-3</v>
      </c>
      <c r="AJ20" s="74">
        <f t="shared" si="40"/>
        <v>-6.3848806027340501E-3</v>
      </c>
      <c r="AK20" s="74">
        <f t="shared" si="40"/>
        <v>-5.4051297741075394E-2</v>
      </c>
      <c r="AL20" s="74">
        <f t="shared" si="40"/>
        <v>-0.10749146136376583</v>
      </c>
      <c r="AM20" s="74">
        <f t="shared" si="40"/>
        <v>-2.0673296629167136E-2</v>
      </c>
      <c r="AN20" s="74">
        <f t="shared" si="40"/>
        <v>4.7641734159116149E-2</v>
      </c>
      <c r="AO20" s="74">
        <f t="shared" si="40"/>
        <v>3.0354420857440126E-2</v>
      </c>
      <c r="AP20" s="74">
        <f t="shared" si="40"/>
        <v>4.6862003116318045E-2</v>
      </c>
      <c r="AQ20" s="74">
        <f t="shared" si="40"/>
        <v>-5.572787971188891E-2</v>
      </c>
      <c r="AR20" s="74">
        <f t="shared" si="40"/>
        <v>1.2370496366049964E-3</v>
      </c>
      <c r="AS20" s="74">
        <f t="shared" si="40"/>
        <v>4.1846079204309383E-2</v>
      </c>
      <c r="AT20" s="74">
        <f t="shared" si="40"/>
        <v>4.4253172399303785E-2</v>
      </c>
      <c r="AU20" s="74">
        <f t="shared" si="40"/>
        <v>6.1383115039521487E-3</v>
      </c>
      <c r="AV20" s="74">
        <f t="shared" si="40"/>
        <v>0</v>
      </c>
      <c r="AW20" s="74">
        <f t="shared" si="40"/>
        <v>1.8887524790000023E-3</v>
      </c>
      <c r="AX20" s="74">
        <f t="shared" si="40"/>
        <v>-1.1265257382966817E-2</v>
      </c>
      <c r="AY20" s="74">
        <f t="shared" si="39"/>
        <v>-0.10051874854158155</v>
      </c>
      <c r="AZ20" s="74">
        <f t="shared" si="39"/>
        <v>-4.6986030894634427E-2</v>
      </c>
      <c r="BA20" s="74">
        <f t="shared" si="39"/>
        <v>-4.9206544470411132E-2</v>
      </c>
      <c r="BB20" s="74">
        <f t="shared" si="39"/>
        <v>-0.10266159695817204</v>
      </c>
      <c r="BC20" s="74">
        <f t="shared" si="39"/>
        <v>3.2502356420873015E-3</v>
      </c>
      <c r="BD20" s="74">
        <f t="shared" si="39"/>
        <v>-1.4316392269136002E-2</v>
      </c>
      <c r="BE20" s="74">
        <f t="shared" si="39"/>
        <v>-4.1240591989949414E-2</v>
      </c>
      <c r="BF20" s="74">
        <f t="shared" si="39"/>
        <v>-9.5603817779112782E-2</v>
      </c>
      <c r="BG20" s="74">
        <f t="shared" si="39"/>
        <v>4.6471134954533429E-2</v>
      </c>
      <c r="BH20" s="74">
        <f t="shared" si="39"/>
        <v>-1.8351587045237504E-2</v>
      </c>
      <c r="BI20" s="74">
        <f t="shared" si="39"/>
        <v>-0.1052717766366851</v>
      </c>
      <c r="BJ20" s="74">
        <f t="shared" si="39"/>
        <v>-5.2979585658356108E-2</v>
      </c>
      <c r="BN20" s="59">
        <v>19</v>
      </c>
      <c r="BO20" s="78">
        <f t="shared" si="6"/>
        <v>0.19158758766036948</v>
      </c>
      <c r="BP20" s="78">
        <f t="shared" si="2"/>
        <v>-5.3790592746269074E-3</v>
      </c>
      <c r="BQ20" s="78">
        <f t="shared" si="38"/>
        <v>-0.57401215086400148</v>
      </c>
      <c r="BR20" s="78">
        <f t="shared" si="38"/>
        <v>-0.45321925542081543</v>
      </c>
      <c r="BS20" s="78">
        <f t="shared" si="38"/>
        <v>0.23010021830537261</v>
      </c>
      <c r="BT20" s="78">
        <f t="shared" si="38"/>
        <v>0.44147310093836961</v>
      </c>
      <c r="BU20" s="78">
        <f t="shared" si="38"/>
        <v>0.48507414363372903</v>
      </c>
      <c r="BV20" s="78">
        <f t="shared" si="38"/>
        <v>0.24747915118921945</v>
      </c>
      <c r="BW20" s="78">
        <f t="shared" si="38"/>
        <v>-0.20161664134912635</v>
      </c>
      <c r="BX20" s="78">
        <f t="shared" si="38"/>
        <v>-0.31880498059298146</v>
      </c>
      <c r="BY20" s="78">
        <f t="shared" si="38"/>
        <v>0.24598441785278111</v>
      </c>
      <c r="BZ20" s="78">
        <f t="shared" si="38"/>
        <v>0.25043940065482295</v>
      </c>
      <c r="CA20" s="78">
        <f t="shared" si="38"/>
        <v>0.19828775155730446</v>
      </c>
      <c r="CB20" s="78">
        <f t="shared" si="38"/>
        <v>5.2322346950926038E-3</v>
      </c>
      <c r="CC20" s="78">
        <f t="shared" si="38"/>
        <v>6.3316197628815211E-3</v>
      </c>
      <c r="CD20" s="78">
        <f t="shared" si="38"/>
        <v>0.24388474538272223</v>
      </c>
      <c r="CE20" s="78">
        <f t="shared" si="38"/>
        <v>-0.44063852539812159</v>
      </c>
      <c r="CF20" s="78">
        <f t="shared" si="38"/>
        <v>-0.56119543559993723</v>
      </c>
      <c r="CG20" s="78">
        <f t="shared" si="38"/>
        <v>-0.58281542216298277</v>
      </c>
      <c r="CH20" s="78">
        <f t="shared" si="38"/>
        <v>-0.46102162676813396</v>
      </c>
      <c r="CI20" s="78">
        <f t="shared" si="38"/>
        <v>0.19543528991888282</v>
      </c>
      <c r="CJ20" s="78">
        <f t="shared" si="38"/>
        <v>0.2343286654183844</v>
      </c>
      <c r="CK20" s="78">
        <f t="shared" si="38"/>
        <v>-0.81046612822266106</v>
      </c>
      <c r="CL20" s="78">
        <f t="shared" si="38"/>
        <v>-0.69087704319450105</v>
      </c>
      <c r="CM20" s="78">
        <f t="shared" si="37"/>
        <v>-0.12298574263490647</v>
      </c>
      <c r="CN20" s="78">
        <f t="shared" si="37"/>
        <v>4.118961389783192E-2</v>
      </c>
      <c r="CO20" s="78">
        <f t="shared" si="37"/>
        <v>-0.64499427173934687</v>
      </c>
      <c r="CP20" s="78">
        <f t="shared" si="37"/>
        <v>-0.7629422048957254</v>
      </c>
      <c r="CU20" s="56">
        <v>19</v>
      </c>
      <c r="CV20" s="57">
        <f t="shared" si="7"/>
        <v>1.1500285923268141</v>
      </c>
      <c r="CW20" s="57">
        <f t="shared" si="8"/>
        <v>-2.3935305928121666</v>
      </c>
      <c r="CX20" s="57">
        <f t="shared" si="9"/>
        <v>-2.7359205580552022</v>
      </c>
      <c r="CY20" s="57">
        <f t="shared" si="10"/>
        <v>2.0785045780406377</v>
      </c>
      <c r="CZ20" s="57">
        <f t="shared" si="11"/>
        <v>-0.79557676078927753</v>
      </c>
      <c r="DA20" s="57">
        <f t="shared" si="12"/>
        <v>-0.86213931214157535</v>
      </c>
      <c r="DB20" s="57">
        <f t="shared" si="13"/>
        <v>-0.86546505473692725</v>
      </c>
      <c r="DC20" s="57">
        <f t="shared" si="14"/>
        <v>3.7332220649731958</v>
      </c>
      <c r="DF20" s="51">
        <v>19</v>
      </c>
      <c r="DG20" s="52">
        <f t="shared" si="36"/>
        <v>4.118961389783192E-2</v>
      </c>
      <c r="DH20" s="52">
        <f t="shared" si="15"/>
        <v>0.48507414363372903</v>
      </c>
      <c r="DI20" s="52">
        <f t="shared" si="16"/>
        <v>-0.64499427173934687</v>
      </c>
      <c r="DJ20" s="52">
        <f t="shared" si="17"/>
        <v>-0.20161664134912635</v>
      </c>
      <c r="DK20" s="52">
        <f t="shared" si="18"/>
        <v>-0.19828775155730446</v>
      </c>
      <c r="DL20" s="52">
        <f t="shared" si="19"/>
        <v>0.24747915118921945</v>
      </c>
      <c r="DM20" s="52">
        <f t="shared" si="20"/>
        <v>-0.19158758766036948</v>
      </c>
      <c r="DN20" s="52">
        <f t="shared" si="21"/>
        <v>0.24598441785278111</v>
      </c>
      <c r="DO20" s="52">
        <f t="shared" si="22"/>
        <v>-0.19543528991888282</v>
      </c>
      <c r="DP20" s="52">
        <f t="shared" si="23"/>
        <v>0.25043940065482295</v>
      </c>
      <c r="DQ20" s="52">
        <f t="shared" si="24"/>
        <v>-0.7629422048957254</v>
      </c>
      <c r="DR20" s="52">
        <f t="shared" si="25"/>
        <v>-0.31880498059298146</v>
      </c>
      <c r="DS20" s="52">
        <f t="shared" si="26"/>
        <v>-0.44147310093836961</v>
      </c>
      <c r="DT20" s="52">
        <f t="shared" si="27"/>
        <v>0.44147310093836961</v>
      </c>
      <c r="DX20">
        <v>19</v>
      </c>
      <c r="DY20" s="19">
        <f t="shared" si="4"/>
        <v>1.5280655380752393</v>
      </c>
      <c r="EM20" s="21">
        <v>19</v>
      </c>
      <c r="EN20" s="16">
        <f t="shared" si="28"/>
        <v>1.1500285923268141</v>
      </c>
      <c r="EO20" s="16">
        <f t="shared" si="5"/>
        <v>-2.3935305928121666</v>
      </c>
      <c r="EP20" s="16">
        <f t="shared" si="29"/>
        <v>-2.7359205580552022</v>
      </c>
      <c r="EQ20" s="16">
        <f t="shared" si="30"/>
        <v>2.0785045780406377</v>
      </c>
      <c r="ER20" s="16">
        <f t="shared" si="31"/>
        <v>-0.79557676078927753</v>
      </c>
      <c r="ES20" s="16">
        <f t="shared" si="32"/>
        <v>-0.86213931214157535</v>
      </c>
      <c r="ET20" s="16">
        <f t="shared" si="33"/>
        <v>-0.86546505473692725</v>
      </c>
      <c r="EU20" s="16">
        <f t="shared" si="34"/>
        <v>3.7332220649731958</v>
      </c>
      <c r="EW20" s="40">
        <f>'SATORI H4'!EW9</f>
        <v>-9.5463651807000094</v>
      </c>
      <c r="EX20" s="39" t="str">
        <f>'SATORI H4'!EX9</f>
        <v>USD</v>
      </c>
      <c r="FK20" s="20"/>
      <c r="FL20" s="20"/>
    </row>
    <row r="21" spans="1:168" ht="18.600000000000001" thickBot="1" x14ac:dyDescent="0.4">
      <c r="A21" s="37" t="s">
        <v>51</v>
      </c>
      <c r="B21" s="38">
        <v>19</v>
      </c>
      <c r="C21" s="63">
        <f>RTD("fxbluelabs.excelrtd", , "21422436","@bh,AUDUSD,h1,close,19")</f>
        <v>0.67466000000000004</v>
      </c>
      <c r="D21" s="64">
        <f>RTD("fxbluelabs.excelrtd", , "21422436","@bh,AUDNZD,h1,close,19")</f>
        <v>1.0963400000000001</v>
      </c>
      <c r="E21" s="65">
        <f>RTD("fxbluelabs.excelrtd", , "21422436","@bh,AUDJPY,h1,close,19")</f>
        <v>98.055000000000007</v>
      </c>
      <c r="F21" s="64">
        <f>RTD("fxbluelabs.excelrtd", , "21422436","@bh,AUDCHF,h1,close,19")</f>
        <v>0.57679000000000002</v>
      </c>
      <c r="G21" s="64">
        <f>RTD("fxbluelabs.excelrtd", , "21422436","@bh,AUDCAD,h1,close,19")</f>
        <v>0.91905999999999999</v>
      </c>
      <c r="H21" s="64">
        <f>RTD("fxbluelabs.excelrtd", , "21422436","@bh,EURUSD,h1,close,19")</f>
        <v>1.1124700000000001</v>
      </c>
      <c r="I21" s="64">
        <f>RTD("fxbluelabs.excelrtd", , "21422436","@bh,EURCAD,h1,close,19")</f>
        <v>1.5154300000000001</v>
      </c>
      <c r="J21" s="64">
        <f>RTD("fxbluelabs.excelrtd", , "21422436","@bh,EURGBP,h1,close,19")</f>
        <v>0.85357000000000005</v>
      </c>
      <c r="K21" s="64">
        <f>RTD("fxbluelabs.excelrtd", , "21422436","@bh,EURCHF,h1,close,19")</f>
        <v>0.95104999999999995</v>
      </c>
      <c r="L21" s="65">
        <f>RTD("fxbluelabs.excelrtd", , "21422436","@bh,EURJPY,h1,close,19")</f>
        <v>161.67500000000001</v>
      </c>
      <c r="M21" s="64">
        <f>RTD("fxbluelabs.excelrtd", , "21422436","@bh,EURAUD,h1,close,19")</f>
        <v>1.6489</v>
      </c>
      <c r="N21" s="64">
        <f>RTD("fxbluelabs.excelrtd", , "21422436","@bh,EURNZD,h1,close,19")</f>
        <v>1.8077799999999999</v>
      </c>
      <c r="O21" s="64">
        <f>RTD("fxbluelabs.excelrtd", , "21422436","@bh,GBPUSD,h1,close,19")</f>
        <v>1.3032900000000001</v>
      </c>
      <c r="P21" s="64">
        <f>RTD("fxbluelabs.excelrtd", , "21422436","@bh,GBPAUD,h1,close,19")</f>
        <v>1.93174</v>
      </c>
      <c r="Q21" s="64">
        <f>RTD("fxbluelabs.excelrtd", , "21422436","@bh,GBPNZD,h1,close,19")</f>
        <v>2.1177999999999999</v>
      </c>
      <c r="R21" s="64">
        <f>RTD("fxbluelabs.excelrtd", , "21422436","@bh,GBPCAD,h1,close,19")</f>
        <v>1.7753699999999999</v>
      </c>
      <c r="S21" s="64">
        <f>RTD("fxbluelabs.excelrtd", , "21422436","@bh,GBPCHF,h1,close,19")</f>
        <v>1.11422</v>
      </c>
      <c r="T21" s="65">
        <f>RTD("fxbluelabs.excelrtd", , "21422436","@bh,GBPJPY,h1,close,19")</f>
        <v>189.41800000000001</v>
      </c>
      <c r="U21" s="65">
        <f>RTD("fxbluelabs.excelrtd", , "21422436","@bh,NZDJPY,h1,close,19")</f>
        <v>89.418999999999997</v>
      </c>
      <c r="V21" s="64">
        <f>RTD("fxbluelabs.excelrtd", , "21422436","@bh,NZDCHF,h1,close,19")</f>
        <v>0.52600000000000002</v>
      </c>
      <c r="W21" s="64">
        <f>RTD("fxbluelabs.excelrtd", , "21422436","@bh,NZDUSD,h1,close,19")</f>
        <v>0.61534</v>
      </c>
      <c r="X21" s="64">
        <f>RTD("fxbluelabs.excelrtd", , "21422436","@bh,NZDCAD,h1,close,19")</f>
        <v>0.83819999999999995</v>
      </c>
      <c r="Y21" s="65">
        <f>RTD("fxbluelabs.excelrtd", , "21422436","@bh,CADJPY,h1,close,19")</f>
        <v>106.691</v>
      </c>
      <c r="Z21" s="64">
        <f>RTD("fxbluelabs.excelrtd", , "21422436","@bh,CADCHF,h1,close,19")</f>
        <v>0.62758999999999998</v>
      </c>
      <c r="AA21" s="65">
        <f>RTD("fxbluelabs.excelrtd", , "21422436","@bh,CHFJPY,h1,close,19")</f>
        <v>169.99799999999999</v>
      </c>
      <c r="AB21" s="64">
        <f>RTD("fxbluelabs.excelrtd", , "21422436","@bh,USDCAD,h1,close,19")</f>
        <v>1.3622799999999999</v>
      </c>
      <c r="AC21" s="64">
        <f>RTD("fxbluelabs.excelrtd", , "21422436","@bh,USDCHF,h1,close,19")</f>
        <v>0.85492999999999997</v>
      </c>
      <c r="AD21" s="66">
        <f>RTD("fxbluelabs.excelrtd", , "21422436","@bh,USDJPY,h1,close,19")</f>
        <v>145.339</v>
      </c>
      <c r="AH21" s="56">
        <v>20</v>
      </c>
      <c r="AI21" s="75">
        <f t="shared" si="40"/>
        <v>5.9292638818949934E-3</v>
      </c>
      <c r="AJ21" s="75">
        <f t="shared" si="40"/>
        <v>4.3801215483732954E-2</v>
      </c>
      <c r="AK21" s="75">
        <f t="shared" si="40"/>
        <v>-2.3450722894019182E-2</v>
      </c>
      <c r="AL21" s="75">
        <f t="shared" si="40"/>
        <v>-5.8912203489682902E-2</v>
      </c>
      <c r="AM21" s="75">
        <f t="shared" si="40"/>
        <v>1.7412123190764822E-2</v>
      </c>
      <c r="AN21" s="75">
        <f>IF(H21=0,0,(H21-H22)*100/H22)</f>
        <v>3.5069419466235568E-2</v>
      </c>
      <c r="AO21" s="75">
        <f t="shared" si="40"/>
        <v>4.3570971170547673E-2</v>
      </c>
      <c r="AP21" s="75">
        <f t="shared" si="40"/>
        <v>1.2888711831843848E-2</v>
      </c>
      <c r="AQ21" s="75">
        <f t="shared" si="40"/>
        <v>-3.3635704300124872E-2</v>
      </c>
      <c r="AR21" s="75">
        <f t="shared" si="40"/>
        <v>0</v>
      </c>
      <c r="AS21" s="75">
        <f t="shared" si="40"/>
        <v>2.7905170949511476E-2</v>
      </c>
      <c r="AT21" s="75">
        <f t="shared" si="40"/>
        <v>7.196315486470134E-2</v>
      </c>
      <c r="AU21" s="75">
        <f t="shared" si="40"/>
        <v>2.2256331542603494E-2</v>
      </c>
      <c r="AV21" s="75">
        <f t="shared" si="40"/>
        <v>1.3978990095626257E-2</v>
      </c>
      <c r="AW21" s="75">
        <f t="shared" si="40"/>
        <v>5.5276548097689039E-2</v>
      </c>
      <c r="AX21" s="75">
        <f t="shared" si="40"/>
        <v>2.9861846701669977E-2</v>
      </c>
      <c r="AY21" s="75">
        <f t="shared" si="39"/>
        <v>-4.3957621264732662E-2</v>
      </c>
      <c r="AZ21" s="75">
        <f t="shared" si="39"/>
        <v>-1.002971964294486E-2</v>
      </c>
      <c r="BA21" s="75">
        <f t="shared" si="39"/>
        <v>-7.8221904368142886E-2</v>
      </c>
      <c r="BB21" s="75">
        <f t="shared" si="39"/>
        <v>-0.11204162631268719</v>
      </c>
      <c r="BC21" s="75">
        <f t="shared" si="39"/>
        <v>-3.086770750410597E-2</v>
      </c>
      <c r="BD21" s="75">
        <f t="shared" si="39"/>
        <v>-2.7432224514874644E-2</v>
      </c>
      <c r="BE21" s="75">
        <f t="shared" si="39"/>
        <v>-3.8413971442488488E-2</v>
      </c>
      <c r="BF21" s="75">
        <f t="shared" si="39"/>
        <v>-7.3242576228009865E-2</v>
      </c>
      <c r="BG21" s="75">
        <f t="shared" si="39"/>
        <v>3.9427767741011852E-2</v>
      </c>
      <c r="BH21" s="75">
        <f t="shared" si="39"/>
        <v>7.3411737068514431E-3</v>
      </c>
      <c r="BI21" s="75">
        <f t="shared" si="39"/>
        <v>-6.7795817699386904E-2</v>
      </c>
      <c r="BJ21" s="75">
        <f t="shared" si="39"/>
        <v>-3.2327734444855108E-2</v>
      </c>
      <c r="BN21" s="59">
        <v>20</v>
      </c>
      <c r="BO21" s="79">
        <f t="shared" si="6"/>
        <v>0.19010535957511851</v>
      </c>
      <c r="BP21" s="79">
        <f t="shared" si="2"/>
        <v>1.0058213281071357E-3</v>
      </c>
      <c r="BQ21" s="79">
        <f t="shared" si="38"/>
        <v>-0.51996085312292606</v>
      </c>
      <c r="BR21" s="79">
        <f t="shared" si="38"/>
        <v>-0.34572779405704962</v>
      </c>
      <c r="BS21" s="79">
        <f t="shared" si="38"/>
        <v>0.25077351493453981</v>
      </c>
      <c r="BT21" s="79">
        <f t="shared" si="38"/>
        <v>0.39383136677925346</v>
      </c>
      <c r="BU21" s="79">
        <f t="shared" si="38"/>
        <v>0.45471972277628891</v>
      </c>
      <c r="BV21" s="79">
        <f t="shared" si="38"/>
        <v>0.20061714807290137</v>
      </c>
      <c r="BW21" s="79">
        <f t="shared" si="38"/>
        <v>-0.14588876163723746</v>
      </c>
      <c r="BX21" s="79">
        <f t="shared" si="38"/>
        <v>-0.32004203022958644</v>
      </c>
      <c r="BY21" s="79">
        <f t="shared" si="38"/>
        <v>0.20413833864847175</v>
      </c>
      <c r="BZ21" s="79">
        <f t="shared" si="38"/>
        <v>0.20618622825551919</v>
      </c>
      <c r="CA21" s="79">
        <f t="shared" si="38"/>
        <v>0.19214944005335233</v>
      </c>
      <c r="CB21" s="79">
        <f t="shared" si="38"/>
        <v>5.2322346950926073E-3</v>
      </c>
      <c r="CC21" s="79">
        <f t="shared" si="38"/>
        <v>4.4428672838815256E-3</v>
      </c>
      <c r="CD21" s="79">
        <f t="shared" si="38"/>
        <v>0.25515000276568905</v>
      </c>
      <c r="CE21" s="79">
        <f t="shared" si="38"/>
        <v>-0.34011977685654016</v>
      </c>
      <c r="CF21" s="79">
        <f t="shared" si="38"/>
        <v>-0.51420940470530285</v>
      </c>
      <c r="CG21" s="79">
        <f t="shared" si="38"/>
        <v>-0.53360887769257148</v>
      </c>
      <c r="CH21" s="79">
        <f t="shared" si="38"/>
        <v>-0.35836002980996184</v>
      </c>
      <c r="CI21" s="79">
        <f t="shared" si="38"/>
        <v>0.1921850542767955</v>
      </c>
      <c r="CJ21" s="79">
        <f t="shared" si="38"/>
        <v>0.24864505768752043</v>
      </c>
      <c r="CK21" s="79">
        <f t="shared" si="38"/>
        <v>-0.76922553623271162</v>
      </c>
      <c r="CL21" s="79">
        <f t="shared" si="38"/>
        <v>-0.59527322541538841</v>
      </c>
      <c r="CM21" s="79">
        <f t="shared" si="37"/>
        <v>-0.16945687758943984</v>
      </c>
      <c r="CN21" s="79">
        <f t="shared" si="37"/>
        <v>5.9541200943069424E-2</v>
      </c>
      <c r="CO21" s="79">
        <f t="shared" si="37"/>
        <v>-0.53972249510266179</v>
      </c>
      <c r="CP21" s="79">
        <f t="shared" si="37"/>
        <v>-0.70996261923736925</v>
      </c>
      <c r="CU21" s="56">
        <v>20</v>
      </c>
      <c r="CV21" s="58">
        <f t="shared" si="7"/>
        <v>0.99356201266561062</v>
      </c>
      <c r="CW21" s="58">
        <f t="shared" si="8"/>
        <v>-2.1584151340814812</v>
      </c>
      <c r="CX21" s="58">
        <f t="shared" si="9"/>
        <v>-2.6333282607552073</v>
      </c>
      <c r="CY21" s="58">
        <f t="shared" si="10"/>
        <v>1.5603619798740112</v>
      </c>
      <c r="CZ21" s="58">
        <f t="shared" si="11"/>
        <v>-0.59797178483672897</v>
      </c>
      <c r="DA21" s="58">
        <f t="shared" si="12"/>
        <v>-0.63317452468577462</v>
      </c>
      <c r="DB21" s="58">
        <f t="shared" si="13"/>
        <v>-0.66277371240572525</v>
      </c>
      <c r="DC21" s="58">
        <f t="shared" si="14"/>
        <v>3.5364661988099075</v>
      </c>
      <c r="DF21" s="53">
        <v>20</v>
      </c>
      <c r="DG21" s="54">
        <f t="shared" si="36"/>
        <v>5.9541200943069424E-2</v>
      </c>
      <c r="DH21" s="54">
        <f t="shared" si="15"/>
        <v>0.45471972277628891</v>
      </c>
      <c r="DI21" s="54">
        <f t="shared" si="16"/>
        <v>-0.53972249510266179</v>
      </c>
      <c r="DJ21" s="54">
        <f t="shared" si="17"/>
        <v>-0.14588876163723746</v>
      </c>
      <c r="DK21" s="54">
        <f t="shared" si="18"/>
        <v>-0.19214944005335233</v>
      </c>
      <c r="DL21" s="54">
        <f t="shared" si="19"/>
        <v>0.20061714807290137</v>
      </c>
      <c r="DM21" s="54">
        <f t="shared" si="20"/>
        <v>-0.19010535957511851</v>
      </c>
      <c r="DN21" s="54">
        <f t="shared" si="21"/>
        <v>0.20413833864847175</v>
      </c>
      <c r="DO21" s="54">
        <f t="shared" si="22"/>
        <v>-0.1921850542767955</v>
      </c>
      <c r="DP21" s="54">
        <f t="shared" si="23"/>
        <v>0.20618622825551919</v>
      </c>
      <c r="DQ21" s="54">
        <f t="shared" si="24"/>
        <v>-0.70996261923736925</v>
      </c>
      <c r="DR21" s="54">
        <f t="shared" si="25"/>
        <v>-0.32004203022958644</v>
      </c>
      <c r="DS21" s="54">
        <f>-(BT21)</f>
        <v>-0.39383136677925346</v>
      </c>
      <c r="DT21" s="54">
        <f t="shared" si="27"/>
        <v>0.39383136677925346</v>
      </c>
      <c r="DX21">
        <v>20</v>
      </c>
      <c r="DY21" s="19">
        <f t="shared" si="4"/>
        <v>1.4956414216757561</v>
      </c>
      <c r="EM21" s="21">
        <v>20</v>
      </c>
      <c r="EN21" s="16">
        <f t="shared" si="28"/>
        <v>0.99356201266561062</v>
      </c>
      <c r="EO21" s="16">
        <f t="shared" si="5"/>
        <v>-2.1584151340814812</v>
      </c>
      <c r="EP21" s="16">
        <f t="shared" si="29"/>
        <v>-2.6333282607552073</v>
      </c>
      <c r="EQ21" s="16">
        <f t="shared" si="30"/>
        <v>1.5603619798740112</v>
      </c>
      <c r="ER21" s="16">
        <f t="shared" si="31"/>
        <v>-0.59797178483672897</v>
      </c>
      <c r="ES21" s="16">
        <f t="shared" si="32"/>
        <v>-0.63317452468577462</v>
      </c>
      <c r="ET21" s="16">
        <f t="shared" si="33"/>
        <v>-0.66277371240572525</v>
      </c>
      <c r="EU21" s="16">
        <f t="shared" si="34"/>
        <v>3.5364661988099075</v>
      </c>
      <c r="EW21" s="41"/>
      <c r="FK21" s="20"/>
      <c r="FL21" s="20"/>
    </row>
    <row r="22" spans="1:168" ht="18.600000000000001" thickBot="1" x14ac:dyDescent="0.35">
      <c r="A22" s="37" t="s">
        <v>51</v>
      </c>
      <c r="B22" s="38">
        <v>20</v>
      </c>
      <c r="C22" s="63">
        <f>RTD("fxbluelabs.excelrtd", , "21422436","@bh,AUDUSD,h1,close,20")</f>
        <v>0.67462</v>
      </c>
      <c r="D22" s="64">
        <f>RTD("fxbluelabs.excelrtd", , "21422436","@bh,AUDNZD,h1,close,20")</f>
        <v>1.0958600000000001</v>
      </c>
      <c r="E22" s="65">
        <f>RTD("fxbluelabs.excelrtd", , "21422436","@bh,AUDJPY,h1,close,20")</f>
        <v>98.078000000000003</v>
      </c>
      <c r="F22" s="64">
        <f>RTD("fxbluelabs.excelrtd", , "21422436","@bh,AUDCHF,h1,close,20")</f>
        <v>0.57713000000000003</v>
      </c>
      <c r="G22" s="64">
        <f>RTD("fxbluelabs.excelrtd", , "21422436","@bh,AUDCAD,h1,close,20")</f>
        <v>0.91890000000000005</v>
      </c>
      <c r="H22" s="64">
        <f>RTD("fxbluelabs.excelrtd", , "21422436","@bh,EURUSD,h1,close,20")</f>
        <v>1.11208</v>
      </c>
      <c r="I22" s="64">
        <f>RTD("fxbluelabs.excelrtd", , "21422436","@bh,EURCAD,h1,close,20")</f>
        <v>1.5147699999999999</v>
      </c>
      <c r="J22" s="64">
        <f>RTD("fxbluelabs.excelrtd", , "21422436","@bh,EURGBP,h1,close,20")</f>
        <v>0.85346</v>
      </c>
      <c r="K22" s="64">
        <f>RTD("fxbluelabs.excelrtd", , "21422436","@bh,EURCHF,h1,close,20")</f>
        <v>0.95137000000000005</v>
      </c>
      <c r="L22" s="65">
        <f>RTD("fxbluelabs.excelrtd", , "21422436","@bh,EURJPY,h1,close,20")</f>
        <v>161.67500000000001</v>
      </c>
      <c r="M22" s="64">
        <f>RTD("fxbluelabs.excelrtd", , "21422436","@bh,EURAUD,h1,close,20")</f>
        <v>1.6484399999999999</v>
      </c>
      <c r="N22" s="64">
        <f>RTD("fxbluelabs.excelrtd", , "21422436","@bh,EURNZD,h1,close,20")</f>
        <v>1.8064800000000001</v>
      </c>
      <c r="O22" s="64">
        <f>RTD("fxbluelabs.excelrtd", , "21422436","@bh,GBPUSD,h1,close,20")</f>
        <v>1.3029999999999999</v>
      </c>
      <c r="P22" s="64">
        <f>RTD("fxbluelabs.excelrtd", , "21422436","@bh,GBPAUD,h1,close,20")</f>
        <v>1.93147</v>
      </c>
      <c r="Q22" s="64">
        <f>RTD("fxbluelabs.excelrtd", , "21422436","@bh,GBPNZD,h1,close,20")</f>
        <v>2.1166299999999998</v>
      </c>
      <c r="R22" s="64">
        <f>RTD("fxbluelabs.excelrtd", , "21422436","@bh,GBPCAD,h1,close,20")</f>
        <v>1.77484</v>
      </c>
      <c r="S22" s="64">
        <f>RTD("fxbluelabs.excelrtd", , "21422436","@bh,GBPCHF,h1,close,20")</f>
        <v>1.1147100000000001</v>
      </c>
      <c r="T22" s="65">
        <f>RTD("fxbluelabs.excelrtd", , "21422436","@bh,GBPJPY,h1,close,20")</f>
        <v>189.43700000000001</v>
      </c>
      <c r="U22" s="65">
        <f>RTD("fxbluelabs.excelrtd", , "21422436","@bh,NZDJPY,h1,close,20")</f>
        <v>89.489000000000004</v>
      </c>
      <c r="V22" s="64">
        <f>RTD("fxbluelabs.excelrtd", , "21422436","@bh,NZDCHF,h1,close,20")</f>
        <v>0.52659</v>
      </c>
      <c r="W22" s="64">
        <f>RTD("fxbluelabs.excelrtd", , "21422436","@bh,NZDUSD,h1,close,20")</f>
        <v>0.61553000000000002</v>
      </c>
      <c r="X22" s="64">
        <f>RTD("fxbluelabs.excelrtd", , "21422436","@bh,NZDCAD,h1,close,20")</f>
        <v>0.83843000000000001</v>
      </c>
      <c r="Y22" s="65">
        <f>RTD("fxbluelabs.excelrtd", , "21422436","@bh,CADJPY,h1,close,20")</f>
        <v>106.732</v>
      </c>
      <c r="Z22" s="64">
        <f>RTD("fxbluelabs.excelrtd", , "21422436","@bh,CADCHF,h1,close,20")</f>
        <v>0.62805</v>
      </c>
      <c r="AA22" s="65">
        <f>RTD("fxbluelabs.excelrtd", , "21422436","@bh,CHFJPY,h1,close,20")</f>
        <v>169.93100000000001</v>
      </c>
      <c r="AB22" s="64">
        <f>RTD("fxbluelabs.excelrtd", , "21422436","@bh,USDCAD,h1,close,20")</f>
        <v>1.3621799999999999</v>
      </c>
      <c r="AC22" s="64">
        <f>RTD("fxbluelabs.excelrtd", , "21422436","@bh,USDCHF,h1,close,20")</f>
        <v>0.85550999999999999</v>
      </c>
      <c r="AD22" s="66">
        <f>RTD("fxbluelabs.excelrtd", , "21422436","@bh,USDJPY,h1,close,20")</f>
        <v>145.386</v>
      </c>
      <c r="AH22" s="56">
        <v>21</v>
      </c>
      <c r="AI22" s="74">
        <f t="shared" si="40"/>
        <v>0.12318378129684285</v>
      </c>
      <c r="AJ22" s="74">
        <f t="shared" si="40"/>
        <v>-2.554418231246337E-2</v>
      </c>
      <c r="AK22" s="74">
        <f t="shared" si="40"/>
        <v>5.3047150755928744E-2</v>
      </c>
      <c r="AL22" s="74">
        <f t="shared" si="40"/>
        <v>2.9464780920688344E-2</v>
      </c>
      <c r="AM22" s="74">
        <f t="shared" si="40"/>
        <v>5.9890020144830448E-2</v>
      </c>
      <c r="AN22" s="74">
        <f t="shared" si="40"/>
        <v>4.1381047480245486E-2</v>
      </c>
      <c r="AO22" s="74">
        <f t="shared" si="40"/>
        <v>-2.1780740545174673E-2</v>
      </c>
      <c r="AP22" s="74">
        <f t="shared" si="40"/>
        <v>-2.2257365430799914E-2</v>
      </c>
      <c r="AQ22" s="74">
        <f t="shared" si="40"/>
        <v>-5.3578182123786552E-2</v>
      </c>
      <c r="AR22" s="74">
        <f t="shared" si="40"/>
        <v>-2.7207687408395253E-2</v>
      </c>
      <c r="AS22" s="74">
        <f t="shared" si="40"/>
        <v>-8.1828596366821493E-2</v>
      </c>
      <c r="AT22" s="74">
        <f t="shared" si="40"/>
        <v>-0.10838070381101733</v>
      </c>
      <c r="AU22" s="74">
        <f t="shared" si="40"/>
        <v>6.066609840193566E-2</v>
      </c>
      <c r="AV22" s="74">
        <f t="shared" si="40"/>
        <v>-5.9504713808197392E-2</v>
      </c>
      <c r="AW22" s="74">
        <f t="shared" si="40"/>
        <v>-8.6855136017978257E-2</v>
      </c>
      <c r="AX22" s="74">
        <f t="shared" si="40"/>
        <v>-1.1268494416534838E-3</v>
      </c>
      <c r="AY22" s="74">
        <f t="shared" si="39"/>
        <v>-3.2284968656668724E-2</v>
      </c>
      <c r="AZ22" s="74">
        <f t="shared" si="39"/>
        <v>-7.3897736089973574E-3</v>
      </c>
      <c r="BA22" s="74">
        <f t="shared" si="39"/>
        <v>7.1568353368752766E-2</v>
      </c>
      <c r="BB22" s="74">
        <f t="shared" si="39"/>
        <v>4.9398666236018844E-2</v>
      </c>
      <c r="BC22" s="74">
        <f t="shared" si="39"/>
        <v>0.14154166531090967</v>
      </c>
      <c r="BD22" s="74">
        <f t="shared" si="39"/>
        <v>8.116980005968534E-2</v>
      </c>
      <c r="BE22" s="74">
        <f t="shared" si="39"/>
        <v>-8.4316242118776669E-3</v>
      </c>
      <c r="BF22" s="74">
        <f t="shared" si="39"/>
        <v>-3.1834460803816633E-2</v>
      </c>
      <c r="BG22" s="74">
        <f t="shared" si="39"/>
        <v>2.0600838159830138E-2</v>
      </c>
      <c r="BH22" s="74">
        <f t="shared" si="39"/>
        <v>-6.2361063219446192E-2</v>
      </c>
      <c r="BI22" s="74">
        <f t="shared" si="39"/>
        <v>-9.2257386429984517E-2</v>
      </c>
      <c r="BJ22" s="74">
        <f t="shared" si="39"/>
        <v>-6.9422010213970389E-2</v>
      </c>
      <c r="BN22" s="59">
        <v>21</v>
      </c>
      <c r="BO22" s="78">
        <f t="shared" si="6"/>
        <v>0.18417609569322352</v>
      </c>
      <c r="BP22" s="78">
        <f t="shared" si="2"/>
        <v>-4.2795394155625818E-2</v>
      </c>
      <c r="BQ22" s="78">
        <f t="shared" si="38"/>
        <v>-0.49651013022890683</v>
      </c>
      <c r="BR22" s="78">
        <f t="shared" si="38"/>
        <v>-0.28681559056736672</v>
      </c>
      <c r="BS22" s="78">
        <f t="shared" si="38"/>
        <v>0.23336139174377493</v>
      </c>
      <c r="BT22" s="78">
        <f t="shared" si="38"/>
        <v>0.35876194731301791</v>
      </c>
      <c r="BU22" s="78">
        <f t="shared" si="38"/>
        <v>0.41114875160574132</v>
      </c>
      <c r="BV22" s="78">
        <f t="shared" si="38"/>
        <v>0.18772843624105753</v>
      </c>
      <c r="BW22" s="78">
        <f t="shared" si="38"/>
        <v>-0.11225305733711256</v>
      </c>
      <c r="BX22" s="78">
        <f t="shared" si="38"/>
        <v>-0.32004203022958638</v>
      </c>
      <c r="BY22" s="78">
        <f t="shared" si="38"/>
        <v>0.1762331676989603</v>
      </c>
      <c r="BZ22" s="78">
        <f t="shared" si="38"/>
        <v>0.13422307339081785</v>
      </c>
      <c r="CA22" s="78">
        <f t="shared" si="38"/>
        <v>0.16989310851074882</v>
      </c>
      <c r="CB22" s="78">
        <f t="shared" si="38"/>
        <v>-8.7467554005336498E-3</v>
      </c>
      <c r="CC22" s="78">
        <f t="shared" si="38"/>
        <v>-5.0833680813807514E-2</v>
      </c>
      <c r="CD22" s="78">
        <f t="shared" si="38"/>
        <v>0.22528815606401909</v>
      </c>
      <c r="CE22" s="78">
        <f t="shared" si="38"/>
        <v>-0.29616215559180747</v>
      </c>
      <c r="CF22" s="78">
        <f t="shared" si="38"/>
        <v>-0.504179685062358</v>
      </c>
      <c r="CG22" s="78">
        <f t="shared" si="38"/>
        <v>-0.45538697332442868</v>
      </c>
      <c r="CH22" s="78">
        <f t="shared" si="38"/>
        <v>-0.24631840349727468</v>
      </c>
      <c r="CI22" s="78">
        <f t="shared" si="38"/>
        <v>0.22305276178090147</v>
      </c>
      <c r="CJ22" s="78">
        <f t="shared" si="38"/>
        <v>0.27607728220239508</v>
      </c>
      <c r="CK22" s="78">
        <f t="shared" si="38"/>
        <v>-0.73081156479022324</v>
      </c>
      <c r="CL22" s="78">
        <f t="shared" si="38"/>
        <v>-0.52203064918737851</v>
      </c>
      <c r="CM22" s="78">
        <f t="shared" si="37"/>
        <v>-0.20888464533045173</v>
      </c>
      <c r="CN22" s="78">
        <f t="shared" si="37"/>
        <v>5.2200027236217986E-2</v>
      </c>
      <c r="CO22" s="78">
        <f t="shared" si="37"/>
        <v>-0.47192667740327499</v>
      </c>
      <c r="CP22" s="78">
        <f t="shared" si="37"/>
        <v>-0.67763488479251421</v>
      </c>
      <c r="CU22" s="56">
        <v>21</v>
      </c>
      <c r="CV22" s="57">
        <f t="shared" si="7"/>
        <v>0.83580028868289591</v>
      </c>
      <c r="CW22" s="57">
        <f t="shared" si="8"/>
        <v>-2.0332454482574631</v>
      </c>
      <c r="CX22" s="57">
        <f t="shared" si="9"/>
        <v>-2.4509178228297506</v>
      </c>
      <c r="CY22" s="57">
        <f t="shared" si="10"/>
        <v>1.2045912390663847</v>
      </c>
      <c r="CZ22" s="57">
        <f t="shared" si="11"/>
        <v>-0.65246944853479627</v>
      </c>
      <c r="DA22" s="57">
        <f t="shared" si="12"/>
        <v>-0.57607003981332761</v>
      </c>
      <c r="DB22" s="57">
        <f t="shared" si="13"/>
        <v>-0.24316933125979134</v>
      </c>
      <c r="DC22" s="57">
        <f t="shared" si="14"/>
        <v>3.3934499137584688</v>
      </c>
      <c r="DF22" s="51">
        <v>21</v>
      </c>
      <c r="DG22" s="52">
        <f t="shared" si="36"/>
        <v>5.2200027236217986E-2</v>
      </c>
      <c r="DH22" s="52">
        <f t="shared" si="15"/>
        <v>0.41114875160574132</v>
      </c>
      <c r="DI22" s="52">
        <f t="shared" si="16"/>
        <v>-0.47192667740327499</v>
      </c>
      <c r="DJ22" s="52">
        <f t="shared" si="17"/>
        <v>-0.11225305733711256</v>
      </c>
      <c r="DK22" s="52">
        <f t="shared" si="18"/>
        <v>-0.16989310851074882</v>
      </c>
      <c r="DL22" s="52">
        <f t="shared" si="19"/>
        <v>0.18772843624105753</v>
      </c>
      <c r="DM22" s="52">
        <f t="shared" si="20"/>
        <v>-0.18417609569322352</v>
      </c>
      <c r="DN22" s="52">
        <f t="shared" si="21"/>
        <v>0.1762331676989603</v>
      </c>
      <c r="DO22" s="52">
        <f t="shared" si="22"/>
        <v>-0.22305276178090147</v>
      </c>
      <c r="DP22" s="52">
        <f t="shared" si="23"/>
        <v>0.13422307339081785</v>
      </c>
      <c r="DQ22" s="52">
        <f t="shared" si="24"/>
        <v>-0.67763488479251421</v>
      </c>
      <c r="DR22" s="52">
        <f t="shared" si="25"/>
        <v>-0.32004203022958638</v>
      </c>
      <c r="DS22" s="52">
        <f t="shared" si="26"/>
        <v>-0.35876194731301791</v>
      </c>
      <c r="DT22" s="52">
        <f t="shared" si="27"/>
        <v>0.35876194731301791</v>
      </c>
      <c r="DX22">
        <v>21</v>
      </c>
      <c r="DY22" s="19">
        <f t="shared" si="4"/>
        <v>1.7900761169976718</v>
      </c>
      <c r="EM22" s="13">
        <v>21</v>
      </c>
      <c r="EN22" s="16">
        <f t="shared" si="28"/>
        <v>0.83580028868289591</v>
      </c>
      <c r="EO22" s="16">
        <f t="shared" si="5"/>
        <v>-2.0332454482574631</v>
      </c>
      <c r="EP22" s="16">
        <f t="shared" si="29"/>
        <v>-2.4509178228297506</v>
      </c>
      <c r="EQ22" s="16">
        <f t="shared" si="30"/>
        <v>1.2045912390663847</v>
      </c>
      <c r="ER22" s="16">
        <f t="shared" si="31"/>
        <v>-0.65246944853479627</v>
      </c>
      <c r="ES22" s="16">
        <f t="shared" si="32"/>
        <v>-0.57607003981332761</v>
      </c>
      <c r="ET22" s="16">
        <f t="shared" si="33"/>
        <v>-0.24316933125979134</v>
      </c>
      <c r="EU22" s="16">
        <f t="shared" si="34"/>
        <v>3.3934499137584688</v>
      </c>
      <c r="EW22" s="42" t="s">
        <v>54</v>
      </c>
      <c r="FK22" s="20"/>
      <c r="FL22" s="20"/>
    </row>
    <row r="23" spans="1:168" ht="18.600000000000001" thickBot="1" x14ac:dyDescent="0.4">
      <c r="A23" s="37" t="s">
        <v>51</v>
      </c>
      <c r="B23" s="38">
        <v>21</v>
      </c>
      <c r="C23" s="63">
        <f>RTD("fxbluelabs.excelrtd", , "21422436","@bh,AUDUSD,h1,close,21")</f>
        <v>0.67379</v>
      </c>
      <c r="D23" s="64">
        <f>RTD("fxbluelabs.excelrtd", , "21422436","@bh,AUDNZD,h1,close,21")</f>
        <v>1.0961399999999999</v>
      </c>
      <c r="E23" s="65">
        <f>RTD("fxbluelabs.excelrtd", , "21422436","@bh,AUDJPY,h1,close,21")</f>
        <v>98.025999999999996</v>
      </c>
      <c r="F23" s="64">
        <f>RTD("fxbluelabs.excelrtd", , "21422436","@bh,AUDCHF,h1,close,21")</f>
        <v>0.57696000000000003</v>
      </c>
      <c r="G23" s="64">
        <f>RTD("fxbluelabs.excelrtd", , "21422436","@bh,AUDCAD,h1,close,21")</f>
        <v>0.91835</v>
      </c>
      <c r="H23" s="64">
        <f>RTD("fxbluelabs.excelrtd", , "21422436","@bh,EURUSD,h1,close,21")</f>
        <v>1.1116200000000001</v>
      </c>
      <c r="I23" s="64">
        <f>RTD("fxbluelabs.excelrtd", , "21422436","@bh,EURCAD,h1,close,21")</f>
        <v>1.5150999999999999</v>
      </c>
      <c r="J23" s="64">
        <f>RTD("fxbluelabs.excelrtd", , "21422436","@bh,EURGBP,h1,close,21")</f>
        <v>0.85365000000000002</v>
      </c>
      <c r="K23" s="64">
        <f>RTD("fxbluelabs.excelrtd", , "21422436","@bh,EURCHF,h1,close,21")</f>
        <v>0.95187999999999995</v>
      </c>
      <c r="L23" s="65">
        <f>RTD("fxbluelabs.excelrtd", , "21422436","@bh,EURJPY,h1,close,21")</f>
        <v>161.71899999999999</v>
      </c>
      <c r="M23" s="64">
        <f>RTD("fxbluelabs.excelrtd", , "21422436","@bh,EURAUD,h1,close,21")</f>
        <v>1.6497900000000001</v>
      </c>
      <c r="N23" s="64">
        <f>RTD("fxbluelabs.excelrtd", , "21422436","@bh,EURNZD,h1,close,21")</f>
        <v>1.80844</v>
      </c>
      <c r="O23" s="64">
        <f>RTD("fxbluelabs.excelrtd", , "21422436","@bh,GBPUSD,h1,close,21")</f>
        <v>1.3022100000000001</v>
      </c>
      <c r="P23" s="64">
        <f>RTD("fxbluelabs.excelrtd", , "21422436","@bh,GBPAUD,h1,close,21")</f>
        <v>1.93262</v>
      </c>
      <c r="Q23" s="64">
        <f>RTD("fxbluelabs.excelrtd", , "21422436","@bh,GBPNZD,h1,close,21")</f>
        <v>2.1184699999999999</v>
      </c>
      <c r="R23" s="64">
        <f>RTD("fxbluelabs.excelrtd", , "21422436","@bh,GBPCAD,h1,close,21")</f>
        <v>1.7748600000000001</v>
      </c>
      <c r="S23" s="64">
        <f>RTD("fxbluelabs.excelrtd", , "21422436","@bh,GBPCHF,h1,close,21")</f>
        <v>1.11507</v>
      </c>
      <c r="T23" s="65">
        <f>RTD("fxbluelabs.excelrtd", , "21422436","@bh,GBPJPY,h1,close,21")</f>
        <v>189.45099999999999</v>
      </c>
      <c r="U23" s="65">
        <f>RTD("fxbluelabs.excelrtd", , "21422436","@bh,NZDJPY,h1,close,21")</f>
        <v>89.424999999999997</v>
      </c>
      <c r="V23" s="64">
        <f>RTD("fxbluelabs.excelrtd", , "21422436","@bh,NZDCHF,h1,close,21")</f>
        <v>0.52632999999999996</v>
      </c>
      <c r="W23" s="64">
        <f>RTD("fxbluelabs.excelrtd", , "21422436","@bh,NZDUSD,h1,close,21")</f>
        <v>0.61465999999999998</v>
      </c>
      <c r="X23" s="64">
        <f>RTD("fxbluelabs.excelrtd", , "21422436","@bh,NZDCAD,h1,close,21")</f>
        <v>0.83774999999999999</v>
      </c>
      <c r="Y23" s="65">
        <f>RTD("fxbluelabs.excelrtd", , "21422436","@bh,CADJPY,h1,close,21")</f>
        <v>106.741</v>
      </c>
      <c r="Z23" s="64">
        <f>RTD("fxbluelabs.excelrtd", , "21422436","@bh,CADCHF,h1,close,21")</f>
        <v>0.62824999999999998</v>
      </c>
      <c r="AA23" s="65">
        <f>RTD("fxbluelabs.excelrtd", , "21422436","@bh,CHFJPY,h1,close,21")</f>
        <v>169.89599999999999</v>
      </c>
      <c r="AB23" s="64">
        <f>RTD("fxbluelabs.excelrtd", , "21422436","@bh,USDCAD,h1,close,21")</f>
        <v>1.36303</v>
      </c>
      <c r="AC23" s="64">
        <f>RTD("fxbluelabs.excelrtd", , "21422436","@bh,USDCHF,h1,close,21")</f>
        <v>0.85629999999999995</v>
      </c>
      <c r="AD23" s="66">
        <f>RTD("fxbluelabs.excelrtd", , "21422436","@bh,USDJPY,h1,close,21")</f>
        <v>145.48699999999999</v>
      </c>
      <c r="AH23" s="56">
        <v>22</v>
      </c>
      <c r="AI23" s="75">
        <f t="shared" si="40"/>
        <v>2.2267086277534511E-2</v>
      </c>
      <c r="AJ23" s="75">
        <f t="shared" si="40"/>
        <v>-4.5612530674523132E-3</v>
      </c>
      <c r="AK23" s="75">
        <f t="shared" si="40"/>
        <v>8.3721310136397969E-2</v>
      </c>
      <c r="AL23" s="75">
        <f t="shared" si="40"/>
        <v>3.8145438152373333E-2</v>
      </c>
      <c r="AM23" s="75">
        <f t="shared" si="40"/>
        <v>1.5247056773508129E-2</v>
      </c>
      <c r="AN23" s="75">
        <f t="shared" si="40"/>
        <v>1.079622132254791E-2</v>
      </c>
      <c r="AO23" s="75">
        <f t="shared" si="40"/>
        <v>6.6006600660058739E-3</v>
      </c>
      <c r="AP23" s="75">
        <f t="shared" si="40"/>
        <v>3.5155563367899094E-2</v>
      </c>
      <c r="AQ23" s="75">
        <f t="shared" si="40"/>
        <v>2.7321830142276009E-2</v>
      </c>
      <c r="AR23" s="75">
        <f t="shared" si="40"/>
        <v>7.2400094058235803E-2</v>
      </c>
      <c r="AS23" s="75">
        <f t="shared" si="40"/>
        <v>-8.485208463377655E-3</v>
      </c>
      <c r="AT23" s="75">
        <f t="shared" si="40"/>
        <v>-1.3269345600107148E-2</v>
      </c>
      <c r="AU23" s="75">
        <f t="shared" si="40"/>
        <v>-2.3800018425806164E-2</v>
      </c>
      <c r="AV23" s="75">
        <f t="shared" si="40"/>
        <v>-4.4479384322572917E-2</v>
      </c>
      <c r="AW23" s="75">
        <f t="shared" si="40"/>
        <v>-4.8596367067708722E-2</v>
      </c>
      <c r="AX23" s="75">
        <f t="shared" si="40"/>
        <v>-2.8726406326556628E-2</v>
      </c>
      <c r="AY23" s="75">
        <f t="shared" si="39"/>
        <v>-7.1739227906631392E-3</v>
      </c>
      <c r="AZ23" s="75">
        <f t="shared" si="39"/>
        <v>3.9603751267314038E-2</v>
      </c>
      <c r="BA23" s="75">
        <f t="shared" si="39"/>
        <v>9.5142153570622057E-2</v>
      </c>
      <c r="BB23" s="75">
        <f t="shared" si="39"/>
        <v>4.7521289537707664E-2</v>
      </c>
      <c r="BC23" s="75">
        <f t="shared" si="39"/>
        <v>3.0920956271261981E-2</v>
      </c>
      <c r="BD23" s="75">
        <f t="shared" si="39"/>
        <v>2.6267715783314983E-2</v>
      </c>
      <c r="BE23" s="75">
        <f t="shared" si="39"/>
        <v>6.8436644541936931E-2</v>
      </c>
      <c r="BF23" s="75">
        <f t="shared" si="39"/>
        <v>2.0696682162638265E-2</v>
      </c>
      <c r="BG23" s="75">
        <f t="shared" si="39"/>
        <v>5.0055650105104814E-2</v>
      </c>
      <c r="BH23" s="75">
        <f t="shared" si="39"/>
        <v>-4.4017636399613369E-3</v>
      </c>
      <c r="BI23" s="75">
        <f t="shared" si="39"/>
        <v>1.4015744352811086E-2</v>
      </c>
      <c r="BJ23" s="75">
        <f t="shared" si="39"/>
        <v>6.1899488985332173E-2</v>
      </c>
      <c r="BN23" s="59">
        <v>22</v>
      </c>
      <c r="BO23" s="79">
        <f t="shared" si="6"/>
        <v>6.099231439638067E-2</v>
      </c>
      <c r="BP23" s="79">
        <f t="shared" si="2"/>
        <v>-1.7251211843162449E-2</v>
      </c>
      <c r="BQ23" s="79">
        <f t="shared" si="38"/>
        <v>-0.54955728098483558</v>
      </c>
      <c r="BR23" s="79">
        <f t="shared" si="38"/>
        <v>-0.3162803714880551</v>
      </c>
      <c r="BS23" s="79">
        <f t="shared" si="38"/>
        <v>0.17347137159894449</v>
      </c>
      <c r="BT23" s="79">
        <f t="shared" si="38"/>
        <v>0.31738089983277246</v>
      </c>
      <c r="BU23" s="79">
        <f t="shared" si="38"/>
        <v>0.43292949215091597</v>
      </c>
      <c r="BV23" s="79">
        <f t="shared" si="38"/>
        <v>0.20998580167185746</v>
      </c>
      <c r="BW23" s="79">
        <f t="shared" si="38"/>
        <v>-5.8674875213326018E-2</v>
      </c>
      <c r="BX23" s="79">
        <f t="shared" si="38"/>
        <v>-0.29283434282119114</v>
      </c>
      <c r="BY23" s="79">
        <f t="shared" si="38"/>
        <v>0.2580617640657818</v>
      </c>
      <c r="BZ23" s="79">
        <f t="shared" si="38"/>
        <v>0.24260377720183521</v>
      </c>
      <c r="CA23" s="79">
        <f t="shared" si="38"/>
        <v>0.10922701010881318</v>
      </c>
      <c r="CB23" s="79">
        <f t="shared" si="38"/>
        <v>5.0757958407663735E-2</v>
      </c>
      <c r="CC23" s="79">
        <f t="shared" si="38"/>
        <v>3.6021455204170751E-2</v>
      </c>
      <c r="CD23" s="79">
        <f t="shared" ref="CD23:CP28" si="41">AX23+SUM(AX24:AX58)</f>
        <v>0.22641500550567259</v>
      </c>
      <c r="CE23" s="79">
        <f t="shared" si="41"/>
        <v>-0.26387718693513867</v>
      </c>
      <c r="CF23" s="79">
        <f t="shared" si="41"/>
        <v>-0.49678991145336066</v>
      </c>
      <c r="CG23" s="79">
        <f t="shared" si="41"/>
        <v>-0.52695532669318146</v>
      </c>
      <c r="CH23" s="79">
        <f t="shared" si="41"/>
        <v>-0.29571706973329348</v>
      </c>
      <c r="CI23" s="79">
        <f t="shared" si="41"/>
        <v>8.1511096469991814E-2</v>
      </c>
      <c r="CJ23" s="79">
        <f t="shared" si="41"/>
        <v>0.19490748214270973</v>
      </c>
      <c r="CK23" s="79">
        <f t="shared" si="41"/>
        <v>-0.72237994057834554</v>
      </c>
      <c r="CL23" s="79">
        <f t="shared" si="41"/>
        <v>-0.49019618838356188</v>
      </c>
      <c r="CM23" s="79">
        <f t="shared" si="37"/>
        <v>-0.22948548349028186</v>
      </c>
      <c r="CN23" s="79">
        <f t="shared" si="37"/>
        <v>0.11456109045566418</v>
      </c>
      <c r="CO23" s="79">
        <f t="shared" si="37"/>
        <v>-0.37966929097329039</v>
      </c>
      <c r="CP23" s="79">
        <f t="shared" si="37"/>
        <v>-0.60821287457854378</v>
      </c>
      <c r="CU23" s="56">
        <v>22</v>
      </c>
      <c r="CV23" s="58">
        <f t="shared" si="7"/>
        <v>1.1094525168886458</v>
      </c>
      <c r="CW23" s="58">
        <f t="shared" si="8"/>
        <v>-1.4424323959041281</v>
      </c>
      <c r="CX23" s="58">
        <f t="shared" si="9"/>
        <v>-2.3548605708158146</v>
      </c>
      <c r="CY23" s="58">
        <f t="shared" si="10"/>
        <v>1.0847333108528217</v>
      </c>
      <c r="CZ23" s="58">
        <f t="shared" si="11"/>
        <v>-0.54823147083403656</v>
      </c>
      <c r="DA23" s="58">
        <f t="shared" si="12"/>
        <v>-0.95744490079417355</v>
      </c>
      <c r="DB23" s="58">
        <f t="shared" si="13"/>
        <v>-0.807627838376617</v>
      </c>
      <c r="DC23" s="58">
        <f t="shared" si="14"/>
        <v>3.4262151605997402</v>
      </c>
      <c r="DF23" s="53">
        <v>22</v>
      </c>
      <c r="DG23" s="54">
        <f t="shared" si="36"/>
        <v>0.11456109045566418</v>
      </c>
      <c r="DH23" s="54">
        <f t="shared" si="15"/>
        <v>0.43292949215091597</v>
      </c>
      <c r="DI23" s="54">
        <f t="shared" si="16"/>
        <v>-0.37966929097329039</v>
      </c>
      <c r="DJ23" s="54">
        <f t="shared" si="17"/>
        <v>-5.8674875213326018E-2</v>
      </c>
      <c r="DK23" s="54">
        <f t="shared" si="18"/>
        <v>-0.10922701010881318</v>
      </c>
      <c r="DL23" s="54">
        <f t="shared" si="19"/>
        <v>0.20998580167185746</v>
      </c>
      <c r="DM23" s="54">
        <f t="shared" si="20"/>
        <v>-6.099231439638067E-2</v>
      </c>
      <c r="DN23" s="54">
        <f t="shared" si="21"/>
        <v>0.2580617640657818</v>
      </c>
      <c r="DO23" s="54">
        <f t="shared" si="22"/>
        <v>-8.1511096469991814E-2</v>
      </c>
      <c r="DP23" s="54">
        <f t="shared" si="23"/>
        <v>0.24260377720183521</v>
      </c>
      <c r="DQ23" s="54">
        <f t="shared" si="24"/>
        <v>-0.60821287457854378</v>
      </c>
      <c r="DR23" s="54">
        <f t="shared" si="25"/>
        <v>-0.29283434282119114</v>
      </c>
      <c r="DS23" s="54">
        <f t="shared" si="26"/>
        <v>-0.31738089983277246</v>
      </c>
      <c r="DT23" s="54">
        <f t="shared" si="27"/>
        <v>0.31738089983277246</v>
      </c>
      <c r="DX23">
        <v>22</v>
      </c>
      <c r="DY23" s="19">
        <f t="shared" si="4"/>
        <v>0.63480455752751108</v>
      </c>
      <c r="EM23" s="21">
        <v>22</v>
      </c>
      <c r="EN23" s="16">
        <f t="shared" si="28"/>
        <v>1.1094525168886458</v>
      </c>
      <c r="EO23" s="16">
        <f t="shared" si="5"/>
        <v>-1.4424323959041281</v>
      </c>
      <c r="EP23" s="16">
        <f t="shared" si="29"/>
        <v>-2.3548605708158146</v>
      </c>
      <c r="EQ23" s="16">
        <f t="shared" si="30"/>
        <v>1.0847333108528217</v>
      </c>
      <c r="ER23" s="16">
        <f t="shared" si="31"/>
        <v>-0.54823147083403656</v>
      </c>
      <c r="ES23" s="16">
        <f t="shared" si="32"/>
        <v>-0.95744490079417355</v>
      </c>
      <c r="ET23" s="16">
        <f t="shared" si="33"/>
        <v>-0.807627838376617</v>
      </c>
      <c r="EU23" s="16">
        <f t="shared" si="34"/>
        <v>3.4262151605997402</v>
      </c>
      <c r="EW23" s="40">
        <f>'SATORI (D)'!EW2</f>
        <v>46.786309267096208</v>
      </c>
      <c r="EX23" s="39" t="str">
        <f>'SATORI (D)'!EX2</f>
        <v>JPY</v>
      </c>
      <c r="FK23" s="20"/>
      <c r="FL23" s="20"/>
    </row>
    <row r="24" spans="1:168" ht="18.600000000000001" thickBot="1" x14ac:dyDescent="0.4">
      <c r="A24" s="37" t="s">
        <v>51</v>
      </c>
      <c r="B24" s="38">
        <v>22</v>
      </c>
      <c r="C24" s="63">
        <f>RTD("fxbluelabs.excelrtd", , "21422436","@bh,AUDUSD,h1,close,22")</f>
        <v>0.67364000000000002</v>
      </c>
      <c r="D24" s="64">
        <f>RTD("fxbluelabs.excelrtd", , "21422436","@bh,AUDNZD,h1,close,22")</f>
        <v>1.09619</v>
      </c>
      <c r="E24" s="65">
        <f>RTD("fxbluelabs.excelrtd", , "21422436","@bh,AUDJPY,h1,close,22")</f>
        <v>97.944000000000003</v>
      </c>
      <c r="F24" s="64">
        <f>RTD("fxbluelabs.excelrtd", , "21422436","@bh,AUDCHF,h1,close,22")</f>
        <v>0.57674000000000003</v>
      </c>
      <c r="G24" s="64">
        <f>RTD("fxbluelabs.excelrtd", , "21422436","@bh,AUDCAD,h1,close,22")</f>
        <v>0.91820999999999997</v>
      </c>
      <c r="H24" s="64">
        <f>RTD("fxbluelabs.excelrtd", , "21422436","@bh,EURUSD,h1,close,22")</f>
        <v>1.1114999999999999</v>
      </c>
      <c r="I24" s="64">
        <f>RTD("fxbluelabs.excelrtd", , "21422436","@bh,EURCAD,h1,close,22")</f>
        <v>1.5149999999999999</v>
      </c>
      <c r="J24" s="64">
        <f>RTD("fxbluelabs.excelrtd", , "21422436","@bh,EURGBP,h1,close,22")</f>
        <v>0.85335000000000005</v>
      </c>
      <c r="K24" s="64">
        <f>RTD("fxbluelabs.excelrtd", , "21422436","@bh,EURCHF,h1,close,22")</f>
        <v>0.95162000000000002</v>
      </c>
      <c r="L24" s="65">
        <f>RTD("fxbluelabs.excelrtd", , "21422436","@bh,EURJPY,h1,close,22")</f>
        <v>161.602</v>
      </c>
      <c r="M24" s="64">
        <f>RTD("fxbluelabs.excelrtd", , "21422436","@bh,EURAUD,h1,close,22")</f>
        <v>1.6499299999999999</v>
      </c>
      <c r="N24" s="64">
        <f>RTD("fxbluelabs.excelrtd", , "21422436","@bh,EURNZD,h1,close,22")</f>
        <v>1.8086800000000001</v>
      </c>
      <c r="O24" s="64">
        <f>RTD("fxbluelabs.excelrtd", , "21422436","@bh,GBPUSD,h1,close,22")</f>
        <v>1.3025199999999999</v>
      </c>
      <c r="P24" s="64">
        <f>RTD("fxbluelabs.excelrtd", , "21422436","@bh,GBPAUD,h1,close,22")</f>
        <v>1.9334800000000001</v>
      </c>
      <c r="Q24" s="64">
        <f>RTD("fxbluelabs.excelrtd", , "21422436","@bh,GBPNZD,h1,close,22")</f>
        <v>2.1194999999999999</v>
      </c>
      <c r="R24" s="64">
        <f>RTD("fxbluelabs.excelrtd", , "21422436","@bh,GBPCAD,h1,close,22")</f>
        <v>1.7753699999999999</v>
      </c>
      <c r="S24" s="64">
        <f>RTD("fxbluelabs.excelrtd", , "21422436","@bh,GBPCHF,h1,close,22")</f>
        <v>1.1151500000000001</v>
      </c>
      <c r="T24" s="65">
        <f>RTD("fxbluelabs.excelrtd", , "21422436","@bh,GBPJPY,h1,close,22")</f>
        <v>189.376</v>
      </c>
      <c r="U24" s="65">
        <f>RTD("fxbluelabs.excelrtd", , "21422436","@bh,NZDJPY,h1,close,22")</f>
        <v>89.34</v>
      </c>
      <c r="V24" s="64">
        <f>RTD("fxbluelabs.excelrtd", , "21422436","@bh,NZDCHF,h1,close,22")</f>
        <v>0.52607999999999999</v>
      </c>
      <c r="W24" s="64">
        <f>RTD("fxbluelabs.excelrtd", , "21422436","@bh,NZDUSD,h1,close,22")</f>
        <v>0.61446999999999996</v>
      </c>
      <c r="X24" s="64">
        <f>RTD("fxbluelabs.excelrtd", , "21422436","@bh,NZDCAD,h1,close,22")</f>
        <v>0.83753</v>
      </c>
      <c r="Y24" s="65">
        <f>RTD("fxbluelabs.excelrtd", , "21422436","@bh,CADJPY,h1,close,22")</f>
        <v>106.66800000000001</v>
      </c>
      <c r="Z24" s="64">
        <f>RTD("fxbluelabs.excelrtd", , "21422436","@bh,CADCHF,h1,close,22")</f>
        <v>0.62812000000000001</v>
      </c>
      <c r="AA24" s="65">
        <f>RTD("fxbluelabs.excelrtd", , "21422436","@bh,CHFJPY,h1,close,22")</f>
        <v>169.81100000000001</v>
      </c>
      <c r="AB24" s="64">
        <f>RTD("fxbluelabs.excelrtd", , "21422436","@bh,USDCAD,h1,close,22")</f>
        <v>1.3630899999999999</v>
      </c>
      <c r="AC24" s="64">
        <f>RTD("fxbluelabs.excelrtd", , "21422436","@bh,USDCHF,h1,close,22")</f>
        <v>0.85618000000000005</v>
      </c>
      <c r="AD24" s="66">
        <f>RTD("fxbluelabs.excelrtd", , "21422436","@bh,USDJPY,h1,close,22")</f>
        <v>145.39699999999999</v>
      </c>
      <c r="AH24" s="56">
        <v>23</v>
      </c>
      <c r="AI24" s="74">
        <f t="shared" si="40"/>
        <v>-5.0446600789341961E-2</v>
      </c>
      <c r="AJ24" s="74">
        <f t="shared" si="40"/>
        <v>-8.0213660021693417E-2</v>
      </c>
      <c r="AK24" s="74">
        <f t="shared" si="40"/>
        <v>-0.25866107252692588</v>
      </c>
      <c r="AL24" s="74">
        <f t="shared" si="40"/>
        <v>-0.23007594235991186</v>
      </c>
      <c r="AM24" s="74">
        <f t="shared" si="40"/>
        <v>-5.4424138193777789E-2</v>
      </c>
      <c r="AN24" s="74">
        <f t="shared" si="40"/>
        <v>8.7345681791569374E-2</v>
      </c>
      <c r="AO24" s="74">
        <f t="shared" si="40"/>
        <v>8.3898713773254294E-2</v>
      </c>
      <c r="AP24" s="74">
        <f t="shared" si="40"/>
        <v>9.501020479978517E-2</v>
      </c>
      <c r="AQ24" s="74">
        <f t="shared" si="40"/>
        <v>-8.9241655905174688E-2</v>
      </c>
      <c r="AR24" s="74">
        <f t="shared" si="40"/>
        <v>-0.12299058720278853</v>
      </c>
      <c r="AS24" s="74">
        <f t="shared" si="40"/>
        <v>0.1365556418721999</v>
      </c>
      <c r="AT24" s="74">
        <f t="shared" si="40"/>
        <v>5.8087108534379012E-2</v>
      </c>
      <c r="AU24" s="74">
        <f t="shared" si="40"/>
        <v>-6.9092053646252916E-3</v>
      </c>
      <c r="AV24" s="74">
        <f t="shared" si="40"/>
        <v>4.2946213747968254E-2</v>
      </c>
      <c r="AW24" s="74">
        <f t="shared" si="40"/>
        <v>-3.5844660560501729E-2</v>
      </c>
      <c r="AX24" s="74">
        <f t="shared" si="40"/>
        <v>-9.574551967289022E-3</v>
      </c>
      <c r="AY24" s="74">
        <f t="shared" si="39"/>
        <v>-0.1852813232845828</v>
      </c>
      <c r="AZ24" s="74">
        <f t="shared" si="39"/>
        <v>-0.21445545702195787</v>
      </c>
      <c r="BA24" s="74">
        <f t="shared" si="39"/>
        <v>-0.18657758611058531</v>
      </c>
      <c r="BB24" s="74">
        <f t="shared" si="39"/>
        <v>-0.15752215748419984</v>
      </c>
      <c r="BC24" s="74">
        <f t="shared" si="39"/>
        <v>2.1160920662819202E-2</v>
      </c>
      <c r="BD24" s="74">
        <f t="shared" si="39"/>
        <v>1.7913014402061608E-2</v>
      </c>
      <c r="BE24" s="74">
        <f t="shared" si="39"/>
        <v>-0.20302193946765096</v>
      </c>
      <c r="BF24" s="74">
        <f t="shared" si="39"/>
        <v>-0.17481961793966974</v>
      </c>
      <c r="BG24" s="74">
        <f t="shared" si="39"/>
        <v>-3.4732442455994286E-2</v>
      </c>
      <c r="BH24" s="74">
        <f t="shared" si="39"/>
        <v>-4.4015698932744762E-3</v>
      </c>
      <c r="BI24" s="74">
        <f t="shared" si="39"/>
        <v>-0.17605428534784134</v>
      </c>
      <c r="BJ24" s="74">
        <f t="shared" si="39"/>
        <v>-0.20590677913753294</v>
      </c>
      <c r="BN24" s="59">
        <v>23</v>
      </c>
      <c r="BO24" s="78">
        <f t="shared" si="6"/>
        <v>3.8725228118846156E-2</v>
      </c>
      <c r="BP24" s="78">
        <f t="shared" si="2"/>
        <v>-1.2689958775710136E-2</v>
      </c>
      <c r="BQ24" s="78">
        <f t="shared" ref="BQ24:CC28" si="42">AK24+SUM(AK25:AK59)</f>
        <v>-0.63327859112123364</v>
      </c>
      <c r="BR24" s="78">
        <f t="shared" si="42"/>
        <v>-0.35442580964042841</v>
      </c>
      <c r="BS24" s="78">
        <f t="shared" si="42"/>
        <v>0.15822431482543636</v>
      </c>
      <c r="BT24" s="78">
        <f t="shared" si="42"/>
        <v>0.30658467851022453</v>
      </c>
      <c r="BU24" s="78">
        <f t="shared" si="42"/>
        <v>0.42632883208491013</v>
      </c>
      <c r="BV24" s="78">
        <f t="shared" si="42"/>
        <v>0.17483023830395839</v>
      </c>
      <c r="BW24" s="78">
        <f t="shared" si="42"/>
        <v>-8.5996705355602027E-2</v>
      </c>
      <c r="BX24" s="78">
        <f t="shared" si="42"/>
        <v>-0.36523443687942697</v>
      </c>
      <c r="BY24" s="78">
        <f t="shared" si="42"/>
        <v>0.26654697252915938</v>
      </c>
      <c r="BZ24" s="78">
        <f t="shared" si="42"/>
        <v>0.2558731228019423</v>
      </c>
      <c r="CA24" s="78">
        <f t="shared" si="42"/>
        <v>0.13302702853461931</v>
      </c>
      <c r="CB24" s="78">
        <f t="shared" si="42"/>
        <v>9.5237342730236652E-2</v>
      </c>
      <c r="CC24" s="78">
        <f t="shared" si="42"/>
        <v>8.4617822271879473E-2</v>
      </c>
      <c r="CD24" s="78">
        <f t="shared" si="41"/>
        <v>0.25514141183222921</v>
      </c>
      <c r="CE24" s="78">
        <f t="shared" si="41"/>
        <v>-0.25670326414447553</v>
      </c>
      <c r="CF24" s="78">
        <f t="shared" si="41"/>
        <v>-0.53639366272067468</v>
      </c>
      <c r="CG24" s="78">
        <f t="shared" si="41"/>
        <v>-0.6220974802638034</v>
      </c>
      <c r="CH24" s="78">
        <f t="shared" si="41"/>
        <v>-0.34323835927100116</v>
      </c>
      <c r="CI24" s="78">
        <f t="shared" si="41"/>
        <v>5.059014019872983E-2</v>
      </c>
      <c r="CJ24" s="78">
        <f t="shared" si="41"/>
        <v>0.16863976635939473</v>
      </c>
      <c r="CK24" s="78">
        <f t="shared" si="41"/>
        <v>-0.79081658512028241</v>
      </c>
      <c r="CL24" s="78">
        <f t="shared" si="41"/>
        <v>-0.51089287054620003</v>
      </c>
      <c r="CM24" s="78">
        <f t="shared" si="37"/>
        <v>-0.27954113359538668</v>
      </c>
      <c r="CN24" s="78">
        <f t="shared" si="37"/>
        <v>0.11896285409562551</v>
      </c>
      <c r="CO24" s="78">
        <f t="shared" si="37"/>
        <v>-0.3936850353261015</v>
      </c>
      <c r="CP24" s="78">
        <f t="shared" si="37"/>
        <v>-0.67011236356387593</v>
      </c>
      <c r="CU24" s="56">
        <v>23</v>
      </c>
      <c r="CV24" s="57">
        <f t="shared" si="7"/>
        <v>0.9789327019951658</v>
      </c>
      <c r="CW24" s="57">
        <f t="shared" si="8"/>
        <v>-1.4737616201567716</v>
      </c>
      <c r="CX24" s="57">
        <f t="shared" si="9"/>
        <v>-2.4290066348640789</v>
      </c>
      <c r="CY24" s="57">
        <f t="shared" si="10"/>
        <v>1.1545080401422219</v>
      </c>
      <c r="CZ24" s="57">
        <f t="shared" si="11"/>
        <v>-0.39990355980014392</v>
      </c>
      <c r="DA24" s="57">
        <f t="shared" si="12"/>
        <v>-1.1652291318524857</v>
      </c>
      <c r="DB24" s="57">
        <f t="shared" si="13"/>
        <v>-1.0739069192747916</v>
      </c>
      <c r="DC24" s="57">
        <f t="shared" si="14"/>
        <v>3.8974742532646838</v>
      </c>
      <c r="DF24" s="51">
        <v>23</v>
      </c>
      <c r="DG24" s="52">
        <f t="shared" si="36"/>
        <v>0.11896285409562551</v>
      </c>
      <c r="DH24" s="52">
        <f t="shared" si="15"/>
        <v>0.42632883208491013</v>
      </c>
      <c r="DI24" s="52">
        <f t="shared" si="16"/>
        <v>-0.3936850353261015</v>
      </c>
      <c r="DJ24" s="52">
        <f t="shared" si="17"/>
        <v>-8.5996705355602027E-2</v>
      </c>
      <c r="DK24" s="52">
        <f t="shared" si="18"/>
        <v>-0.13302702853461931</v>
      </c>
      <c r="DL24" s="52">
        <f t="shared" si="19"/>
        <v>0.17483023830395839</v>
      </c>
      <c r="DM24" s="52">
        <f t="shared" si="20"/>
        <v>-3.8725228118846156E-2</v>
      </c>
      <c r="DN24" s="52">
        <f t="shared" si="21"/>
        <v>0.26654697252915938</v>
      </c>
      <c r="DO24" s="52">
        <f t="shared" si="22"/>
        <v>-5.059014019872983E-2</v>
      </c>
      <c r="DP24" s="52">
        <f t="shared" si="23"/>
        <v>0.2558731228019423</v>
      </c>
      <c r="DQ24" s="52">
        <f t="shared" si="24"/>
        <v>-0.67011236356387593</v>
      </c>
      <c r="DR24" s="52">
        <f t="shared" si="25"/>
        <v>-0.36523443687942697</v>
      </c>
      <c r="DS24" s="52">
        <f t="shared" si="26"/>
        <v>-0.30658467851022453</v>
      </c>
      <c r="DT24" s="52">
        <f t="shared" si="27"/>
        <v>0.30658467851022453</v>
      </c>
      <c r="DX24">
        <v>23</v>
      </c>
      <c r="DY24" s="19">
        <f t="shared" si="4"/>
        <v>0.39985470088197994</v>
      </c>
      <c r="EM24" s="21">
        <v>23</v>
      </c>
      <c r="EN24" s="16">
        <f t="shared" si="28"/>
        <v>0.9789327019951658</v>
      </c>
      <c r="EO24" s="16">
        <f t="shared" si="5"/>
        <v>-1.4737616201567716</v>
      </c>
      <c r="EP24" s="16">
        <f t="shared" si="29"/>
        <v>-2.4290066348640789</v>
      </c>
      <c r="EQ24" s="16">
        <f t="shared" si="30"/>
        <v>1.1545080401422219</v>
      </c>
      <c r="ER24" s="16">
        <f t="shared" si="31"/>
        <v>-0.39990355980014392</v>
      </c>
      <c r="ES24" s="16">
        <f t="shared" si="32"/>
        <v>-1.1652291318524857</v>
      </c>
      <c r="ET24" s="16">
        <f t="shared" si="33"/>
        <v>-1.0739069192747916</v>
      </c>
      <c r="EU24" s="16">
        <f t="shared" si="34"/>
        <v>3.8974742532646838</v>
      </c>
      <c r="EW24" s="40">
        <f>'SATORI (D)'!EW3</f>
        <v>16.662575260115553</v>
      </c>
      <c r="EX24" s="39" t="str">
        <f>'SATORI (D)'!EX3</f>
        <v>CHF</v>
      </c>
      <c r="FK24" s="20"/>
      <c r="FL24" s="20"/>
    </row>
    <row r="25" spans="1:168" ht="18.600000000000001" thickBot="1" x14ac:dyDescent="0.4">
      <c r="A25" s="37" t="s">
        <v>51</v>
      </c>
      <c r="B25" s="38">
        <v>23</v>
      </c>
      <c r="C25" s="63">
        <f>RTD("fxbluelabs.excelrtd", , "21422436","@bh,AUDUSD,h1,close,23")</f>
        <v>0.67398000000000002</v>
      </c>
      <c r="D25" s="64">
        <f>RTD("fxbluelabs.excelrtd", , "21422436","@bh,AUDNZD,h1,close,23")</f>
        <v>1.09707</v>
      </c>
      <c r="E25" s="65">
        <f>RTD("fxbluelabs.excelrtd", , "21422436","@bh,AUDJPY,h1,close,23")</f>
        <v>98.197999999999993</v>
      </c>
      <c r="F25" s="64">
        <f>RTD("fxbluelabs.excelrtd", , "21422436","@bh,AUDCHF,h1,close,23")</f>
        <v>0.57806999999999997</v>
      </c>
      <c r="G25" s="64">
        <f>RTD("fxbluelabs.excelrtd", , "21422436","@bh,AUDCAD,h1,close,23")</f>
        <v>0.91871000000000003</v>
      </c>
      <c r="H25" s="64">
        <f>RTD("fxbluelabs.excelrtd", , "21422436","@bh,EURUSD,h1,close,23")</f>
        <v>1.11053</v>
      </c>
      <c r="I25" s="64">
        <f>RTD("fxbluelabs.excelrtd", , "21422436","@bh,EURCAD,h1,close,23")</f>
        <v>1.51373</v>
      </c>
      <c r="J25" s="64">
        <f>RTD("fxbluelabs.excelrtd", , "21422436","@bh,EURGBP,h1,close,23")</f>
        <v>0.85253999999999996</v>
      </c>
      <c r="K25" s="64">
        <f>RTD("fxbluelabs.excelrtd", , "21422436","@bh,EURCHF,h1,close,23")</f>
        <v>0.95247000000000004</v>
      </c>
      <c r="L25" s="65">
        <f>RTD("fxbluelabs.excelrtd", , "21422436","@bh,EURJPY,h1,close,23")</f>
        <v>161.80099999999999</v>
      </c>
      <c r="M25" s="64">
        <f>RTD("fxbluelabs.excelrtd", , "21422436","@bh,EURAUD,h1,close,23")</f>
        <v>1.64768</v>
      </c>
      <c r="N25" s="64">
        <f>RTD("fxbluelabs.excelrtd", , "21422436","@bh,EURNZD,h1,close,23")</f>
        <v>1.8076300000000001</v>
      </c>
      <c r="O25" s="64">
        <f>RTD("fxbluelabs.excelrtd", , "21422436","@bh,GBPUSD,h1,close,23")</f>
        <v>1.30261</v>
      </c>
      <c r="P25" s="64">
        <f>RTD("fxbluelabs.excelrtd", , "21422436","@bh,GBPAUD,h1,close,23")</f>
        <v>1.93265</v>
      </c>
      <c r="Q25" s="64">
        <f>RTD("fxbluelabs.excelrtd", , "21422436","@bh,GBPNZD,h1,close,23")</f>
        <v>2.12026</v>
      </c>
      <c r="R25" s="64">
        <f>RTD("fxbluelabs.excelrtd", , "21422436","@bh,GBPCAD,h1,close,23")</f>
        <v>1.7755399999999999</v>
      </c>
      <c r="S25" s="64">
        <f>RTD("fxbluelabs.excelrtd", , "21422436","@bh,GBPCHF,h1,close,23")</f>
        <v>1.1172200000000001</v>
      </c>
      <c r="T25" s="65">
        <f>RTD("fxbluelabs.excelrtd", , "21422436","@bh,GBPJPY,h1,close,23")</f>
        <v>189.78299999999999</v>
      </c>
      <c r="U25" s="65">
        <f>RTD("fxbluelabs.excelrtd", , "21422436","@bh,NZDJPY,h1,close,23")</f>
        <v>89.507000000000005</v>
      </c>
      <c r="V25" s="64">
        <f>RTD("fxbluelabs.excelrtd", , "21422436","@bh,NZDCHF,h1,close,23")</f>
        <v>0.52690999999999999</v>
      </c>
      <c r="W25" s="64">
        <f>RTD("fxbluelabs.excelrtd", , "21422436","@bh,NZDUSD,h1,close,23")</f>
        <v>0.61434</v>
      </c>
      <c r="X25" s="64">
        <f>RTD("fxbluelabs.excelrtd", , "21422436","@bh,NZDCAD,h1,close,23")</f>
        <v>0.83738000000000001</v>
      </c>
      <c r="Y25" s="65">
        <f>RTD("fxbluelabs.excelrtd", , "21422436","@bh,CADJPY,h1,close,23")</f>
        <v>106.88500000000001</v>
      </c>
      <c r="Z25" s="64">
        <f>RTD("fxbluelabs.excelrtd", , "21422436","@bh,CADCHF,h1,close,23")</f>
        <v>0.62922</v>
      </c>
      <c r="AA25" s="65">
        <f>RTD("fxbluelabs.excelrtd", , "21422436","@bh,CHFJPY,h1,close,23")</f>
        <v>169.87</v>
      </c>
      <c r="AB25" s="64">
        <f>RTD("fxbluelabs.excelrtd", , "21422436","@bh,USDCAD,h1,close,23")</f>
        <v>1.3631500000000001</v>
      </c>
      <c r="AC25" s="64">
        <f>RTD("fxbluelabs.excelrtd", , "21422436","@bh,USDCHF,h1,close,23")</f>
        <v>0.85768999999999995</v>
      </c>
      <c r="AD25" s="66">
        <f>RTD("fxbluelabs.excelrtd", , "21422436","@bh,USDJPY,h1,close,23")</f>
        <v>145.697</v>
      </c>
      <c r="AH25" s="56">
        <v>24</v>
      </c>
      <c r="AI25" s="75">
        <f t="shared" si="40"/>
        <v>-6.6723010542228317E-2</v>
      </c>
      <c r="AJ25" s="75">
        <f t="shared" si="40"/>
        <v>4.3772057013107539E-2</v>
      </c>
      <c r="AK25" s="75">
        <f t="shared" si="40"/>
        <v>3.055145374000829E-3</v>
      </c>
      <c r="AL25" s="75">
        <f t="shared" si="40"/>
        <v>-5.1894135962592099E-3</v>
      </c>
      <c r="AM25" s="75">
        <f t="shared" si="40"/>
        <v>-5.1132531169082271E-2</v>
      </c>
      <c r="AN25" s="75">
        <f t="shared" si="40"/>
        <v>-5.9395782899403608E-2</v>
      </c>
      <c r="AO25" s="75">
        <f t="shared" si="40"/>
        <v>-4.5561997332317285E-2</v>
      </c>
      <c r="AP25" s="75">
        <f t="shared" si="40"/>
        <v>-2.2281378630987943E-2</v>
      </c>
      <c r="AQ25" s="75">
        <f t="shared" si="40"/>
        <v>0</v>
      </c>
      <c r="AR25" s="75">
        <f t="shared" si="40"/>
        <v>1.1744198983803534E-2</v>
      </c>
      <c r="AS25" s="75">
        <f t="shared" si="40"/>
        <v>6.0695080056803906E-3</v>
      </c>
      <c r="AT25" s="75">
        <f t="shared" si="40"/>
        <v>4.9259993136813125E-2</v>
      </c>
      <c r="AU25" s="75">
        <f t="shared" si="40"/>
        <v>-3.2232565635470015E-2</v>
      </c>
      <c r="AV25" s="75">
        <f t="shared" si="40"/>
        <v>3.1572845282706333E-2</v>
      </c>
      <c r="AW25" s="75">
        <f t="shared" si="40"/>
        <v>7.5519432093862332E-2</v>
      </c>
      <c r="AX25" s="75">
        <f t="shared" si="39"/>
        <v>-1.9145437754803644E-2</v>
      </c>
      <c r="AY25" s="75">
        <f t="shared" si="39"/>
        <v>2.6859578125576499E-2</v>
      </c>
      <c r="AZ25" s="75">
        <f t="shared" si="39"/>
        <v>3.4261377412790422E-2</v>
      </c>
      <c r="BA25" s="75">
        <f t="shared" si="39"/>
        <v>-3.6855036855038249E-2</v>
      </c>
      <c r="BB25" s="75">
        <f t="shared" si="39"/>
        <v>-4.5527838376177174E-2</v>
      </c>
      <c r="BC25" s="75">
        <f t="shared" si="39"/>
        <v>-0.10406842498942631</v>
      </c>
      <c r="BD25" s="75">
        <f t="shared" si="39"/>
        <v>-9.1868997196198468E-2</v>
      </c>
      <c r="BE25" s="75">
        <f t="shared" si="39"/>
        <v>5.2420222973173579E-2</v>
      </c>
      <c r="BF25" s="75">
        <f t="shared" si="39"/>
        <v>4.6110059943079908E-2</v>
      </c>
      <c r="BG25" s="75">
        <f t="shared" si="39"/>
        <v>1.1186275029293591E-2</v>
      </c>
      <c r="BH25" s="75">
        <f t="shared" si="39"/>
        <v>1.3940247696200513E-2</v>
      </c>
      <c r="BI25" s="75">
        <f t="shared" si="39"/>
        <v>5.9497421778377864E-2</v>
      </c>
      <c r="BJ25" s="75">
        <f t="shared" si="39"/>
        <v>6.7995439497788107E-2</v>
      </c>
      <c r="BN25" s="59">
        <v>24</v>
      </c>
      <c r="BO25" s="79">
        <f t="shared" si="6"/>
        <v>8.9171828908188117E-2</v>
      </c>
      <c r="BP25" s="79">
        <f t="shared" si="2"/>
        <v>6.7523701245983281E-2</v>
      </c>
      <c r="BQ25" s="79">
        <f t="shared" si="42"/>
        <v>-0.37461751859430775</v>
      </c>
      <c r="BR25" s="79">
        <f t="shared" si="42"/>
        <v>-0.12434986728051657</v>
      </c>
      <c r="BS25" s="79">
        <f t="shared" si="42"/>
        <v>0.21264845301921415</v>
      </c>
      <c r="BT25" s="79">
        <f t="shared" si="42"/>
        <v>0.2192389967186551</v>
      </c>
      <c r="BU25" s="79">
        <f t="shared" si="42"/>
        <v>0.34243011831165576</v>
      </c>
      <c r="BV25" s="79">
        <f t="shared" si="42"/>
        <v>7.9820033504173202E-2</v>
      </c>
      <c r="BW25" s="79">
        <f t="shared" si="42"/>
        <v>3.2449505495726616E-3</v>
      </c>
      <c r="BX25" s="79">
        <f t="shared" si="42"/>
        <v>-0.24224384967663848</v>
      </c>
      <c r="BY25" s="79">
        <f t="shared" si="42"/>
        <v>0.12999133065695953</v>
      </c>
      <c r="BZ25" s="79">
        <f t="shared" si="42"/>
        <v>0.19778601426756331</v>
      </c>
      <c r="CA25" s="79">
        <f t="shared" si="42"/>
        <v>0.13993623389924464</v>
      </c>
      <c r="CB25" s="79">
        <f t="shared" si="42"/>
        <v>5.2291128982268405E-2</v>
      </c>
      <c r="CC25" s="79">
        <f t="shared" si="42"/>
        <v>0.1204624828323812</v>
      </c>
      <c r="CD25" s="79">
        <f t="shared" si="41"/>
        <v>0.26471596379951823</v>
      </c>
      <c r="CE25" s="79">
        <f t="shared" si="41"/>
        <v>-7.1421940859892744E-2</v>
      </c>
      <c r="CF25" s="79">
        <f t="shared" si="41"/>
        <v>-0.32193820569871678</v>
      </c>
      <c r="CG25" s="79">
        <f t="shared" si="41"/>
        <v>-0.43551989415321812</v>
      </c>
      <c r="CH25" s="79">
        <f t="shared" si="41"/>
        <v>-0.18571620178680132</v>
      </c>
      <c r="CI25" s="79">
        <f t="shared" si="41"/>
        <v>2.9429219535910628E-2</v>
      </c>
      <c r="CJ25" s="79">
        <f t="shared" si="41"/>
        <v>0.15072675195733315</v>
      </c>
      <c r="CK25" s="79">
        <f t="shared" si="41"/>
        <v>-0.5877946456526314</v>
      </c>
      <c r="CL25" s="79">
        <f t="shared" si="41"/>
        <v>-0.33607325260653031</v>
      </c>
      <c r="CM25" s="79">
        <f t="shared" si="37"/>
        <v>-0.24480869113939241</v>
      </c>
      <c r="CN25" s="79">
        <f t="shared" si="37"/>
        <v>0.12336442398889998</v>
      </c>
      <c r="CO25" s="79">
        <f t="shared" si="37"/>
        <v>-0.21763074997826015</v>
      </c>
      <c r="CP25" s="79">
        <f t="shared" si="37"/>
        <v>-0.46420558442634297</v>
      </c>
      <c r="CU25" s="56">
        <v>24</v>
      </c>
      <c r="CV25" s="58">
        <f t="shared" si="7"/>
        <v>0.73026759433194099</v>
      </c>
      <c r="CW25" s="58">
        <f t="shared" si="8"/>
        <v>-1.0362481894777016</v>
      </c>
      <c r="CX25" s="58">
        <f t="shared" si="9"/>
        <v>-2.0177536093357831</v>
      </c>
      <c r="CY25" s="58">
        <f t="shared" si="10"/>
        <v>0.35106511821650571</v>
      </c>
      <c r="CZ25" s="58">
        <f t="shared" si="11"/>
        <v>0.10422562945062976</v>
      </c>
      <c r="DA25" s="58">
        <f t="shared" si="12"/>
        <v>-0.31190586234066675</v>
      </c>
      <c r="DB25" s="58">
        <f t="shared" si="13"/>
        <v>-0.82685232279270338</v>
      </c>
      <c r="DC25" s="58">
        <f t="shared" si="14"/>
        <v>2.6711283893412481</v>
      </c>
      <c r="DF25" s="53">
        <v>24</v>
      </c>
      <c r="DG25" s="54">
        <f t="shared" si="36"/>
        <v>0.12336442398889998</v>
      </c>
      <c r="DH25" s="54">
        <f t="shared" si="15"/>
        <v>0.34243011831165576</v>
      </c>
      <c r="DI25" s="54">
        <f t="shared" si="16"/>
        <v>-0.21763074997826015</v>
      </c>
      <c r="DJ25" s="54">
        <f t="shared" si="17"/>
        <v>3.2449505495726616E-3</v>
      </c>
      <c r="DK25" s="54">
        <f t="shared" si="18"/>
        <v>-0.13993623389924464</v>
      </c>
      <c r="DL25" s="54">
        <f t="shared" si="19"/>
        <v>7.9820033504173202E-2</v>
      </c>
      <c r="DM25" s="54">
        <f t="shared" si="20"/>
        <v>-8.9171828908188117E-2</v>
      </c>
      <c r="DN25" s="54">
        <f t="shared" si="21"/>
        <v>0.12999133065695953</v>
      </c>
      <c r="DO25" s="54">
        <f t="shared" si="22"/>
        <v>-2.9429219535910628E-2</v>
      </c>
      <c r="DP25" s="54">
        <f t="shared" si="23"/>
        <v>0.19778601426756331</v>
      </c>
      <c r="DQ25" s="54">
        <f t="shared" si="24"/>
        <v>-0.46420558442634297</v>
      </c>
      <c r="DR25" s="54">
        <f t="shared" si="25"/>
        <v>-0.24224384967663848</v>
      </c>
      <c r="DS25" s="54">
        <f t="shared" si="26"/>
        <v>-0.2192389967186551</v>
      </c>
      <c r="DT25" s="54">
        <f t="shared" si="27"/>
        <v>0.2192389967186551</v>
      </c>
      <c r="DX25">
        <v>24</v>
      </c>
      <c r="DY25" s="19">
        <f t="shared" si="4"/>
        <v>0.20939586668499821</v>
      </c>
      <c r="EM25" s="21">
        <v>24</v>
      </c>
      <c r="EN25" s="16">
        <f t="shared" si="28"/>
        <v>0.73026759433194099</v>
      </c>
      <c r="EO25" s="16">
        <f t="shared" si="5"/>
        <v>-1.0362481894777016</v>
      </c>
      <c r="EP25" s="16">
        <f t="shared" si="29"/>
        <v>-2.0177536093357831</v>
      </c>
      <c r="EQ25" s="16">
        <f t="shared" si="30"/>
        <v>0.35106511821650571</v>
      </c>
      <c r="ER25" s="16">
        <f t="shared" si="31"/>
        <v>0.10422562945062976</v>
      </c>
      <c r="ES25" s="16">
        <f t="shared" si="32"/>
        <v>-0.31190586234066675</v>
      </c>
      <c r="ET25" s="16">
        <f t="shared" si="33"/>
        <v>-0.82685232279270338</v>
      </c>
      <c r="EU25" s="16">
        <f t="shared" si="34"/>
        <v>2.6711283893412481</v>
      </c>
      <c r="EW25" s="40">
        <f>'SATORI (D)'!EW4</f>
        <v>-0.59341160018612804</v>
      </c>
      <c r="EX25" s="39" t="str">
        <f>'SATORI (D)'!EX4</f>
        <v>EUR</v>
      </c>
      <c r="FK25" s="20"/>
      <c r="FL25" s="20"/>
    </row>
    <row r="26" spans="1:168" ht="18.600000000000001" thickBot="1" x14ac:dyDescent="0.4">
      <c r="A26" s="37" t="s">
        <v>51</v>
      </c>
      <c r="B26" s="38">
        <v>24</v>
      </c>
      <c r="C26" s="63">
        <f>RTD("fxbluelabs.excelrtd", , "21422436","@bh,AUDUSD,h1,close,24")</f>
        <v>0.67442999999999997</v>
      </c>
      <c r="D26" s="64">
        <f>RTD("fxbluelabs.excelrtd", , "21422436","@bh,AUDNZD,h1,close,24")</f>
        <v>1.09659</v>
      </c>
      <c r="E26" s="65">
        <f>RTD("fxbluelabs.excelrtd", , "21422436","@bh,AUDJPY,h1,close,24")</f>
        <v>98.194999999999993</v>
      </c>
      <c r="F26" s="64">
        <f>RTD("fxbluelabs.excelrtd", , "21422436","@bh,AUDCHF,h1,close,24")</f>
        <v>0.57809999999999995</v>
      </c>
      <c r="G26" s="64">
        <f>RTD("fxbluelabs.excelrtd", , "21422436","@bh,AUDCAD,h1,close,24")</f>
        <v>0.91918</v>
      </c>
      <c r="H26" s="64">
        <f>RTD("fxbluelabs.excelrtd", , "21422436","@bh,EURUSD,h1,close,24")</f>
        <v>1.1111899999999999</v>
      </c>
      <c r="I26" s="64">
        <f>RTD("fxbluelabs.excelrtd", , "21422436","@bh,EURCAD,h1,close,24")</f>
        <v>1.5144200000000001</v>
      </c>
      <c r="J26" s="64">
        <f>RTD("fxbluelabs.excelrtd", , "21422436","@bh,EURGBP,h1,close,24")</f>
        <v>0.85272999999999999</v>
      </c>
      <c r="K26" s="64">
        <f>RTD("fxbluelabs.excelrtd", , "21422436","@bh,EURCHF,h1,close,24")</f>
        <v>0.95247000000000004</v>
      </c>
      <c r="L26" s="65">
        <f>RTD("fxbluelabs.excelrtd", , "21422436","@bh,EURJPY,h1,close,24")</f>
        <v>161.78200000000001</v>
      </c>
      <c r="M26" s="64">
        <f>RTD("fxbluelabs.excelrtd", , "21422436","@bh,EURAUD,h1,close,24")</f>
        <v>1.64758</v>
      </c>
      <c r="N26" s="64">
        <f>RTD("fxbluelabs.excelrtd", , "21422436","@bh,EURNZD,h1,close,24")</f>
        <v>1.80674</v>
      </c>
      <c r="O26" s="64">
        <f>RTD("fxbluelabs.excelrtd", , "21422436","@bh,GBPUSD,h1,close,24")</f>
        <v>1.3030299999999999</v>
      </c>
      <c r="P26" s="64">
        <f>RTD("fxbluelabs.excelrtd", , "21422436","@bh,GBPAUD,h1,close,24")</f>
        <v>1.93204</v>
      </c>
      <c r="Q26" s="64">
        <f>RTD("fxbluelabs.excelrtd", , "21422436","@bh,GBPNZD,h1,close,24")</f>
        <v>2.1186600000000002</v>
      </c>
      <c r="R26" s="64">
        <f>RTD("fxbluelabs.excelrtd", , "21422436","@bh,GBPCAD,h1,close,24")</f>
        <v>1.7758799999999999</v>
      </c>
      <c r="S26" s="64">
        <f>RTD("fxbluelabs.excelrtd", , "21422436","@bh,GBPCHF,h1,close,24")</f>
        <v>1.1169199999999999</v>
      </c>
      <c r="T26" s="65">
        <f>RTD("fxbluelabs.excelrtd", , "21422436","@bh,GBPJPY,h1,close,24")</f>
        <v>189.71799999999999</v>
      </c>
      <c r="U26" s="65">
        <f>RTD("fxbluelabs.excelrtd", , "21422436","@bh,NZDJPY,h1,close,24")</f>
        <v>89.54</v>
      </c>
      <c r="V26" s="64">
        <f>RTD("fxbluelabs.excelrtd", , "21422436","@bh,NZDCHF,h1,close,24")</f>
        <v>0.52715000000000001</v>
      </c>
      <c r="W26" s="64">
        <f>RTD("fxbluelabs.excelrtd", , "21422436","@bh,NZDUSD,h1,close,24")</f>
        <v>0.61497999999999997</v>
      </c>
      <c r="X26" s="64">
        <f>RTD("fxbluelabs.excelrtd", , "21422436","@bh,NZDCAD,h1,close,24")</f>
        <v>0.83814999999999995</v>
      </c>
      <c r="Y26" s="65">
        <f>RTD("fxbluelabs.excelrtd", , "21422436","@bh,CADJPY,h1,close,24")</f>
        <v>106.82899999999999</v>
      </c>
      <c r="Z26" s="64">
        <f>RTD("fxbluelabs.excelrtd", , "21422436","@bh,CADCHF,h1,close,24")</f>
        <v>0.62892999999999999</v>
      </c>
      <c r="AA26" s="65">
        <f>RTD("fxbluelabs.excelrtd", , "21422436","@bh,CHFJPY,h1,close,24")</f>
        <v>169.851</v>
      </c>
      <c r="AB26" s="64">
        <f>RTD("fxbluelabs.excelrtd", , "21422436","@bh,USDCAD,h1,close,24")</f>
        <v>1.3629599999999999</v>
      </c>
      <c r="AC26" s="64">
        <f>RTD("fxbluelabs.excelrtd", , "21422436","@bh,USDCHF,h1,close,24")</f>
        <v>0.85718000000000005</v>
      </c>
      <c r="AD26" s="66">
        <f>RTD("fxbluelabs.excelrtd", , "21422436","@bh,USDJPY,h1,close,24")</f>
        <v>145.59800000000001</v>
      </c>
      <c r="AH26" s="56">
        <v>25</v>
      </c>
      <c r="AI26" s="74">
        <f t="shared" si="40"/>
        <v>5.9344539560547145E-2</v>
      </c>
      <c r="AJ26" s="74">
        <f t="shared" si="40"/>
        <v>-4.8308298089556424E-2</v>
      </c>
      <c r="AK26" s="74">
        <f t="shared" si="40"/>
        <v>-0.29243625803439266</v>
      </c>
      <c r="AL26" s="74">
        <f t="shared" si="40"/>
        <v>-5.013917944639646E-2</v>
      </c>
      <c r="AM26" s="74">
        <f t="shared" si="40"/>
        <v>4.4624878914202845E-2</v>
      </c>
      <c r="AN26" s="74">
        <f t="shared" si="40"/>
        <v>8.7370070796771393E-2</v>
      </c>
      <c r="AO26" s="74">
        <f t="shared" si="40"/>
        <v>7.2026590366941465E-2</v>
      </c>
      <c r="AP26" s="74">
        <f t="shared" si="40"/>
        <v>5.8669607969673084E-2</v>
      </c>
      <c r="AQ26" s="74">
        <f t="shared" si="40"/>
        <v>-1.8894662257907729E-2</v>
      </c>
      <c r="AR26" s="74">
        <f t="shared" si="40"/>
        <v>-0.26447035034615535</v>
      </c>
      <c r="AS26" s="74">
        <f t="shared" si="40"/>
        <v>2.853482766785281E-2</v>
      </c>
      <c r="AT26" s="74">
        <f t="shared" si="40"/>
        <v>-1.8814883679748928E-2</v>
      </c>
      <c r="AU26" s="74">
        <f t="shared" si="40"/>
        <v>2.7635548527249108E-2</v>
      </c>
      <c r="AV26" s="74">
        <f t="shared" si="40"/>
        <v>-3.1562879983442392E-2</v>
      </c>
      <c r="AW26" s="74">
        <f t="shared" si="40"/>
        <v>-7.9703822482135922E-2</v>
      </c>
      <c r="AX26" s="74">
        <f t="shared" si="39"/>
        <v>1.2389759300760672E-2</v>
      </c>
      <c r="AY26" s="74">
        <f t="shared" si="39"/>
        <v>-8.3195419779048832E-2</v>
      </c>
      <c r="AZ26" s="74">
        <f t="shared" si="39"/>
        <v>-0.3241652875193835</v>
      </c>
      <c r="BA26" s="74">
        <f t="shared" si="39"/>
        <v>-0.24287528688249441</v>
      </c>
      <c r="BB26" s="74">
        <f t="shared" si="39"/>
        <v>0</v>
      </c>
      <c r="BC26" s="74">
        <f t="shared" si="39"/>
        <v>0.10906545555174886</v>
      </c>
      <c r="BD26" s="74">
        <f t="shared" si="39"/>
        <v>9.5539499611860257E-2</v>
      </c>
      <c r="BE26" s="74">
        <f t="shared" si="39"/>
        <v>-0.33678514786827524</v>
      </c>
      <c r="BF26" s="74">
        <f t="shared" si="39"/>
        <v>-9.5309198926190164E-2</v>
      </c>
      <c r="BG26" s="74">
        <f t="shared" si="39"/>
        <v>-0.24549389495445814</v>
      </c>
      <c r="BH26" s="74">
        <f t="shared" si="39"/>
        <v>-1.5405268601865026E-2</v>
      </c>
      <c r="BI26" s="74">
        <f t="shared" si="39"/>
        <v>-0.1095417890271688</v>
      </c>
      <c r="BJ26" s="74">
        <f t="shared" si="39"/>
        <v>-0.35110292859536713</v>
      </c>
      <c r="BN26" s="59">
        <v>25</v>
      </c>
      <c r="BO26" s="78">
        <f t="shared" si="6"/>
        <v>0.15589483945041643</v>
      </c>
      <c r="BP26" s="78">
        <f t="shared" si="2"/>
        <v>2.3751644232875742E-2</v>
      </c>
      <c r="BQ26" s="78">
        <f t="shared" si="42"/>
        <v>-0.37767266396830856</v>
      </c>
      <c r="BR26" s="78">
        <f t="shared" si="42"/>
        <v>-0.11916045368425737</v>
      </c>
      <c r="BS26" s="78">
        <f t="shared" si="42"/>
        <v>0.26378098418829643</v>
      </c>
      <c r="BT26" s="78">
        <f t="shared" si="42"/>
        <v>0.27863477961805871</v>
      </c>
      <c r="BU26" s="78">
        <f t="shared" si="42"/>
        <v>0.38799211564397307</v>
      </c>
      <c r="BV26" s="78">
        <f t="shared" si="42"/>
        <v>0.10210141213516115</v>
      </c>
      <c r="BW26" s="78">
        <f t="shared" si="42"/>
        <v>3.2449505495726616E-3</v>
      </c>
      <c r="BX26" s="78">
        <f t="shared" si="42"/>
        <v>-0.253988048660442</v>
      </c>
      <c r="BY26" s="78">
        <f t="shared" si="42"/>
        <v>0.12392182265127913</v>
      </c>
      <c r="BZ26" s="78">
        <f t="shared" si="42"/>
        <v>0.1485260211307502</v>
      </c>
      <c r="CA26" s="78">
        <f t="shared" si="42"/>
        <v>0.17216879953471464</v>
      </c>
      <c r="CB26" s="78">
        <f t="shared" si="42"/>
        <v>2.0718283699562072E-2</v>
      </c>
      <c r="CC26" s="78">
        <f t="shared" si="42"/>
        <v>4.4943050738518869E-2</v>
      </c>
      <c r="CD26" s="78">
        <f t="shared" si="41"/>
        <v>0.28386140155432188</v>
      </c>
      <c r="CE26" s="78">
        <f t="shared" si="41"/>
        <v>-9.8281518985469246E-2</v>
      </c>
      <c r="CF26" s="78">
        <f t="shared" si="41"/>
        <v>-0.35619958311150718</v>
      </c>
      <c r="CG26" s="78">
        <f t="shared" si="41"/>
        <v>-0.39866485729817991</v>
      </c>
      <c r="CH26" s="78">
        <f t="shared" si="41"/>
        <v>-0.14018836341062416</v>
      </c>
      <c r="CI26" s="78">
        <f t="shared" si="41"/>
        <v>0.13349764452533694</v>
      </c>
      <c r="CJ26" s="78">
        <f t="shared" si="41"/>
        <v>0.2425957491535316</v>
      </c>
      <c r="CK26" s="78">
        <f t="shared" si="41"/>
        <v>-0.64021486862580501</v>
      </c>
      <c r="CL26" s="78">
        <f t="shared" si="41"/>
        <v>-0.38218331254961024</v>
      </c>
      <c r="CM26" s="78">
        <f t="shared" si="37"/>
        <v>-0.255994966168686</v>
      </c>
      <c r="CN26" s="78">
        <f t="shared" si="37"/>
        <v>0.10942417629269946</v>
      </c>
      <c r="CO26" s="78">
        <f t="shared" si="37"/>
        <v>-0.27712817175663806</v>
      </c>
      <c r="CP26" s="78">
        <f t="shared" si="37"/>
        <v>-0.53220102392413104</v>
      </c>
      <c r="CU26" s="56">
        <v>25</v>
      </c>
      <c r="CV26" s="57">
        <f t="shared" si="7"/>
        <v>0.79043305306835288</v>
      </c>
      <c r="CW26" s="57">
        <f t="shared" si="8"/>
        <v>-1.4401010825165963</v>
      </c>
      <c r="CX26" s="57">
        <f t="shared" si="9"/>
        <v>-2.3100526080082378</v>
      </c>
      <c r="CY26" s="57">
        <f t="shared" si="10"/>
        <v>0.37551859111873015</v>
      </c>
      <c r="CZ26" s="57">
        <f t="shared" si="11"/>
        <v>-3.4890978705020101E-2</v>
      </c>
      <c r="DA26" s="57">
        <f t="shared" si="12"/>
        <v>-0.19804575613181855</v>
      </c>
      <c r="DB26" s="57">
        <f t="shared" si="13"/>
        <v>-0.37998054313208024</v>
      </c>
      <c r="DC26" s="57">
        <f t="shared" si="14"/>
        <v>2.8149360117570597</v>
      </c>
      <c r="DF26" s="51">
        <v>25</v>
      </c>
      <c r="DG26" s="52">
        <f t="shared" si="36"/>
        <v>0.10942417629269946</v>
      </c>
      <c r="DH26" s="52">
        <f t="shared" si="15"/>
        <v>0.38799211564397307</v>
      </c>
      <c r="DI26" s="52">
        <f t="shared" si="16"/>
        <v>-0.27712817175663806</v>
      </c>
      <c r="DJ26" s="52">
        <f t="shared" si="17"/>
        <v>3.2449505495726616E-3</v>
      </c>
      <c r="DK26" s="52">
        <f t="shared" si="18"/>
        <v>-0.17216879953471464</v>
      </c>
      <c r="DL26" s="52">
        <f t="shared" si="19"/>
        <v>0.10210141213516115</v>
      </c>
      <c r="DM26" s="52">
        <f t="shared" si="20"/>
        <v>-0.15589483945041643</v>
      </c>
      <c r="DN26" s="52">
        <f t="shared" si="21"/>
        <v>0.12392182265127913</v>
      </c>
      <c r="DO26" s="52">
        <f t="shared" si="22"/>
        <v>-0.13349764452533694</v>
      </c>
      <c r="DP26" s="52">
        <f t="shared" si="23"/>
        <v>0.1485260211307502</v>
      </c>
      <c r="DQ26" s="52">
        <f t="shared" si="24"/>
        <v>-0.53220102392413104</v>
      </c>
      <c r="DR26" s="52">
        <f t="shared" si="25"/>
        <v>-0.253988048660442</v>
      </c>
      <c r="DS26" s="52">
        <f t="shared" si="26"/>
        <v>-0.27863477961805871</v>
      </c>
      <c r="DT26" s="52">
        <f t="shared" si="27"/>
        <v>0.27863477961805871</v>
      </c>
      <c r="DX26">
        <v>25</v>
      </c>
      <c r="DY26" s="19">
        <f t="shared" si="4"/>
        <v>1.0601205393845161</v>
      </c>
      <c r="EM26" s="21">
        <v>25</v>
      </c>
      <c r="EN26" s="16">
        <f t="shared" si="28"/>
        <v>0.79043305306835288</v>
      </c>
      <c r="EO26" s="16">
        <f t="shared" si="5"/>
        <v>-1.4401010825165963</v>
      </c>
      <c r="EP26" s="16">
        <f t="shared" si="29"/>
        <v>-2.3100526080082378</v>
      </c>
      <c r="EQ26" s="16">
        <f t="shared" si="30"/>
        <v>0.37551859111873015</v>
      </c>
      <c r="ER26" s="16">
        <f t="shared" si="31"/>
        <v>-3.4890978705020101E-2</v>
      </c>
      <c r="ES26" s="16">
        <f t="shared" si="32"/>
        <v>-0.19804575613181855</v>
      </c>
      <c r="ET26" s="16">
        <f t="shared" si="33"/>
        <v>-0.37998054313208024</v>
      </c>
      <c r="EU26" s="16">
        <f t="shared" si="34"/>
        <v>2.8149360117570597</v>
      </c>
      <c r="EW26" s="40">
        <f>'SATORI (D)'!EW5</f>
        <v>-7.5513917186400654</v>
      </c>
      <c r="EX26" s="39" t="str">
        <f>'SATORI (D)'!EX5</f>
        <v>NZD</v>
      </c>
      <c r="FK26" s="20"/>
      <c r="FL26" s="20"/>
    </row>
    <row r="27" spans="1:168" ht="18.600000000000001" thickBot="1" x14ac:dyDescent="0.4">
      <c r="A27" s="37" t="s">
        <v>51</v>
      </c>
      <c r="B27" s="38">
        <v>25</v>
      </c>
      <c r="C27" s="63">
        <f>RTD("fxbluelabs.excelrtd", , "21422436","@bh,AUDUSD,h1,close,25")</f>
        <v>0.67403000000000002</v>
      </c>
      <c r="D27" s="64">
        <f>RTD("fxbluelabs.excelrtd", , "21422436","@bh,AUDNZD,h1,close,25")</f>
        <v>1.0971200000000001</v>
      </c>
      <c r="E27" s="65">
        <f>RTD("fxbluelabs.excelrtd", , "21422436","@bh,AUDJPY,h1,close,25")</f>
        <v>98.483000000000004</v>
      </c>
      <c r="F27" s="64">
        <f>RTD("fxbluelabs.excelrtd", , "21422436","@bh,AUDCHF,h1,close,25")</f>
        <v>0.57838999999999996</v>
      </c>
      <c r="G27" s="64">
        <f>RTD("fxbluelabs.excelrtd", , "21422436","@bh,AUDCAD,h1,close,25")</f>
        <v>0.91876999999999998</v>
      </c>
      <c r="H27" s="64">
        <f>RTD("fxbluelabs.excelrtd", , "21422436","@bh,EURUSD,h1,close,25")</f>
        <v>1.11022</v>
      </c>
      <c r="I27" s="64">
        <f>RTD("fxbluelabs.excelrtd", , "21422436","@bh,EURCAD,h1,close,25")</f>
        <v>1.5133300000000001</v>
      </c>
      <c r="J27" s="64">
        <f>RTD("fxbluelabs.excelrtd", , "21422436","@bh,EURGBP,h1,close,25")</f>
        <v>0.85223000000000004</v>
      </c>
      <c r="K27" s="64">
        <f>RTD("fxbluelabs.excelrtd", , "21422436","@bh,EURCHF,h1,close,25")</f>
        <v>0.95265</v>
      </c>
      <c r="L27" s="65">
        <f>RTD("fxbluelabs.excelrtd", , "21422436","@bh,EURJPY,h1,close,25")</f>
        <v>162.21100000000001</v>
      </c>
      <c r="M27" s="64">
        <f>RTD("fxbluelabs.excelrtd", , "21422436","@bh,EURAUD,h1,close,25")</f>
        <v>1.6471100000000001</v>
      </c>
      <c r="N27" s="64">
        <f>RTD("fxbluelabs.excelrtd", , "21422436","@bh,EURNZD,h1,close,25")</f>
        <v>1.80708</v>
      </c>
      <c r="O27" s="64">
        <f>RTD("fxbluelabs.excelrtd", , "21422436","@bh,GBPUSD,h1,close,25")</f>
        <v>1.30267</v>
      </c>
      <c r="P27" s="64">
        <f>RTD("fxbluelabs.excelrtd", , "21422436","@bh,GBPAUD,h1,close,25")</f>
        <v>1.93265</v>
      </c>
      <c r="Q27" s="64">
        <f>RTD("fxbluelabs.excelrtd", , "21422436","@bh,GBPNZD,h1,close,25")</f>
        <v>2.1203500000000002</v>
      </c>
      <c r="R27" s="64">
        <f>RTD("fxbluelabs.excelrtd", , "21422436","@bh,GBPCAD,h1,close,25")</f>
        <v>1.77566</v>
      </c>
      <c r="S27" s="64">
        <f>RTD("fxbluelabs.excelrtd", , "21422436","@bh,GBPCHF,h1,close,25")</f>
        <v>1.11785</v>
      </c>
      <c r="T27" s="65">
        <f>RTD("fxbluelabs.excelrtd", , "21422436","@bh,GBPJPY,h1,close,25")</f>
        <v>190.33500000000001</v>
      </c>
      <c r="U27" s="65">
        <f>RTD("fxbluelabs.excelrtd", , "21422436","@bh,NZDJPY,h1,close,25")</f>
        <v>89.757999999999996</v>
      </c>
      <c r="V27" s="64">
        <f>RTD("fxbluelabs.excelrtd", , "21422436","@bh,NZDCHF,h1,close,25")</f>
        <v>0.52715000000000001</v>
      </c>
      <c r="W27" s="64">
        <f>RTD("fxbluelabs.excelrtd", , "21422436","@bh,NZDUSD,h1,close,25")</f>
        <v>0.61431000000000002</v>
      </c>
      <c r="X27" s="64">
        <f>RTD("fxbluelabs.excelrtd", , "21422436","@bh,NZDCAD,h1,close,25")</f>
        <v>0.83735000000000004</v>
      </c>
      <c r="Y27" s="65">
        <f>RTD("fxbluelabs.excelrtd", , "21422436","@bh,CADJPY,h1,close,25")</f>
        <v>107.19</v>
      </c>
      <c r="Z27" s="64">
        <f>RTD("fxbluelabs.excelrtd", , "21422436","@bh,CADCHF,h1,close,25")</f>
        <v>0.62953000000000003</v>
      </c>
      <c r="AA27" s="65">
        <f>RTD("fxbluelabs.excelrtd", , "21422436","@bh,CHFJPY,h1,close,25")</f>
        <v>170.26900000000001</v>
      </c>
      <c r="AB27" s="64">
        <f>RTD("fxbluelabs.excelrtd", , "21422436","@bh,USDCAD,h1,close,25")</f>
        <v>1.36317</v>
      </c>
      <c r="AC27" s="64">
        <f>RTD("fxbluelabs.excelrtd", , "21422436","@bh,USDCHF,h1,close,25")</f>
        <v>0.85811999999999999</v>
      </c>
      <c r="AD27" s="66">
        <f>RTD("fxbluelabs.excelrtd", , "21422436","@bh,USDJPY,h1,close,25")</f>
        <v>146.11099999999999</v>
      </c>
      <c r="AH27" s="56">
        <v>26</v>
      </c>
      <c r="AI27" s="75">
        <f t="shared" si="40"/>
        <v>-1.9283256200303116E-2</v>
      </c>
      <c r="AJ27" s="75">
        <f t="shared" si="40"/>
        <v>-1.8229214138495524E-3</v>
      </c>
      <c r="AK27" s="75">
        <f t="shared" si="40"/>
        <v>-5.9872947575650481E-2</v>
      </c>
      <c r="AL27" s="75">
        <f t="shared" si="40"/>
        <v>-0.13467548388210768</v>
      </c>
      <c r="AM27" s="75">
        <f t="shared" si="40"/>
        <v>5.8808795182033365E-2</v>
      </c>
      <c r="AN27" s="75">
        <f t="shared" si="40"/>
        <v>3.423916961003811E-2</v>
      </c>
      <c r="AO27" s="75">
        <f t="shared" si="40"/>
        <v>0.11378596331065327</v>
      </c>
      <c r="AP27" s="75">
        <f t="shared" si="40"/>
        <v>3.6388393276367788E-2</v>
      </c>
      <c r="AQ27" s="75">
        <f t="shared" si="40"/>
        <v>-8.4953747404188679E-2</v>
      </c>
      <c r="AR27" s="75">
        <f t="shared" si="40"/>
        <v>-6.16443000597389E-3</v>
      </c>
      <c r="AS27" s="75">
        <f t="shared" si="40"/>
        <v>5.3455470985220285E-2</v>
      </c>
      <c r="AT27" s="75">
        <f t="shared" si="40"/>
        <v>5.0936794082475083E-2</v>
      </c>
      <c r="AU27" s="75">
        <f t="shared" si="40"/>
        <v>-3.8381233112338422E-3</v>
      </c>
      <c r="AV27" s="75">
        <f t="shared" si="40"/>
        <v>1.7077916701164479E-2</v>
      </c>
      <c r="AW27" s="75">
        <f t="shared" si="40"/>
        <v>1.4622365615755105E-2</v>
      </c>
      <c r="AX27" s="75">
        <f t="shared" si="39"/>
        <v>7.6649946457759563E-2</v>
      </c>
      <c r="AY27" s="75">
        <f t="shared" si="39"/>
        <v>-0.11705207477035655</v>
      </c>
      <c r="AZ27" s="75">
        <f t="shared" si="39"/>
        <v>-4.2013496835850164E-2</v>
      </c>
      <c r="BA27" s="75">
        <f t="shared" si="39"/>
        <v>-6.0125595688774382E-2</v>
      </c>
      <c r="BB27" s="75">
        <f t="shared" si="39"/>
        <v>-0.13450536127003151</v>
      </c>
      <c r="BC27" s="75">
        <f t="shared" si="39"/>
        <v>-1.9530296372248911E-2</v>
      </c>
      <c r="BD27" s="75">
        <f t="shared" si="39"/>
        <v>5.8552207059722104E-2</v>
      </c>
      <c r="BE27" s="75">
        <f t="shared" si="39"/>
        <v>-0.11834098977794325</v>
      </c>
      <c r="BF27" s="75">
        <f t="shared" si="39"/>
        <v>-0.19183815835366924</v>
      </c>
      <c r="BG27" s="75">
        <f t="shared" si="39"/>
        <v>7.817275591292247E-2</v>
      </c>
      <c r="BH27" s="75">
        <f t="shared" si="39"/>
        <v>8.0759432334615772E-2</v>
      </c>
      <c r="BI27" s="75">
        <f t="shared" si="39"/>
        <v>-0.11756078823926011</v>
      </c>
      <c r="BJ27" s="75">
        <f t="shared" si="39"/>
        <v>-4.1047813861848297E-2</v>
      </c>
      <c r="BN27" s="59">
        <v>26</v>
      </c>
      <c r="BO27" s="79">
        <f t="shared" si="6"/>
        <v>9.6550299889869282E-2</v>
      </c>
      <c r="BP27" s="79">
        <f t="shared" si="2"/>
        <v>7.2059942322432166E-2</v>
      </c>
      <c r="BQ27" s="79">
        <f t="shared" si="42"/>
        <v>-8.5236405933915904E-2</v>
      </c>
      <c r="BR27" s="79">
        <f t="shared" si="42"/>
        <v>-6.9021274237860905E-2</v>
      </c>
      <c r="BS27" s="79">
        <f t="shared" si="42"/>
        <v>0.21915610527409357</v>
      </c>
      <c r="BT27" s="79">
        <f t="shared" si="42"/>
        <v>0.19126470882128735</v>
      </c>
      <c r="BU27" s="79">
        <f t="shared" si="42"/>
        <v>0.31596552527703159</v>
      </c>
      <c r="BV27" s="79">
        <f t="shared" si="42"/>
        <v>4.3431804165488065E-2</v>
      </c>
      <c r="BW27" s="79">
        <f t="shared" si="42"/>
        <v>2.2139612807480391E-2</v>
      </c>
      <c r="BX27" s="79">
        <f t="shared" si="42"/>
        <v>1.0482301685713371E-2</v>
      </c>
      <c r="BY27" s="79">
        <f t="shared" si="42"/>
        <v>9.5386994983426315E-2</v>
      </c>
      <c r="BZ27" s="79">
        <f t="shared" si="42"/>
        <v>0.16734090481049912</v>
      </c>
      <c r="CA27" s="79">
        <f t="shared" si="42"/>
        <v>0.14453325100746553</v>
      </c>
      <c r="CB27" s="79">
        <f t="shared" si="42"/>
        <v>5.2281163683004464E-2</v>
      </c>
      <c r="CC27" s="79">
        <f t="shared" si="42"/>
        <v>0.12464687322065479</v>
      </c>
      <c r="CD27" s="79">
        <f t="shared" si="41"/>
        <v>0.27147164225356119</v>
      </c>
      <c r="CE27" s="79">
        <f t="shared" si="41"/>
        <v>-1.5086099206420414E-2</v>
      </c>
      <c r="CF27" s="79">
        <f t="shared" si="41"/>
        <v>-3.2034295592123688E-2</v>
      </c>
      <c r="CG27" s="79">
        <f t="shared" si="41"/>
        <v>-0.15578957041568547</v>
      </c>
      <c r="CH27" s="79">
        <f t="shared" si="41"/>
        <v>-0.14018836341062416</v>
      </c>
      <c r="CI27" s="79">
        <f t="shared" si="41"/>
        <v>2.4432188973588075E-2</v>
      </c>
      <c r="CJ27" s="79">
        <f t="shared" si="41"/>
        <v>0.14705624954167135</v>
      </c>
      <c r="CK27" s="79">
        <f t="shared" si="41"/>
        <v>-0.30342972075752978</v>
      </c>
      <c r="CL27" s="79">
        <f t="shared" si="41"/>
        <v>-0.28687411362342008</v>
      </c>
      <c r="CM27" s="79">
        <f t="shared" si="41"/>
        <v>-1.0501071214227845E-2</v>
      </c>
      <c r="CN27" s="79">
        <f t="shared" si="41"/>
        <v>0.12482944489456449</v>
      </c>
      <c r="CO27" s="79">
        <f t="shared" si="41"/>
        <v>-0.16758638272946924</v>
      </c>
      <c r="CP27" s="79">
        <f t="shared" si="41"/>
        <v>-0.18109809532876397</v>
      </c>
      <c r="CU27" s="56">
        <v>26</v>
      </c>
      <c r="CV27" s="58">
        <f t="shared" si="7"/>
        <v>0.84601185255092626</v>
      </c>
      <c r="CW27" s="58">
        <f t="shared" si="8"/>
        <v>-0.68063548185587897</v>
      </c>
      <c r="CX27" s="58">
        <f t="shared" si="9"/>
        <v>-1.668782801621872</v>
      </c>
      <c r="CY27" s="58">
        <f t="shared" si="10"/>
        <v>0.35924143556266647</v>
      </c>
      <c r="CZ27" s="58">
        <f t="shared" si="11"/>
        <v>0.50238073120065374</v>
      </c>
      <c r="DA27" s="58">
        <f t="shared" si="12"/>
        <v>8.5840508648187444E-2</v>
      </c>
      <c r="DB27" s="58">
        <f t="shared" si="13"/>
        <v>-0.48853721566463637</v>
      </c>
      <c r="DC27" s="58">
        <f t="shared" si="14"/>
        <v>0.75760685755653323</v>
      </c>
      <c r="DF27" s="53">
        <v>26</v>
      </c>
      <c r="DG27" s="54">
        <f t="shared" si="36"/>
        <v>0.12482944489456449</v>
      </c>
      <c r="DH27" s="54">
        <f t="shared" si="15"/>
        <v>0.31596552527703159</v>
      </c>
      <c r="DI27" s="54">
        <f t="shared" si="16"/>
        <v>-0.16758638272946924</v>
      </c>
      <c r="DJ27" s="54">
        <f t="shared" si="17"/>
        <v>2.2139612807480391E-2</v>
      </c>
      <c r="DK27" s="54">
        <f t="shared" si="18"/>
        <v>-0.14453325100746553</v>
      </c>
      <c r="DL27" s="54">
        <f t="shared" si="19"/>
        <v>4.3431804165488065E-2</v>
      </c>
      <c r="DM27" s="54">
        <f t="shared" si="20"/>
        <v>-9.6550299889869282E-2</v>
      </c>
      <c r="DN27" s="54">
        <f t="shared" si="21"/>
        <v>9.5386994983426315E-2</v>
      </c>
      <c r="DO27" s="54">
        <f t="shared" si="22"/>
        <v>-2.4432188973588075E-2</v>
      </c>
      <c r="DP27" s="54">
        <f t="shared" si="23"/>
        <v>0.16734090481049912</v>
      </c>
      <c r="DQ27" s="54">
        <f t="shared" si="24"/>
        <v>-0.18109809532876397</v>
      </c>
      <c r="DR27" s="54">
        <f t="shared" si="25"/>
        <v>1.0482301685713371E-2</v>
      </c>
      <c r="DS27" s="54">
        <f t="shared" si="26"/>
        <v>-0.19126470882128735</v>
      </c>
      <c r="DT27" s="54">
        <f t="shared" si="27"/>
        <v>0.19126470882128735</v>
      </c>
      <c r="DX27">
        <v>26</v>
      </c>
      <c r="DY27" s="19">
        <f t="shared" si="4"/>
        <v>0.19209826619124259</v>
      </c>
      <c r="EM27" s="13">
        <v>26</v>
      </c>
      <c r="EN27" s="16">
        <f t="shared" si="28"/>
        <v>0.84601185255092626</v>
      </c>
      <c r="EO27" s="16">
        <f t="shared" si="5"/>
        <v>-0.68063548185587897</v>
      </c>
      <c r="EP27" s="16">
        <f t="shared" si="29"/>
        <v>-1.668782801621872</v>
      </c>
      <c r="EQ27" s="16">
        <f t="shared" si="30"/>
        <v>0.35924143556266647</v>
      </c>
      <c r="ER27" s="16">
        <f t="shared" si="31"/>
        <v>0.50238073120065374</v>
      </c>
      <c r="ES27" s="16">
        <f t="shared" si="32"/>
        <v>8.5840508648187444E-2</v>
      </c>
      <c r="ET27" s="16">
        <f t="shared" si="33"/>
        <v>-0.48853721566463637</v>
      </c>
      <c r="EU27" s="16">
        <f t="shared" si="34"/>
        <v>0.75760685755653323</v>
      </c>
      <c r="EW27" s="40">
        <f>'SATORI (D)'!EW6</f>
        <v>-11.470707093572216</v>
      </c>
      <c r="EX27" s="39" t="str">
        <f>'SATORI (D)'!EX6</f>
        <v>GBP</v>
      </c>
      <c r="FK27" s="20"/>
      <c r="FL27" s="20"/>
    </row>
    <row r="28" spans="1:168" ht="18.600000000000001" thickBot="1" x14ac:dyDescent="0.4">
      <c r="A28" s="37" t="s">
        <v>51</v>
      </c>
      <c r="B28" s="38">
        <v>26</v>
      </c>
      <c r="C28" s="63">
        <f>RTD("fxbluelabs.excelrtd", , "21422436","@bh,AUDUSD,h1,close,26")</f>
        <v>0.67415999999999998</v>
      </c>
      <c r="D28" s="64">
        <f>RTD("fxbluelabs.excelrtd", , "21422436","@bh,AUDNZD,h1,close,26")</f>
        <v>1.09714</v>
      </c>
      <c r="E28" s="65">
        <f>RTD("fxbluelabs.excelrtd", , "21422436","@bh,AUDJPY,h1,close,26")</f>
        <v>98.542000000000002</v>
      </c>
      <c r="F28" s="64">
        <f>RTD("fxbluelabs.excelrtd", , "21422436","@bh,AUDCHF,h1,close,26")</f>
        <v>0.57916999999999996</v>
      </c>
      <c r="G28" s="64">
        <f>RTD("fxbluelabs.excelrtd", , "21422436","@bh,AUDCAD,h1,close,26")</f>
        <v>0.91822999999999999</v>
      </c>
      <c r="H28" s="64">
        <f>RTD("fxbluelabs.excelrtd", , "21422436","@bh,EURUSD,h1,close,26")</f>
        <v>1.1098399999999999</v>
      </c>
      <c r="I28" s="64">
        <f>RTD("fxbluelabs.excelrtd", , "21422436","@bh,EURCAD,h1,close,26")</f>
        <v>1.5116099999999999</v>
      </c>
      <c r="J28" s="64">
        <f>RTD("fxbluelabs.excelrtd", , "21422436","@bh,EURGBP,h1,close,26")</f>
        <v>0.85192000000000001</v>
      </c>
      <c r="K28" s="64">
        <f>RTD("fxbluelabs.excelrtd", , "21422436","@bh,EURCHF,h1,close,26")</f>
        <v>0.95345999999999997</v>
      </c>
      <c r="L28" s="65">
        <f>RTD("fxbluelabs.excelrtd", , "21422436","@bh,EURJPY,h1,close,26")</f>
        <v>162.221</v>
      </c>
      <c r="M28" s="64">
        <f>RTD("fxbluelabs.excelrtd", , "21422436","@bh,EURAUD,h1,close,26")</f>
        <v>1.6462300000000001</v>
      </c>
      <c r="N28" s="64">
        <f>RTD("fxbluelabs.excelrtd", , "21422436","@bh,EURNZD,h1,close,26")</f>
        <v>1.80616</v>
      </c>
      <c r="O28" s="64">
        <f>RTD("fxbluelabs.excelrtd", , "21422436","@bh,GBPUSD,h1,close,26")</f>
        <v>1.3027200000000001</v>
      </c>
      <c r="P28" s="64">
        <f>RTD("fxbluelabs.excelrtd", , "21422436","@bh,GBPAUD,h1,close,26")</f>
        <v>1.93232</v>
      </c>
      <c r="Q28" s="64">
        <f>RTD("fxbluelabs.excelrtd", , "21422436","@bh,GBPNZD,h1,close,26")</f>
        <v>2.1200399999999999</v>
      </c>
      <c r="R28" s="64">
        <f>RTD("fxbluelabs.excelrtd", , "21422436","@bh,GBPCAD,h1,close,26")</f>
        <v>1.7743</v>
      </c>
      <c r="S28" s="64">
        <f>RTD("fxbluelabs.excelrtd", , "21422436","@bh,GBPCHF,h1,close,26")</f>
        <v>1.1191599999999999</v>
      </c>
      <c r="T28" s="65">
        <f>RTD("fxbluelabs.excelrtd", , "21422436","@bh,GBPJPY,h1,close,26")</f>
        <v>190.41499999999999</v>
      </c>
      <c r="U28" s="65">
        <f>RTD("fxbluelabs.excelrtd", , "21422436","@bh,NZDJPY,h1,close,26")</f>
        <v>89.811999999999998</v>
      </c>
      <c r="V28" s="64">
        <f>RTD("fxbluelabs.excelrtd", , "21422436","@bh,NZDCHF,h1,close,26")</f>
        <v>0.52786</v>
      </c>
      <c r="W28" s="64">
        <f>RTD("fxbluelabs.excelrtd", , "21422436","@bh,NZDUSD,h1,close,26")</f>
        <v>0.61443000000000003</v>
      </c>
      <c r="X28" s="64">
        <f>RTD("fxbluelabs.excelrtd", , "21422436","@bh,NZDCAD,h1,close,26")</f>
        <v>0.83686000000000005</v>
      </c>
      <c r="Y28" s="65">
        <f>RTD("fxbluelabs.excelrtd", , "21422436","@bh,CADJPY,h1,close,26")</f>
        <v>107.31699999999999</v>
      </c>
      <c r="Z28" s="64">
        <f>RTD("fxbluelabs.excelrtd", , "21422436","@bh,CADCHF,h1,close,26")</f>
        <v>0.63073999999999997</v>
      </c>
      <c r="AA28" s="65">
        <f>RTD("fxbluelabs.excelrtd", , "21422436","@bh,CHFJPY,h1,close,26")</f>
        <v>170.136</v>
      </c>
      <c r="AB28" s="64">
        <f>RTD("fxbluelabs.excelrtd", , "21422436","@bh,USDCAD,h1,close,26")</f>
        <v>1.3620699999999999</v>
      </c>
      <c r="AC28" s="64">
        <f>RTD("fxbluelabs.excelrtd", , "21422436","@bh,USDCHF,h1,close,26")</f>
        <v>0.85912999999999995</v>
      </c>
      <c r="AD28" s="66">
        <f>RTD("fxbluelabs.excelrtd", , "21422436","@bh,USDJPY,h1,close,26")</f>
        <v>146.17099999999999</v>
      </c>
      <c r="AH28" s="56">
        <v>27</v>
      </c>
      <c r="AI28" s="74">
        <f>IF(C28=0,0,(C28-C29)*100/C29)</f>
        <v>0.1158335560901724</v>
      </c>
      <c r="AJ28" s="74">
        <f t="shared" si="40"/>
        <v>7.3882863736281723E-2</v>
      </c>
      <c r="AK28" s="74">
        <f t="shared" si="40"/>
        <v>-2.5363458358265419E-2</v>
      </c>
      <c r="AL28" s="74">
        <f t="shared" si="40"/>
        <v>6.5654209644246772E-2</v>
      </c>
      <c r="AM28" s="74">
        <f t="shared" si="40"/>
        <v>0.16034731009206021</v>
      </c>
      <c r="AN28" s="74">
        <f t="shared" si="40"/>
        <v>0.15702553921124923</v>
      </c>
      <c r="AO28" s="74">
        <f t="shared" si="40"/>
        <v>0.20217956196637835</v>
      </c>
      <c r="AP28" s="74">
        <f t="shared" si="40"/>
        <v>7.0434108891202791E-3</v>
      </c>
      <c r="AQ28" s="74">
        <f t="shared" si="40"/>
        <v>0.10709336021166907</v>
      </c>
      <c r="AR28" s="74">
        <f t="shared" si="40"/>
        <v>1.6646731691687261E-2</v>
      </c>
      <c r="AS28" s="74">
        <f t="shared" si="40"/>
        <v>4.1931523998206023E-2</v>
      </c>
      <c r="AT28" s="74">
        <f t="shared" si="40"/>
        <v>0.11640411072802405</v>
      </c>
      <c r="AU28" s="74">
        <f t="shared" si="40"/>
        <v>0.14837137431869937</v>
      </c>
      <c r="AV28" s="74">
        <f t="shared" si="40"/>
        <v>3.5203246981839985E-2</v>
      </c>
      <c r="AW28" s="74">
        <f t="shared" si="40"/>
        <v>0.11002450760489968</v>
      </c>
      <c r="AX28" s="74">
        <f t="shared" si="39"/>
        <v>0.19482169579580164</v>
      </c>
      <c r="AY28" s="74">
        <f t="shared" si="39"/>
        <v>0.10196597556393613</v>
      </c>
      <c r="AZ28" s="74">
        <f t="shared" si="39"/>
        <v>9.9792012437264748E-3</v>
      </c>
      <c r="BA28" s="74">
        <f t="shared" si="39"/>
        <v>-9.5663974726911086E-2</v>
      </c>
      <c r="BB28" s="74">
        <f t="shared" si="39"/>
        <v>-5.6830021405926412E-3</v>
      </c>
      <c r="BC28" s="74">
        <f t="shared" si="39"/>
        <v>4.3962485345836987E-2</v>
      </c>
      <c r="BD28" s="74">
        <f t="shared" si="39"/>
        <v>8.8504042481949236E-2</v>
      </c>
      <c r="BE28" s="74">
        <f t="shared" si="39"/>
        <v>-0.18508873097958653</v>
      </c>
      <c r="BF28" s="74">
        <f t="shared" si="39"/>
        <v>-9.5035955269750838E-2</v>
      </c>
      <c r="BG28" s="74">
        <f t="shared" si="39"/>
        <v>-8.8673827127150315E-2</v>
      </c>
      <c r="BH28" s="74">
        <f t="shared" si="39"/>
        <v>4.4070012559948725E-2</v>
      </c>
      <c r="BI28" s="74">
        <f t="shared" si="39"/>
        <v>-5.0025594490209116E-2</v>
      </c>
      <c r="BJ28" s="74">
        <f t="shared" si="39"/>
        <v>-0.14005028146691567</v>
      </c>
      <c r="BN28" s="59">
        <v>27</v>
      </c>
      <c r="BO28" s="78">
        <f t="shared" si="6"/>
        <v>0.1158335560901724</v>
      </c>
      <c r="BP28" s="78">
        <f t="shared" si="2"/>
        <v>7.3882863736281723E-2</v>
      </c>
      <c r="BQ28" s="78">
        <f t="shared" si="42"/>
        <v>-2.5363458358265419E-2</v>
      </c>
      <c r="BR28" s="78">
        <f t="shared" si="42"/>
        <v>6.5654209644246772E-2</v>
      </c>
      <c r="BS28" s="78">
        <f t="shared" si="42"/>
        <v>0.16034731009206021</v>
      </c>
      <c r="BT28" s="78">
        <f t="shared" si="42"/>
        <v>0.15702553921124923</v>
      </c>
      <c r="BU28" s="78">
        <f t="shared" si="42"/>
        <v>0.20217956196637835</v>
      </c>
      <c r="BV28" s="78">
        <f t="shared" si="42"/>
        <v>7.0434108891202791E-3</v>
      </c>
      <c r="BW28" s="78">
        <f t="shared" si="42"/>
        <v>0.10709336021166907</v>
      </c>
      <c r="BX28" s="78">
        <f t="shared" si="42"/>
        <v>1.6646731691687261E-2</v>
      </c>
      <c r="BY28" s="78">
        <f t="shared" si="42"/>
        <v>4.1931523998206023E-2</v>
      </c>
      <c r="BZ28" s="78">
        <f t="shared" si="42"/>
        <v>0.11640411072802405</v>
      </c>
      <c r="CA28" s="78">
        <f t="shared" si="42"/>
        <v>0.14837137431869937</v>
      </c>
      <c r="CB28" s="78">
        <f t="shared" si="42"/>
        <v>3.5203246981839985E-2</v>
      </c>
      <c r="CC28" s="78">
        <f t="shared" si="42"/>
        <v>0.11002450760489968</v>
      </c>
      <c r="CD28" s="78">
        <f t="shared" si="41"/>
        <v>0.19482169579580164</v>
      </c>
      <c r="CE28" s="78">
        <f t="shared" si="41"/>
        <v>0.10196597556393613</v>
      </c>
      <c r="CF28" s="78">
        <f t="shared" si="41"/>
        <v>9.9792012437264748E-3</v>
      </c>
      <c r="CG28" s="78">
        <f t="shared" si="41"/>
        <v>-9.5663974726911086E-2</v>
      </c>
      <c r="CH28" s="78">
        <f t="shared" si="41"/>
        <v>-5.6830021405926412E-3</v>
      </c>
      <c r="CI28" s="78">
        <f t="shared" si="41"/>
        <v>4.3962485345836987E-2</v>
      </c>
      <c r="CJ28" s="78">
        <f t="shared" si="41"/>
        <v>8.8504042481949236E-2</v>
      </c>
      <c r="CK28" s="78">
        <f t="shared" si="41"/>
        <v>-0.18508873097958653</v>
      </c>
      <c r="CL28" s="78">
        <f t="shared" si="41"/>
        <v>-9.5035955269750838E-2</v>
      </c>
      <c r="CM28" s="78">
        <f t="shared" si="41"/>
        <v>-8.8673827127150315E-2</v>
      </c>
      <c r="CN28" s="78">
        <f t="shared" si="41"/>
        <v>4.4070012559948725E-2</v>
      </c>
      <c r="CO28" s="78">
        <f t="shared" si="41"/>
        <v>-5.0025594490209116E-2</v>
      </c>
      <c r="CP28" s="78">
        <f t="shared" si="41"/>
        <v>-0.14005028146691567</v>
      </c>
      <c r="CU28" s="56">
        <v>27</v>
      </c>
      <c r="CV28" s="57">
        <f t="shared" si="7"/>
        <v>0.64832423869633427</v>
      </c>
      <c r="CW28" s="57">
        <f t="shared" si="8"/>
        <v>-0.61119881836313406</v>
      </c>
      <c r="CX28" s="57">
        <f t="shared" si="9"/>
        <v>-0.97004730914547554</v>
      </c>
      <c r="CY28" s="57">
        <f t="shared" si="10"/>
        <v>-0.30767877591620052</v>
      </c>
      <c r="CZ28" s="57">
        <f t="shared" si="11"/>
        <v>0.59332259061978299</v>
      </c>
      <c r="DA28" s="57">
        <f t="shared" si="12"/>
        <v>0.31321971022444967</v>
      </c>
      <c r="DB28" s="57">
        <f t="shared" si="13"/>
        <v>-0.26919193110892298</v>
      </c>
      <c r="DC28" s="57">
        <f t="shared" si="14"/>
        <v>0.50821433972341534</v>
      </c>
      <c r="DF28" s="51">
        <v>27</v>
      </c>
      <c r="DG28" s="52">
        <f t="shared" si="36"/>
        <v>4.4070012559948725E-2</v>
      </c>
      <c r="DH28" s="52">
        <f t="shared" si="15"/>
        <v>0.20217956196637835</v>
      </c>
      <c r="DI28" s="52">
        <f t="shared" si="16"/>
        <v>-5.0025594490209116E-2</v>
      </c>
      <c r="DJ28" s="52">
        <f t="shared" si="17"/>
        <v>0.10709336021166907</v>
      </c>
      <c r="DK28" s="52">
        <f t="shared" si="18"/>
        <v>-0.14837137431869937</v>
      </c>
      <c r="DL28" s="52">
        <f t="shared" si="19"/>
        <v>7.0434108891202791E-3</v>
      </c>
      <c r="DM28" s="52">
        <f t="shared" si="20"/>
        <v>-0.1158335560901724</v>
      </c>
      <c r="DN28" s="52">
        <f t="shared" si="21"/>
        <v>4.1931523998206023E-2</v>
      </c>
      <c r="DO28" s="52">
        <f t="shared" si="22"/>
        <v>-4.3962485345836987E-2</v>
      </c>
      <c r="DP28" s="52">
        <f t="shared" si="23"/>
        <v>0.11640411072802405</v>
      </c>
      <c r="DQ28" s="52">
        <f t="shared" si="24"/>
        <v>-0.14005028146691567</v>
      </c>
      <c r="DR28" s="52">
        <f t="shared" si="25"/>
        <v>1.6646731691687261E-2</v>
      </c>
      <c r="DS28" s="52">
        <f t="shared" si="26"/>
        <v>-0.15702553921124923</v>
      </c>
      <c r="DT28" s="52">
        <f t="shared" si="27"/>
        <v>0.15702553921124923</v>
      </c>
      <c r="DX28">
        <v>27</v>
      </c>
      <c r="DY28" s="19">
        <f t="shared" si="4"/>
        <v>0.34200688725421108</v>
      </c>
      <c r="EM28" s="21">
        <v>27</v>
      </c>
      <c r="EN28" s="16">
        <f t="shared" si="28"/>
        <v>0.64832423869633427</v>
      </c>
      <c r="EO28" s="16">
        <f t="shared" si="5"/>
        <v>-0.61119881836313406</v>
      </c>
      <c r="EP28" s="16">
        <f t="shared" si="29"/>
        <v>-0.97004730914547554</v>
      </c>
      <c r="EQ28" s="16">
        <f t="shared" si="30"/>
        <v>-0.30767877591620052</v>
      </c>
      <c r="ER28" s="16">
        <f t="shared" si="31"/>
        <v>0.59332259061978299</v>
      </c>
      <c r="ES28" s="16">
        <f t="shared" si="32"/>
        <v>0.31321971022444967</v>
      </c>
      <c r="ET28" s="16">
        <f t="shared" si="33"/>
        <v>-0.26919193110892298</v>
      </c>
      <c r="EU28" s="16">
        <f t="shared" si="34"/>
        <v>0.50821433972341534</v>
      </c>
      <c r="EW28" s="40">
        <f>'SATORI (D)'!EW7</f>
        <v>-12.026121956761548</v>
      </c>
      <c r="EX28" s="39" t="str">
        <f>'SATORI (D)'!EX7</f>
        <v>CAD</v>
      </c>
      <c r="FK28" s="20"/>
      <c r="FL28" s="20"/>
    </row>
    <row r="29" spans="1:168" ht="18.600000000000001" thickBot="1" x14ac:dyDescent="0.4">
      <c r="A29" s="37" t="s">
        <v>51</v>
      </c>
      <c r="B29" s="38">
        <v>27</v>
      </c>
      <c r="C29" s="63">
        <f>RTD("fxbluelabs.excelrtd", , "21422436","@bh,AUDUSD,h1,close,27")</f>
        <v>0.67337999999999998</v>
      </c>
      <c r="D29" s="64">
        <f>RTD("fxbluelabs.excelrtd", , "21422436","@bh,AUDNZD,h1,close,27")</f>
        <v>1.09633</v>
      </c>
      <c r="E29" s="65">
        <f>RTD("fxbluelabs.excelrtd", , "21422436","@bh,AUDJPY,h1,close,27")</f>
        <v>98.566999999999993</v>
      </c>
      <c r="F29" s="64">
        <f>RTD("fxbluelabs.excelrtd", , "21422436","@bh,AUDCHF,h1,close,27")</f>
        <v>0.57879000000000003</v>
      </c>
      <c r="G29" s="64">
        <f>RTD("fxbluelabs.excelrtd", , "21422436","@bh,AUDCAD,h1,close,27")</f>
        <v>0.91676000000000002</v>
      </c>
      <c r="H29" s="64">
        <f>RTD("fxbluelabs.excelrtd", , "21422436","@bh,EURUSD,h1,close,27")</f>
        <v>1.1081000000000001</v>
      </c>
      <c r="I29" s="64">
        <f>RTD("fxbluelabs.excelrtd", , "21422436","@bh,EURCAD,h1,close,27")</f>
        <v>1.5085599999999999</v>
      </c>
      <c r="J29" s="64">
        <f>RTD("fxbluelabs.excelrtd", , "21422436","@bh,EURGBP,h1,close,27")</f>
        <v>0.85185999999999995</v>
      </c>
      <c r="K29" s="64">
        <f>RTD("fxbluelabs.excelrtd", , "21422436","@bh,EURCHF,h1,close,27")</f>
        <v>0.95243999999999995</v>
      </c>
      <c r="L29" s="65">
        <f>RTD("fxbluelabs.excelrtd", , "21422436","@bh,EURJPY,h1,close,27")</f>
        <v>162.19399999999999</v>
      </c>
      <c r="M29" s="64">
        <f>RTD("fxbluelabs.excelrtd", , "21422436","@bh,EURAUD,h1,close,27")</f>
        <v>1.64554</v>
      </c>
      <c r="N29" s="64">
        <f>RTD("fxbluelabs.excelrtd", , "21422436","@bh,EURNZD,h1,close,27")</f>
        <v>1.80406</v>
      </c>
      <c r="O29" s="64">
        <f>RTD("fxbluelabs.excelrtd", , "21422436","@bh,GBPUSD,h1,close,27")</f>
        <v>1.3007899999999999</v>
      </c>
      <c r="P29" s="64">
        <f>RTD("fxbluelabs.excelrtd", , "21422436","@bh,GBPAUD,h1,close,27")</f>
        <v>1.93164</v>
      </c>
      <c r="Q29" s="64">
        <f>RTD("fxbluelabs.excelrtd", , "21422436","@bh,GBPNZD,h1,close,27")</f>
        <v>2.1177100000000002</v>
      </c>
      <c r="R29" s="64">
        <f>RTD("fxbluelabs.excelrtd", , "21422436","@bh,GBPCAD,h1,close,27")</f>
        <v>1.77085</v>
      </c>
      <c r="S29" s="64">
        <f>RTD("fxbluelabs.excelrtd", , "21422436","@bh,GBPCHF,h1,close,27")</f>
        <v>1.11802</v>
      </c>
      <c r="T29" s="65">
        <f>RTD("fxbluelabs.excelrtd", , "21422436","@bh,GBPJPY,h1,close,27")</f>
        <v>190.39599999999999</v>
      </c>
      <c r="U29" s="65">
        <f>RTD("fxbluelabs.excelrtd", , "21422436","@bh,NZDJPY,h1,close,27")</f>
        <v>89.897999999999996</v>
      </c>
      <c r="V29" s="64">
        <f>RTD("fxbluelabs.excelrtd", , "21422436","@bh,NZDCHF,h1,close,27")</f>
        <v>0.52788999999999997</v>
      </c>
      <c r="W29" s="64">
        <f>RTD("fxbluelabs.excelrtd", , "21422436","@bh,NZDUSD,h1,close,27")</f>
        <v>0.61416000000000004</v>
      </c>
      <c r="X29" s="64">
        <f>RTD("fxbluelabs.excelrtd", , "21422436","@bh,NZDCAD,h1,close,27")</f>
        <v>0.83611999999999997</v>
      </c>
      <c r="Y29" s="65">
        <f>RTD("fxbluelabs.excelrtd", , "21422436","@bh,CADJPY,h1,close,27")</f>
        <v>107.51600000000001</v>
      </c>
      <c r="Z29" s="64">
        <f>RTD("fxbluelabs.excelrtd", , "21422436","@bh,CADCHF,h1,close,27")</f>
        <v>0.63134000000000001</v>
      </c>
      <c r="AA29" s="65">
        <f>RTD("fxbluelabs.excelrtd", , "21422436","@bh,CHFJPY,h1,close,27")</f>
        <v>170.28700000000001</v>
      </c>
      <c r="AB29" s="64">
        <f>RTD("fxbluelabs.excelrtd", , "21422436","@bh,USDCAD,h1,close,27")</f>
        <v>1.36147</v>
      </c>
      <c r="AC29" s="64">
        <f>RTD("fxbluelabs.excelrtd", , "21422436","@bh,USDCHF,h1,close,27")</f>
        <v>0.85955999999999999</v>
      </c>
      <c r="AD29" s="66">
        <f>RTD("fxbluelabs.excelrtd", , "21422436","@bh,USDJPY,h1,close,27")</f>
        <v>146.376</v>
      </c>
      <c r="AH29" s="56">
        <v>28</v>
      </c>
      <c r="AI29" s="75">
        <f>0</f>
        <v>0</v>
      </c>
      <c r="AJ29" s="75">
        <f>0</f>
        <v>0</v>
      </c>
      <c r="AK29" s="75">
        <f>0</f>
        <v>0</v>
      </c>
      <c r="AL29" s="75">
        <f>0</f>
        <v>0</v>
      </c>
      <c r="AM29" s="75">
        <f>0</f>
        <v>0</v>
      </c>
      <c r="AN29" s="75">
        <f>0</f>
        <v>0</v>
      </c>
      <c r="AO29" s="75">
        <f>0</f>
        <v>0</v>
      </c>
      <c r="AP29" s="75">
        <f>0</f>
        <v>0</v>
      </c>
      <c r="AQ29" s="75">
        <f>0</f>
        <v>0</v>
      </c>
      <c r="AR29" s="75">
        <f>0</f>
        <v>0</v>
      </c>
      <c r="AS29" s="75">
        <f>0</f>
        <v>0</v>
      </c>
      <c r="AT29" s="75">
        <f>0</f>
        <v>0</v>
      </c>
      <c r="AU29" s="75">
        <f>0</f>
        <v>0</v>
      </c>
      <c r="AV29" s="75">
        <f>0</f>
        <v>0</v>
      </c>
      <c r="AW29" s="75">
        <f>0</f>
        <v>0</v>
      </c>
      <c r="AX29" s="75">
        <f>0</f>
        <v>0</v>
      </c>
      <c r="AY29" s="75">
        <f>0</f>
        <v>0</v>
      </c>
      <c r="AZ29" s="75">
        <f>0</f>
        <v>0</v>
      </c>
      <c r="BA29" s="75">
        <f>0</f>
        <v>0</v>
      </c>
      <c r="BB29" s="75">
        <f>0</f>
        <v>0</v>
      </c>
      <c r="BC29" s="75">
        <f>0</f>
        <v>0</v>
      </c>
      <c r="BD29" s="75">
        <f>0</f>
        <v>0</v>
      </c>
      <c r="BE29" s="75">
        <f>0</f>
        <v>0</v>
      </c>
      <c r="BF29" s="75">
        <f>0</f>
        <v>0</v>
      </c>
      <c r="BG29" s="75">
        <f>0</f>
        <v>0</v>
      </c>
      <c r="BH29" s="75">
        <f>0</f>
        <v>0</v>
      </c>
      <c r="BI29" s="75">
        <f>0</f>
        <v>0</v>
      </c>
      <c r="BJ29" s="75">
        <f>0</f>
        <v>0</v>
      </c>
      <c r="BN29" s="59">
        <v>28</v>
      </c>
      <c r="BO29" s="79">
        <f t="shared" ref="BO29:BO37" si="43">AI29+SUM(AI30:AI130)</f>
        <v>0</v>
      </c>
      <c r="BP29" s="79">
        <f t="shared" ref="BP29:BP37" si="44">AJ29+SUM(AJ30:AJ130)</f>
        <v>0</v>
      </c>
      <c r="BQ29" s="79">
        <f t="shared" ref="BQ29:CP37" si="45">AK29+SUM(AK30:AK130)</f>
        <v>0</v>
      </c>
      <c r="BR29" s="79">
        <f t="shared" si="45"/>
        <v>0</v>
      </c>
      <c r="BS29" s="79">
        <f t="shared" si="45"/>
        <v>0</v>
      </c>
      <c r="BT29" s="79">
        <f t="shared" si="45"/>
        <v>0</v>
      </c>
      <c r="BU29" s="79">
        <f t="shared" si="45"/>
        <v>0</v>
      </c>
      <c r="BV29" s="79">
        <f t="shared" si="45"/>
        <v>0</v>
      </c>
      <c r="BW29" s="79">
        <f t="shared" si="45"/>
        <v>0</v>
      </c>
      <c r="BX29" s="79">
        <f t="shared" si="45"/>
        <v>0</v>
      </c>
      <c r="BY29" s="79">
        <f t="shared" si="45"/>
        <v>0</v>
      </c>
      <c r="BZ29" s="79">
        <f t="shared" si="45"/>
        <v>0</v>
      </c>
      <c r="CA29" s="79">
        <f t="shared" si="45"/>
        <v>0</v>
      </c>
      <c r="CB29" s="79">
        <f t="shared" si="45"/>
        <v>0</v>
      </c>
      <c r="CC29" s="79">
        <f t="shared" si="45"/>
        <v>0</v>
      </c>
      <c r="CD29" s="79">
        <f t="shared" si="45"/>
        <v>0</v>
      </c>
      <c r="CE29" s="79">
        <f t="shared" si="45"/>
        <v>0</v>
      </c>
      <c r="CF29" s="79">
        <f t="shared" si="45"/>
        <v>0</v>
      </c>
      <c r="CG29" s="79">
        <f t="shared" si="45"/>
        <v>0</v>
      </c>
      <c r="CH29" s="79">
        <f t="shared" si="45"/>
        <v>0</v>
      </c>
      <c r="CI29" s="79">
        <f t="shared" si="45"/>
        <v>0</v>
      </c>
      <c r="CJ29" s="79">
        <f t="shared" si="45"/>
        <v>0</v>
      </c>
      <c r="CK29" s="79">
        <f t="shared" si="45"/>
        <v>0</v>
      </c>
      <c r="CL29" s="79">
        <f t="shared" si="45"/>
        <v>0</v>
      </c>
      <c r="CM29" s="79">
        <f t="shared" si="45"/>
        <v>0</v>
      </c>
      <c r="CN29" s="79">
        <f t="shared" si="45"/>
        <v>0</v>
      </c>
      <c r="CO29" s="79">
        <f t="shared" si="45"/>
        <v>0</v>
      </c>
      <c r="CP29" s="79">
        <f t="shared" si="45"/>
        <v>0</v>
      </c>
      <c r="CU29" s="56">
        <v>28</v>
      </c>
      <c r="CV29" s="58">
        <f t="shared" si="7"/>
        <v>0</v>
      </c>
      <c r="CW29" s="58">
        <f t="shared" si="8"/>
        <v>0</v>
      </c>
      <c r="CX29" s="58">
        <f t="shared" si="9"/>
        <v>0</v>
      </c>
      <c r="CY29" s="58">
        <f t="shared" si="10"/>
        <v>0</v>
      </c>
      <c r="CZ29" s="58">
        <f t="shared" si="11"/>
        <v>0</v>
      </c>
      <c r="DA29" s="58">
        <f t="shared" si="12"/>
        <v>0</v>
      </c>
      <c r="DB29" s="58">
        <f t="shared" si="13"/>
        <v>0</v>
      </c>
      <c r="DC29" s="58">
        <f t="shared" si="14"/>
        <v>0</v>
      </c>
      <c r="DF29" s="51">
        <v>28</v>
      </c>
      <c r="DG29" s="54">
        <f t="shared" si="36"/>
        <v>0</v>
      </c>
      <c r="DH29" s="54">
        <f t="shared" si="15"/>
        <v>0</v>
      </c>
      <c r="DI29" s="54">
        <f t="shared" si="16"/>
        <v>0</v>
      </c>
      <c r="DJ29" s="54">
        <f t="shared" si="17"/>
        <v>0</v>
      </c>
      <c r="DK29" s="54">
        <f t="shared" si="18"/>
        <v>0</v>
      </c>
      <c r="DL29" s="54">
        <f t="shared" si="19"/>
        <v>0</v>
      </c>
      <c r="DM29" s="54">
        <f t="shared" si="20"/>
        <v>0</v>
      </c>
      <c r="DN29" s="54">
        <f t="shared" si="21"/>
        <v>0</v>
      </c>
      <c r="DO29" s="54">
        <f t="shared" si="22"/>
        <v>0</v>
      </c>
      <c r="DP29" s="54">
        <f t="shared" si="23"/>
        <v>0</v>
      </c>
      <c r="DQ29" s="54">
        <f t="shared" si="24"/>
        <v>0</v>
      </c>
      <c r="DR29" s="54">
        <f t="shared" si="25"/>
        <v>0</v>
      </c>
      <c r="DS29" s="54">
        <f t="shared" si="26"/>
        <v>0</v>
      </c>
      <c r="DT29" s="54">
        <f t="shared" si="27"/>
        <v>0</v>
      </c>
      <c r="DX29">
        <v>28</v>
      </c>
      <c r="DY29" s="19">
        <f t="shared" si="4"/>
        <v>0</v>
      </c>
      <c r="EM29" s="21">
        <v>28</v>
      </c>
      <c r="EN29" s="16">
        <f t="shared" si="28"/>
        <v>0</v>
      </c>
      <c r="EO29" s="16">
        <f t="shared" si="5"/>
        <v>0</v>
      </c>
      <c r="EP29" s="16">
        <f t="shared" si="29"/>
        <v>0</v>
      </c>
      <c r="EQ29" s="16">
        <f t="shared" si="30"/>
        <v>0</v>
      </c>
      <c r="ER29" s="16">
        <f t="shared" si="31"/>
        <v>0</v>
      </c>
      <c r="ES29" s="16">
        <f t="shared" si="32"/>
        <v>0</v>
      </c>
      <c r="ET29" s="16">
        <f t="shared" si="33"/>
        <v>0</v>
      </c>
      <c r="EU29" s="16">
        <f t="shared" si="34"/>
        <v>0</v>
      </c>
      <c r="EW29" s="40">
        <f>'SATORI (D)'!EW8</f>
        <v>-16.731122668639028</v>
      </c>
      <c r="EX29" s="39" t="str">
        <f>'SATORI (D)'!EX8</f>
        <v>USD</v>
      </c>
      <c r="FK29" s="20"/>
      <c r="FL29" s="20"/>
    </row>
    <row r="30" spans="1:168" ht="18.600000000000001" thickBot="1" x14ac:dyDescent="0.4">
      <c r="C30" s="67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0</v>
      </c>
      <c r="X30" s="68">
        <v>0</v>
      </c>
      <c r="Y30" s="68">
        <v>0</v>
      </c>
      <c r="Z30" s="68">
        <v>0</v>
      </c>
      <c r="AA30" s="68">
        <v>0</v>
      </c>
      <c r="AB30" s="68">
        <v>0</v>
      </c>
      <c r="AC30" s="68">
        <v>0</v>
      </c>
      <c r="AD30" s="69">
        <v>0</v>
      </c>
      <c r="AH30" s="56">
        <v>29</v>
      </c>
      <c r="AI30" s="74">
        <f t="shared" ref="AI30:AX36" si="46">IF(C30=0,0,(C30-C31)*100/C31)</f>
        <v>0</v>
      </c>
      <c r="AJ30" s="74">
        <f t="shared" si="46"/>
        <v>0</v>
      </c>
      <c r="AK30" s="74">
        <f t="shared" si="46"/>
        <v>0</v>
      </c>
      <c r="AL30" s="74">
        <f t="shared" si="46"/>
        <v>0</v>
      </c>
      <c r="AM30" s="74">
        <f t="shared" si="46"/>
        <v>0</v>
      </c>
      <c r="AN30" s="74">
        <f t="shared" si="46"/>
        <v>0</v>
      </c>
      <c r="AO30" s="74">
        <f t="shared" si="46"/>
        <v>0</v>
      </c>
      <c r="AP30" s="74">
        <f t="shared" si="46"/>
        <v>0</v>
      </c>
      <c r="AQ30" s="74">
        <f t="shared" si="46"/>
        <v>0</v>
      </c>
      <c r="AR30" s="74">
        <f t="shared" si="46"/>
        <v>0</v>
      </c>
      <c r="AS30" s="74">
        <f t="shared" si="46"/>
        <v>0</v>
      </c>
      <c r="AT30" s="74">
        <f t="shared" si="46"/>
        <v>0</v>
      </c>
      <c r="AU30" s="74">
        <f t="shared" si="46"/>
        <v>0</v>
      </c>
      <c r="AV30" s="74">
        <f t="shared" si="46"/>
        <v>0</v>
      </c>
      <c r="AW30" s="74">
        <f t="shared" si="46"/>
        <v>0</v>
      </c>
      <c r="AX30" s="74">
        <f t="shared" si="46"/>
        <v>0</v>
      </c>
      <c r="AY30" s="74">
        <f t="shared" ref="AY30:BJ36" si="47">IF(S30=0,0,(S30-S31)*100/S31)</f>
        <v>0</v>
      </c>
      <c r="AZ30" s="74">
        <f t="shared" si="47"/>
        <v>0</v>
      </c>
      <c r="BA30" s="74">
        <f t="shared" si="47"/>
        <v>0</v>
      </c>
      <c r="BB30" s="74">
        <f t="shared" si="47"/>
        <v>0</v>
      </c>
      <c r="BC30" s="74">
        <f t="shared" si="47"/>
        <v>0</v>
      </c>
      <c r="BD30" s="74">
        <f t="shared" si="47"/>
        <v>0</v>
      </c>
      <c r="BE30" s="74">
        <f t="shared" si="47"/>
        <v>0</v>
      </c>
      <c r="BF30" s="74">
        <f t="shared" si="47"/>
        <v>0</v>
      </c>
      <c r="BG30" s="74">
        <f t="shared" si="47"/>
        <v>0</v>
      </c>
      <c r="BH30" s="74">
        <f t="shared" si="47"/>
        <v>0</v>
      </c>
      <c r="BI30" s="74">
        <f t="shared" si="47"/>
        <v>0</v>
      </c>
      <c r="BJ30" s="74">
        <f t="shared" si="47"/>
        <v>0</v>
      </c>
      <c r="BN30" s="59">
        <v>29</v>
      </c>
      <c r="BO30" s="78">
        <f t="shared" si="43"/>
        <v>0</v>
      </c>
      <c r="BP30" s="78">
        <f t="shared" si="44"/>
        <v>0</v>
      </c>
      <c r="BQ30" s="78">
        <f t="shared" si="45"/>
        <v>0</v>
      </c>
      <c r="BR30" s="78">
        <f t="shared" si="45"/>
        <v>0</v>
      </c>
      <c r="BS30" s="78">
        <f t="shared" si="45"/>
        <v>0</v>
      </c>
      <c r="BT30" s="78">
        <f t="shared" si="45"/>
        <v>0</v>
      </c>
      <c r="BU30" s="78">
        <f t="shared" si="45"/>
        <v>0</v>
      </c>
      <c r="BV30" s="78">
        <f t="shared" si="45"/>
        <v>0</v>
      </c>
      <c r="BW30" s="78">
        <f t="shared" si="45"/>
        <v>0</v>
      </c>
      <c r="BX30" s="78">
        <f t="shared" si="45"/>
        <v>0</v>
      </c>
      <c r="BY30" s="78">
        <f t="shared" si="45"/>
        <v>0</v>
      </c>
      <c r="BZ30" s="78">
        <f t="shared" si="45"/>
        <v>0</v>
      </c>
      <c r="CA30" s="78">
        <f t="shared" si="45"/>
        <v>0</v>
      </c>
      <c r="CB30" s="78">
        <f t="shared" si="45"/>
        <v>0</v>
      </c>
      <c r="CC30" s="78">
        <f t="shared" si="45"/>
        <v>0</v>
      </c>
      <c r="CD30" s="78">
        <f t="shared" si="45"/>
        <v>0</v>
      </c>
      <c r="CE30" s="78">
        <f t="shared" si="45"/>
        <v>0</v>
      </c>
      <c r="CF30" s="78">
        <f t="shared" si="45"/>
        <v>0</v>
      </c>
      <c r="CG30" s="78">
        <f t="shared" si="45"/>
        <v>0</v>
      </c>
      <c r="CH30" s="78">
        <f t="shared" si="45"/>
        <v>0</v>
      </c>
      <c r="CI30" s="78">
        <f t="shared" si="45"/>
        <v>0</v>
      </c>
      <c r="CJ30" s="78">
        <f t="shared" si="45"/>
        <v>0</v>
      </c>
      <c r="CK30" s="78">
        <f t="shared" si="45"/>
        <v>0</v>
      </c>
      <c r="CL30" s="78">
        <f t="shared" si="45"/>
        <v>0</v>
      </c>
      <c r="CM30" s="78">
        <f t="shared" si="45"/>
        <v>0</v>
      </c>
      <c r="CN30" s="78">
        <f t="shared" si="45"/>
        <v>0</v>
      </c>
      <c r="CO30" s="78">
        <f t="shared" si="45"/>
        <v>0</v>
      </c>
      <c r="CP30" s="78">
        <f t="shared" si="45"/>
        <v>0</v>
      </c>
      <c r="CU30" s="56">
        <v>29</v>
      </c>
      <c r="CV30" s="57">
        <f t="shared" si="7"/>
        <v>0</v>
      </c>
      <c r="CW30" s="57">
        <f t="shared" si="8"/>
        <v>0</v>
      </c>
      <c r="CX30" s="57">
        <f t="shared" si="9"/>
        <v>0</v>
      </c>
      <c r="CY30" s="57">
        <f t="shared" si="10"/>
        <v>0</v>
      </c>
      <c r="CZ30" s="57">
        <f t="shared" si="11"/>
        <v>0</v>
      </c>
      <c r="DA30" s="57">
        <f t="shared" si="12"/>
        <v>0</v>
      </c>
      <c r="DB30" s="57">
        <f t="shared" si="13"/>
        <v>0</v>
      </c>
      <c r="DC30" s="57">
        <f t="shared" si="14"/>
        <v>0</v>
      </c>
      <c r="DF30" s="53">
        <v>29</v>
      </c>
      <c r="DG30" s="52">
        <f t="shared" si="36"/>
        <v>0</v>
      </c>
      <c r="DH30" s="52">
        <f t="shared" si="15"/>
        <v>0</v>
      </c>
      <c r="DI30" s="52">
        <f t="shared" si="16"/>
        <v>0</v>
      </c>
      <c r="DJ30" s="52">
        <f t="shared" si="17"/>
        <v>0</v>
      </c>
      <c r="DK30" s="52">
        <f t="shared" si="18"/>
        <v>0</v>
      </c>
      <c r="DL30" s="52">
        <f t="shared" si="19"/>
        <v>0</v>
      </c>
      <c r="DM30" s="52">
        <f t="shared" si="20"/>
        <v>0</v>
      </c>
      <c r="DN30" s="52">
        <f t="shared" si="21"/>
        <v>0</v>
      </c>
      <c r="DO30" s="52">
        <f t="shared" si="22"/>
        <v>0</v>
      </c>
      <c r="DP30" s="52">
        <f t="shared" si="23"/>
        <v>0</v>
      </c>
      <c r="DQ30" s="52">
        <f t="shared" si="24"/>
        <v>0</v>
      </c>
      <c r="DR30" s="52">
        <f t="shared" si="25"/>
        <v>0</v>
      </c>
      <c r="DS30" s="52">
        <f t="shared" si="26"/>
        <v>0</v>
      </c>
      <c r="DT30" s="52">
        <f t="shared" si="27"/>
        <v>0</v>
      </c>
      <c r="DX30">
        <v>29</v>
      </c>
      <c r="DY30" s="19">
        <f t="shared" si="4"/>
        <v>0</v>
      </c>
      <c r="EM30" s="21">
        <v>29</v>
      </c>
      <c r="EN30" s="16">
        <f t="shared" si="28"/>
        <v>0</v>
      </c>
      <c r="EO30" s="16">
        <f t="shared" si="5"/>
        <v>0</v>
      </c>
      <c r="EP30" s="16">
        <f t="shared" si="29"/>
        <v>0</v>
      </c>
      <c r="EQ30" s="16">
        <f t="shared" si="30"/>
        <v>0</v>
      </c>
      <c r="ER30" s="16">
        <f t="shared" si="31"/>
        <v>0</v>
      </c>
      <c r="ES30" s="16">
        <f t="shared" si="32"/>
        <v>0</v>
      </c>
      <c r="ET30" s="16">
        <f t="shared" si="33"/>
        <v>0</v>
      </c>
      <c r="EU30" s="16">
        <f t="shared" si="34"/>
        <v>0</v>
      </c>
      <c r="EW30" s="40">
        <f>'SATORI (D)'!EW9</f>
        <v>-19.168351983298134</v>
      </c>
      <c r="EX30" s="39" t="str">
        <f>'SATORI (D)'!EX9</f>
        <v>AUD</v>
      </c>
      <c r="FK30" s="20"/>
      <c r="FL30" s="20"/>
    </row>
    <row r="31" spans="1:168" ht="14.4" thickBot="1" x14ac:dyDescent="0.35">
      <c r="C31" s="67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0</v>
      </c>
      <c r="X31" s="68">
        <v>0</v>
      </c>
      <c r="Y31" s="68">
        <v>0</v>
      </c>
      <c r="Z31" s="68">
        <v>0</v>
      </c>
      <c r="AA31" s="68">
        <v>0</v>
      </c>
      <c r="AB31" s="68">
        <v>0</v>
      </c>
      <c r="AC31" s="68">
        <v>0</v>
      </c>
      <c r="AD31" s="69">
        <v>0</v>
      </c>
      <c r="AH31" s="56">
        <v>30</v>
      </c>
      <c r="AI31" s="75">
        <f t="shared" si="46"/>
        <v>0</v>
      </c>
      <c r="AJ31" s="75">
        <f t="shared" si="46"/>
        <v>0</v>
      </c>
      <c r="AK31" s="75">
        <f t="shared" si="46"/>
        <v>0</v>
      </c>
      <c r="AL31" s="75">
        <f t="shared" si="46"/>
        <v>0</v>
      </c>
      <c r="AM31" s="75">
        <f t="shared" si="46"/>
        <v>0</v>
      </c>
      <c r="AN31" s="75">
        <f t="shared" si="46"/>
        <v>0</v>
      </c>
      <c r="AO31" s="75">
        <f t="shared" si="46"/>
        <v>0</v>
      </c>
      <c r="AP31" s="75">
        <f t="shared" si="46"/>
        <v>0</v>
      </c>
      <c r="AQ31" s="75">
        <f t="shared" si="46"/>
        <v>0</v>
      </c>
      <c r="AR31" s="75">
        <f t="shared" si="46"/>
        <v>0</v>
      </c>
      <c r="AS31" s="75">
        <f t="shared" si="46"/>
        <v>0</v>
      </c>
      <c r="AT31" s="75">
        <f t="shared" si="46"/>
        <v>0</v>
      </c>
      <c r="AU31" s="75">
        <f t="shared" si="46"/>
        <v>0</v>
      </c>
      <c r="AV31" s="75">
        <f t="shared" si="46"/>
        <v>0</v>
      </c>
      <c r="AW31" s="75">
        <f t="shared" si="46"/>
        <v>0</v>
      </c>
      <c r="AX31" s="75">
        <f t="shared" si="46"/>
        <v>0</v>
      </c>
      <c r="AY31" s="75">
        <f t="shared" si="47"/>
        <v>0</v>
      </c>
      <c r="AZ31" s="75">
        <f t="shared" si="47"/>
        <v>0</v>
      </c>
      <c r="BA31" s="75">
        <f t="shared" si="47"/>
        <v>0</v>
      </c>
      <c r="BB31" s="75">
        <f t="shared" si="47"/>
        <v>0</v>
      </c>
      <c r="BC31" s="75">
        <f t="shared" si="47"/>
        <v>0</v>
      </c>
      <c r="BD31" s="75">
        <f t="shared" si="47"/>
        <v>0</v>
      </c>
      <c r="BE31" s="75">
        <f t="shared" si="47"/>
        <v>0</v>
      </c>
      <c r="BF31" s="75">
        <f t="shared" si="47"/>
        <v>0</v>
      </c>
      <c r="BG31" s="75">
        <f t="shared" si="47"/>
        <v>0</v>
      </c>
      <c r="BH31" s="75">
        <f t="shared" si="47"/>
        <v>0</v>
      </c>
      <c r="BI31" s="75">
        <f t="shared" si="47"/>
        <v>0</v>
      </c>
      <c r="BJ31" s="75">
        <f t="shared" si="47"/>
        <v>0</v>
      </c>
      <c r="BN31" s="59">
        <v>30</v>
      </c>
      <c r="BO31" s="79">
        <f t="shared" si="43"/>
        <v>0</v>
      </c>
      <c r="BP31" s="79">
        <f t="shared" si="44"/>
        <v>0</v>
      </c>
      <c r="BQ31" s="79">
        <f t="shared" si="45"/>
        <v>0</v>
      </c>
      <c r="BR31" s="79">
        <f t="shared" si="45"/>
        <v>0</v>
      </c>
      <c r="BS31" s="79">
        <f t="shared" si="45"/>
        <v>0</v>
      </c>
      <c r="BT31" s="79">
        <f t="shared" si="45"/>
        <v>0</v>
      </c>
      <c r="BU31" s="79">
        <f t="shared" si="45"/>
        <v>0</v>
      </c>
      <c r="BV31" s="79">
        <f t="shared" si="45"/>
        <v>0</v>
      </c>
      <c r="BW31" s="79">
        <f t="shared" si="45"/>
        <v>0</v>
      </c>
      <c r="BX31" s="79">
        <f t="shared" si="45"/>
        <v>0</v>
      </c>
      <c r="BY31" s="79">
        <f t="shared" si="45"/>
        <v>0</v>
      </c>
      <c r="BZ31" s="79">
        <f t="shared" si="45"/>
        <v>0</v>
      </c>
      <c r="CA31" s="79">
        <f t="shared" si="45"/>
        <v>0</v>
      </c>
      <c r="CB31" s="79">
        <f t="shared" si="45"/>
        <v>0</v>
      </c>
      <c r="CC31" s="79">
        <f t="shared" si="45"/>
        <v>0</v>
      </c>
      <c r="CD31" s="79">
        <f t="shared" si="45"/>
        <v>0</v>
      </c>
      <c r="CE31" s="79">
        <f t="shared" si="45"/>
        <v>0</v>
      </c>
      <c r="CF31" s="79">
        <f t="shared" si="45"/>
        <v>0</v>
      </c>
      <c r="CG31" s="79">
        <f t="shared" si="45"/>
        <v>0</v>
      </c>
      <c r="CH31" s="79">
        <f t="shared" si="45"/>
        <v>0</v>
      </c>
      <c r="CI31" s="79">
        <f t="shared" si="45"/>
        <v>0</v>
      </c>
      <c r="CJ31" s="79">
        <f t="shared" si="45"/>
        <v>0</v>
      </c>
      <c r="CK31" s="79">
        <f t="shared" si="45"/>
        <v>0</v>
      </c>
      <c r="CL31" s="79">
        <f t="shared" si="45"/>
        <v>0</v>
      </c>
      <c r="CM31" s="79">
        <f t="shared" si="45"/>
        <v>0</v>
      </c>
      <c r="CN31" s="79">
        <f t="shared" si="45"/>
        <v>0</v>
      </c>
      <c r="CO31" s="79">
        <f t="shared" si="45"/>
        <v>0</v>
      </c>
      <c r="CP31" s="79">
        <f t="shared" si="45"/>
        <v>0</v>
      </c>
      <c r="CU31" s="56">
        <v>30</v>
      </c>
      <c r="CV31" s="58">
        <f t="shared" si="7"/>
        <v>0</v>
      </c>
      <c r="CW31" s="58">
        <f t="shared" si="8"/>
        <v>0</v>
      </c>
      <c r="CX31" s="58">
        <f t="shared" si="9"/>
        <v>0</v>
      </c>
      <c r="CY31" s="58">
        <f t="shared" si="10"/>
        <v>0</v>
      </c>
      <c r="CZ31" s="58">
        <f t="shared" si="11"/>
        <v>0</v>
      </c>
      <c r="DA31" s="58">
        <f t="shared" si="12"/>
        <v>0</v>
      </c>
      <c r="DB31" s="58">
        <f t="shared" si="13"/>
        <v>0</v>
      </c>
      <c r="DC31" s="58">
        <f t="shared" si="14"/>
        <v>0</v>
      </c>
      <c r="DF31" s="51">
        <v>30</v>
      </c>
      <c r="DG31" s="54">
        <f t="shared" si="36"/>
        <v>0</v>
      </c>
      <c r="DH31" s="54">
        <f t="shared" si="15"/>
        <v>0</v>
      </c>
      <c r="DI31" s="54">
        <f t="shared" si="16"/>
        <v>0</v>
      </c>
      <c r="DJ31" s="54">
        <f t="shared" si="17"/>
        <v>0</v>
      </c>
      <c r="DK31" s="54">
        <f t="shared" si="18"/>
        <v>0</v>
      </c>
      <c r="DL31" s="54">
        <f t="shared" si="19"/>
        <v>0</v>
      </c>
      <c r="DM31" s="54">
        <f t="shared" si="20"/>
        <v>0</v>
      </c>
      <c r="DN31" s="54">
        <f t="shared" si="21"/>
        <v>0</v>
      </c>
      <c r="DO31" s="54">
        <f t="shared" si="22"/>
        <v>0</v>
      </c>
      <c r="DP31" s="54">
        <f t="shared" si="23"/>
        <v>0</v>
      </c>
      <c r="DQ31" s="54">
        <f t="shared" si="24"/>
        <v>0</v>
      </c>
      <c r="DR31" s="54">
        <f t="shared" si="25"/>
        <v>0</v>
      </c>
      <c r="DS31" s="54">
        <f t="shared" si="26"/>
        <v>0</v>
      </c>
      <c r="DT31" s="54">
        <f t="shared" si="27"/>
        <v>0</v>
      </c>
      <c r="DX31">
        <v>30</v>
      </c>
      <c r="DY31" s="19">
        <f t="shared" si="4"/>
        <v>0</v>
      </c>
      <c r="EM31" s="21">
        <v>30</v>
      </c>
      <c r="EN31" s="16">
        <f t="shared" si="28"/>
        <v>0</v>
      </c>
      <c r="EO31" s="16">
        <f t="shared" si="5"/>
        <v>0</v>
      </c>
      <c r="EP31" s="16">
        <f t="shared" si="29"/>
        <v>0</v>
      </c>
      <c r="EQ31" s="16">
        <f t="shared" si="30"/>
        <v>0</v>
      </c>
      <c r="ER31" s="16">
        <f t="shared" si="31"/>
        <v>0</v>
      </c>
      <c r="ES31" s="16">
        <f t="shared" si="32"/>
        <v>0</v>
      </c>
      <c r="ET31" s="16">
        <f t="shared" si="33"/>
        <v>0</v>
      </c>
      <c r="EU31" s="16">
        <f t="shared" si="34"/>
        <v>0</v>
      </c>
      <c r="FK31" s="20"/>
      <c r="FL31" s="20"/>
    </row>
    <row r="32" spans="1:168" ht="14.4" thickBot="1" x14ac:dyDescent="0.35">
      <c r="C32" s="67">
        <v>0</v>
      </c>
      <c r="D32" s="68">
        <v>0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68">
        <v>0</v>
      </c>
      <c r="X32" s="68">
        <v>0</v>
      </c>
      <c r="Y32" s="68">
        <v>0</v>
      </c>
      <c r="Z32" s="68">
        <v>0</v>
      </c>
      <c r="AA32" s="68">
        <v>0</v>
      </c>
      <c r="AB32" s="68">
        <v>0</v>
      </c>
      <c r="AC32" s="68">
        <v>0</v>
      </c>
      <c r="AD32" s="69">
        <v>0</v>
      </c>
      <c r="AH32" s="56">
        <v>31</v>
      </c>
      <c r="AI32" s="74">
        <f t="shared" si="46"/>
        <v>0</v>
      </c>
      <c r="AJ32" s="74">
        <f t="shared" si="46"/>
        <v>0</v>
      </c>
      <c r="AK32" s="74">
        <f t="shared" si="46"/>
        <v>0</v>
      </c>
      <c r="AL32" s="74">
        <f t="shared" si="46"/>
        <v>0</v>
      </c>
      <c r="AM32" s="74">
        <f t="shared" si="46"/>
        <v>0</v>
      </c>
      <c r="AN32" s="74">
        <f t="shared" si="46"/>
        <v>0</v>
      </c>
      <c r="AO32" s="74">
        <f t="shared" si="46"/>
        <v>0</v>
      </c>
      <c r="AP32" s="74">
        <f t="shared" si="46"/>
        <v>0</v>
      </c>
      <c r="AQ32" s="74">
        <f t="shared" si="46"/>
        <v>0</v>
      </c>
      <c r="AR32" s="74">
        <f t="shared" si="46"/>
        <v>0</v>
      </c>
      <c r="AS32" s="74">
        <f t="shared" si="46"/>
        <v>0</v>
      </c>
      <c r="AT32" s="74">
        <f t="shared" si="46"/>
        <v>0</v>
      </c>
      <c r="AU32" s="74">
        <f t="shared" si="46"/>
        <v>0</v>
      </c>
      <c r="AV32" s="74">
        <f t="shared" si="46"/>
        <v>0</v>
      </c>
      <c r="AW32" s="74">
        <f t="shared" si="46"/>
        <v>0</v>
      </c>
      <c r="AX32" s="74">
        <f t="shared" si="46"/>
        <v>0</v>
      </c>
      <c r="AY32" s="74">
        <f t="shared" si="47"/>
        <v>0</v>
      </c>
      <c r="AZ32" s="74">
        <f t="shared" si="47"/>
        <v>0</v>
      </c>
      <c r="BA32" s="74">
        <f t="shared" si="47"/>
        <v>0</v>
      </c>
      <c r="BB32" s="74">
        <f t="shared" si="47"/>
        <v>0</v>
      </c>
      <c r="BC32" s="74">
        <f t="shared" si="47"/>
        <v>0</v>
      </c>
      <c r="BD32" s="74">
        <f t="shared" si="47"/>
        <v>0</v>
      </c>
      <c r="BE32" s="74">
        <f t="shared" si="47"/>
        <v>0</v>
      </c>
      <c r="BF32" s="74">
        <f t="shared" si="47"/>
        <v>0</v>
      </c>
      <c r="BG32" s="74">
        <f t="shared" si="47"/>
        <v>0</v>
      </c>
      <c r="BH32" s="74">
        <f t="shared" si="47"/>
        <v>0</v>
      </c>
      <c r="BI32" s="74">
        <f t="shared" si="47"/>
        <v>0</v>
      </c>
      <c r="BJ32" s="74">
        <f t="shared" si="47"/>
        <v>0</v>
      </c>
      <c r="BN32" s="59">
        <v>31</v>
      </c>
      <c r="BO32" s="78">
        <f t="shared" si="43"/>
        <v>0</v>
      </c>
      <c r="BP32" s="78">
        <f t="shared" si="44"/>
        <v>0</v>
      </c>
      <c r="BQ32" s="78">
        <f t="shared" si="45"/>
        <v>0</v>
      </c>
      <c r="BR32" s="78">
        <f t="shared" si="45"/>
        <v>0</v>
      </c>
      <c r="BS32" s="78">
        <f t="shared" si="45"/>
        <v>0</v>
      </c>
      <c r="BT32" s="78">
        <f t="shared" si="45"/>
        <v>0</v>
      </c>
      <c r="BU32" s="78">
        <f t="shared" si="45"/>
        <v>0</v>
      </c>
      <c r="BV32" s="78">
        <f t="shared" si="45"/>
        <v>0</v>
      </c>
      <c r="BW32" s="78">
        <f t="shared" si="45"/>
        <v>0</v>
      </c>
      <c r="BX32" s="78">
        <f t="shared" si="45"/>
        <v>0</v>
      </c>
      <c r="BY32" s="78">
        <f t="shared" si="45"/>
        <v>0</v>
      </c>
      <c r="BZ32" s="78">
        <f t="shared" si="45"/>
        <v>0</v>
      </c>
      <c r="CA32" s="78">
        <f t="shared" si="45"/>
        <v>0</v>
      </c>
      <c r="CB32" s="78">
        <f t="shared" si="45"/>
        <v>0</v>
      </c>
      <c r="CC32" s="78">
        <f t="shared" si="45"/>
        <v>0</v>
      </c>
      <c r="CD32" s="78">
        <f t="shared" si="45"/>
        <v>0</v>
      </c>
      <c r="CE32" s="78">
        <f t="shared" si="45"/>
        <v>0</v>
      </c>
      <c r="CF32" s="78">
        <f t="shared" si="45"/>
        <v>0</v>
      </c>
      <c r="CG32" s="78">
        <f t="shared" si="45"/>
        <v>0</v>
      </c>
      <c r="CH32" s="78">
        <f t="shared" si="45"/>
        <v>0</v>
      </c>
      <c r="CI32" s="78">
        <f t="shared" si="45"/>
        <v>0</v>
      </c>
      <c r="CJ32" s="78">
        <f t="shared" si="45"/>
        <v>0</v>
      </c>
      <c r="CK32" s="78">
        <f t="shared" si="45"/>
        <v>0</v>
      </c>
      <c r="CL32" s="78">
        <f t="shared" si="45"/>
        <v>0</v>
      </c>
      <c r="CM32" s="78">
        <f t="shared" si="45"/>
        <v>0</v>
      </c>
      <c r="CN32" s="78">
        <f t="shared" si="45"/>
        <v>0</v>
      </c>
      <c r="CO32" s="78">
        <f t="shared" si="45"/>
        <v>0</v>
      </c>
      <c r="CP32" s="78">
        <f t="shared" si="45"/>
        <v>0</v>
      </c>
      <c r="CU32" s="56">
        <v>31</v>
      </c>
      <c r="CV32" s="57">
        <f t="shared" si="7"/>
        <v>0</v>
      </c>
      <c r="CW32" s="57">
        <f t="shared" si="8"/>
        <v>0</v>
      </c>
      <c r="CX32" s="57">
        <f t="shared" si="9"/>
        <v>0</v>
      </c>
      <c r="CY32" s="57">
        <f t="shared" si="10"/>
        <v>0</v>
      </c>
      <c r="CZ32" s="57">
        <f t="shared" si="11"/>
        <v>0</v>
      </c>
      <c r="DA32" s="57">
        <f t="shared" si="12"/>
        <v>0</v>
      </c>
      <c r="DB32" s="57">
        <f t="shared" si="13"/>
        <v>0</v>
      </c>
      <c r="DC32" s="57">
        <f t="shared" si="14"/>
        <v>0</v>
      </c>
      <c r="DF32" s="53">
        <v>31</v>
      </c>
      <c r="DG32" s="52">
        <f t="shared" si="36"/>
        <v>0</v>
      </c>
      <c r="DH32" s="52">
        <f t="shared" si="15"/>
        <v>0</v>
      </c>
      <c r="DI32" s="52">
        <f t="shared" si="16"/>
        <v>0</v>
      </c>
      <c r="DJ32" s="52">
        <f t="shared" si="17"/>
        <v>0</v>
      </c>
      <c r="DK32" s="52">
        <f t="shared" si="18"/>
        <v>0</v>
      </c>
      <c r="DL32" s="52">
        <f t="shared" si="19"/>
        <v>0</v>
      </c>
      <c r="DM32" s="52">
        <f t="shared" si="20"/>
        <v>0</v>
      </c>
      <c r="DN32" s="52">
        <f t="shared" si="21"/>
        <v>0</v>
      </c>
      <c r="DO32" s="52">
        <f t="shared" si="22"/>
        <v>0</v>
      </c>
      <c r="DP32" s="52">
        <f t="shared" si="23"/>
        <v>0</v>
      </c>
      <c r="DQ32" s="52">
        <f t="shared" si="24"/>
        <v>0</v>
      </c>
      <c r="DR32" s="52">
        <f t="shared" si="25"/>
        <v>0</v>
      </c>
      <c r="DS32" s="52">
        <f t="shared" si="26"/>
        <v>0</v>
      </c>
      <c r="DT32" s="52">
        <f t="shared" si="27"/>
        <v>0</v>
      </c>
      <c r="DX32">
        <v>31</v>
      </c>
      <c r="DY32" s="19">
        <f t="shared" si="4"/>
        <v>0</v>
      </c>
      <c r="EM32" s="13">
        <v>31</v>
      </c>
      <c r="EN32" s="16">
        <f t="shared" si="28"/>
        <v>0</v>
      </c>
      <c r="EO32" s="16">
        <f t="shared" si="5"/>
        <v>0</v>
      </c>
      <c r="EP32" s="16">
        <f t="shared" si="29"/>
        <v>0</v>
      </c>
      <c r="EQ32" s="16">
        <f t="shared" si="30"/>
        <v>0</v>
      </c>
      <c r="ER32" s="16">
        <f t="shared" si="31"/>
        <v>0</v>
      </c>
      <c r="ES32" s="16">
        <f t="shared" si="32"/>
        <v>0</v>
      </c>
      <c r="ET32" s="16">
        <f t="shared" si="33"/>
        <v>0</v>
      </c>
      <c r="EU32" s="16">
        <f t="shared" si="34"/>
        <v>0</v>
      </c>
      <c r="FK32" s="20"/>
      <c r="FL32" s="20"/>
    </row>
    <row r="33" spans="3:168" ht="14.4" thickBot="1" x14ac:dyDescent="0.35">
      <c r="C33" s="67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9">
        <v>0</v>
      </c>
      <c r="AH33" s="56">
        <v>32</v>
      </c>
      <c r="AI33" s="75">
        <f t="shared" si="46"/>
        <v>0</v>
      </c>
      <c r="AJ33" s="75">
        <f t="shared" si="46"/>
        <v>0</v>
      </c>
      <c r="AK33" s="75">
        <f t="shared" si="46"/>
        <v>0</v>
      </c>
      <c r="AL33" s="75">
        <f t="shared" si="46"/>
        <v>0</v>
      </c>
      <c r="AM33" s="75">
        <f t="shared" si="46"/>
        <v>0</v>
      </c>
      <c r="AN33" s="75">
        <f t="shared" si="46"/>
        <v>0</v>
      </c>
      <c r="AO33" s="75">
        <f t="shared" si="46"/>
        <v>0</v>
      </c>
      <c r="AP33" s="75">
        <f t="shared" si="46"/>
        <v>0</v>
      </c>
      <c r="AQ33" s="75">
        <f t="shared" si="46"/>
        <v>0</v>
      </c>
      <c r="AR33" s="75">
        <f t="shared" si="46"/>
        <v>0</v>
      </c>
      <c r="AS33" s="75">
        <f t="shared" si="46"/>
        <v>0</v>
      </c>
      <c r="AT33" s="75">
        <f t="shared" si="46"/>
        <v>0</v>
      </c>
      <c r="AU33" s="75">
        <f t="shared" si="46"/>
        <v>0</v>
      </c>
      <c r="AV33" s="75">
        <f t="shared" si="46"/>
        <v>0</v>
      </c>
      <c r="AW33" s="75">
        <f t="shared" si="46"/>
        <v>0</v>
      </c>
      <c r="AX33" s="75">
        <f t="shared" si="46"/>
        <v>0</v>
      </c>
      <c r="AY33" s="75">
        <f t="shared" si="47"/>
        <v>0</v>
      </c>
      <c r="AZ33" s="75">
        <f t="shared" si="47"/>
        <v>0</v>
      </c>
      <c r="BA33" s="75">
        <f t="shared" si="47"/>
        <v>0</v>
      </c>
      <c r="BB33" s="75">
        <f t="shared" si="47"/>
        <v>0</v>
      </c>
      <c r="BC33" s="75">
        <f t="shared" si="47"/>
        <v>0</v>
      </c>
      <c r="BD33" s="75">
        <f t="shared" si="47"/>
        <v>0</v>
      </c>
      <c r="BE33" s="75">
        <f t="shared" si="47"/>
        <v>0</v>
      </c>
      <c r="BF33" s="75">
        <f t="shared" si="47"/>
        <v>0</v>
      </c>
      <c r="BG33" s="75">
        <f t="shared" si="47"/>
        <v>0</v>
      </c>
      <c r="BH33" s="75">
        <f t="shared" si="47"/>
        <v>0</v>
      </c>
      <c r="BI33" s="75">
        <f t="shared" si="47"/>
        <v>0</v>
      </c>
      <c r="BJ33" s="75">
        <f t="shared" si="47"/>
        <v>0</v>
      </c>
      <c r="BN33" s="59">
        <v>32</v>
      </c>
      <c r="BO33" s="79">
        <f t="shared" si="43"/>
        <v>0</v>
      </c>
      <c r="BP33" s="79">
        <f t="shared" si="44"/>
        <v>0</v>
      </c>
      <c r="BQ33" s="79">
        <f t="shared" si="45"/>
        <v>0</v>
      </c>
      <c r="BR33" s="79">
        <f t="shared" si="45"/>
        <v>0</v>
      </c>
      <c r="BS33" s="79">
        <f t="shared" si="45"/>
        <v>0</v>
      </c>
      <c r="BT33" s="79">
        <f t="shared" si="45"/>
        <v>0</v>
      </c>
      <c r="BU33" s="79">
        <f t="shared" si="45"/>
        <v>0</v>
      </c>
      <c r="BV33" s="79">
        <f t="shared" si="45"/>
        <v>0</v>
      </c>
      <c r="BW33" s="79">
        <f t="shared" si="45"/>
        <v>0</v>
      </c>
      <c r="BX33" s="79">
        <f t="shared" si="45"/>
        <v>0</v>
      </c>
      <c r="BY33" s="79">
        <f t="shared" si="45"/>
        <v>0</v>
      </c>
      <c r="BZ33" s="79">
        <f t="shared" si="45"/>
        <v>0</v>
      </c>
      <c r="CA33" s="79">
        <f t="shared" si="45"/>
        <v>0</v>
      </c>
      <c r="CB33" s="79">
        <f t="shared" si="45"/>
        <v>0</v>
      </c>
      <c r="CC33" s="79">
        <f t="shared" si="45"/>
        <v>0</v>
      </c>
      <c r="CD33" s="79">
        <f t="shared" si="45"/>
        <v>0</v>
      </c>
      <c r="CE33" s="79">
        <f t="shared" si="45"/>
        <v>0</v>
      </c>
      <c r="CF33" s="79">
        <f t="shared" si="45"/>
        <v>0</v>
      </c>
      <c r="CG33" s="79">
        <f t="shared" si="45"/>
        <v>0</v>
      </c>
      <c r="CH33" s="79">
        <f t="shared" si="45"/>
        <v>0</v>
      </c>
      <c r="CI33" s="79">
        <f t="shared" si="45"/>
        <v>0</v>
      </c>
      <c r="CJ33" s="79">
        <f t="shared" si="45"/>
        <v>0</v>
      </c>
      <c r="CK33" s="79">
        <f t="shared" si="45"/>
        <v>0</v>
      </c>
      <c r="CL33" s="79">
        <f t="shared" si="45"/>
        <v>0</v>
      </c>
      <c r="CM33" s="79">
        <f t="shared" si="45"/>
        <v>0</v>
      </c>
      <c r="CN33" s="79">
        <f t="shared" si="45"/>
        <v>0</v>
      </c>
      <c r="CO33" s="79">
        <f t="shared" si="45"/>
        <v>0</v>
      </c>
      <c r="CP33" s="79">
        <f t="shared" si="45"/>
        <v>0</v>
      </c>
      <c r="CU33" s="56">
        <v>32</v>
      </c>
      <c r="CV33" s="58">
        <f t="shared" si="7"/>
        <v>0</v>
      </c>
      <c r="CW33" s="58">
        <f t="shared" si="8"/>
        <v>0</v>
      </c>
      <c r="CX33" s="58">
        <f t="shared" si="9"/>
        <v>0</v>
      </c>
      <c r="CY33" s="58">
        <f t="shared" si="10"/>
        <v>0</v>
      </c>
      <c r="CZ33" s="58">
        <f t="shared" si="11"/>
        <v>0</v>
      </c>
      <c r="DA33" s="58">
        <f t="shared" si="12"/>
        <v>0</v>
      </c>
      <c r="DB33" s="58">
        <f t="shared" si="13"/>
        <v>0</v>
      </c>
      <c r="DC33" s="58">
        <f t="shared" si="14"/>
        <v>0</v>
      </c>
      <c r="DF33" s="51">
        <v>32</v>
      </c>
      <c r="DG33" s="54">
        <f t="shared" si="36"/>
        <v>0</v>
      </c>
      <c r="DH33" s="54">
        <f t="shared" si="15"/>
        <v>0</v>
      </c>
      <c r="DI33" s="54">
        <f t="shared" si="16"/>
        <v>0</v>
      </c>
      <c r="DJ33" s="54">
        <f t="shared" si="17"/>
        <v>0</v>
      </c>
      <c r="DK33" s="54">
        <f t="shared" si="18"/>
        <v>0</v>
      </c>
      <c r="DL33" s="54">
        <f t="shared" si="19"/>
        <v>0</v>
      </c>
      <c r="DM33" s="54">
        <f t="shared" si="20"/>
        <v>0</v>
      </c>
      <c r="DN33" s="54">
        <f t="shared" si="21"/>
        <v>0</v>
      </c>
      <c r="DO33" s="54">
        <f t="shared" si="22"/>
        <v>0</v>
      </c>
      <c r="DP33" s="54">
        <f t="shared" si="23"/>
        <v>0</v>
      </c>
      <c r="DQ33" s="54">
        <f t="shared" si="24"/>
        <v>0</v>
      </c>
      <c r="DR33" s="54">
        <f t="shared" si="25"/>
        <v>0</v>
      </c>
      <c r="DS33" s="54">
        <f t="shared" si="26"/>
        <v>0</v>
      </c>
      <c r="DT33" s="54">
        <f t="shared" si="27"/>
        <v>0</v>
      </c>
      <c r="DX33">
        <v>32</v>
      </c>
      <c r="DY33" s="19">
        <f t="shared" si="4"/>
        <v>0</v>
      </c>
      <c r="EM33" s="21">
        <v>32</v>
      </c>
      <c r="EN33" s="16">
        <f t="shared" si="28"/>
        <v>0</v>
      </c>
      <c r="EO33" s="16">
        <f t="shared" si="5"/>
        <v>0</v>
      </c>
      <c r="EP33" s="16">
        <f t="shared" si="29"/>
        <v>0</v>
      </c>
      <c r="EQ33" s="16">
        <f t="shared" si="30"/>
        <v>0</v>
      </c>
      <c r="ER33" s="16">
        <f t="shared" si="31"/>
        <v>0</v>
      </c>
      <c r="ES33" s="16">
        <f t="shared" si="32"/>
        <v>0</v>
      </c>
      <c r="ET33" s="16">
        <f t="shared" si="33"/>
        <v>0</v>
      </c>
      <c r="EU33" s="16">
        <f t="shared" si="34"/>
        <v>0</v>
      </c>
      <c r="FK33" s="20"/>
      <c r="FL33" s="20"/>
    </row>
    <row r="34" spans="3:168" ht="14.4" thickBot="1" x14ac:dyDescent="0.35">
      <c r="C34" s="67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0</v>
      </c>
      <c r="X34" s="68">
        <v>0</v>
      </c>
      <c r="Y34" s="68">
        <v>0</v>
      </c>
      <c r="Z34" s="68">
        <v>0</v>
      </c>
      <c r="AA34" s="68">
        <v>0</v>
      </c>
      <c r="AB34" s="68">
        <v>0</v>
      </c>
      <c r="AC34" s="68">
        <v>0</v>
      </c>
      <c r="AD34" s="69">
        <v>0</v>
      </c>
      <c r="AH34" s="56">
        <v>33</v>
      </c>
      <c r="AI34" s="74">
        <f t="shared" si="46"/>
        <v>0</v>
      </c>
      <c r="AJ34" s="74">
        <f t="shared" si="46"/>
        <v>0</v>
      </c>
      <c r="AK34" s="74">
        <f t="shared" si="46"/>
        <v>0</v>
      </c>
      <c r="AL34" s="74">
        <f t="shared" si="46"/>
        <v>0</v>
      </c>
      <c r="AM34" s="74">
        <f t="shared" si="46"/>
        <v>0</v>
      </c>
      <c r="AN34" s="74">
        <f t="shared" si="46"/>
        <v>0</v>
      </c>
      <c r="AO34" s="74">
        <f t="shared" si="46"/>
        <v>0</v>
      </c>
      <c r="AP34" s="74">
        <f t="shared" si="46"/>
        <v>0</v>
      </c>
      <c r="AQ34" s="74">
        <f t="shared" si="46"/>
        <v>0</v>
      </c>
      <c r="AR34" s="74">
        <f t="shared" si="46"/>
        <v>0</v>
      </c>
      <c r="AS34" s="74">
        <f t="shared" si="46"/>
        <v>0</v>
      </c>
      <c r="AT34" s="74">
        <f t="shared" si="46"/>
        <v>0</v>
      </c>
      <c r="AU34" s="74">
        <f t="shared" si="46"/>
        <v>0</v>
      </c>
      <c r="AV34" s="74">
        <f t="shared" si="46"/>
        <v>0</v>
      </c>
      <c r="AW34" s="74">
        <f t="shared" si="46"/>
        <v>0</v>
      </c>
      <c r="AX34" s="74">
        <f t="shared" si="46"/>
        <v>0</v>
      </c>
      <c r="AY34" s="74">
        <f t="shared" si="47"/>
        <v>0</v>
      </c>
      <c r="AZ34" s="74">
        <f t="shared" si="47"/>
        <v>0</v>
      </c>
      <c r="BA34" s="74">
        <f t="shared" si="47"/>
        <v>0</v>
      </c>
      <c r="BB34" s="74">
        <f t="shared" si="47"/>
        <v>0</v>
      </c>
      <c r="BC34" s="74">
        <f t="shared" si="47"/>
        <v>0</v>
      </c>
      <c r="BD34" s="74">
        <f t="shared" si="47"/>
        <v>0</v>
      </c>
      <c r="BE34" s="74">
        <f t="shared" si="47"/>
        <v>0</v>
      </c>
      <c r="BF34" s="74">
        <f t="shared" si="47"/>
        <v>0</v>
      </c>
      <c r="BG34" s="74">
        <f t="shared" si="47"/>
        <v>0</v>
      </c>
      <c r="BH34" s="74">
        <f t="shared" si="47"/>
        <v>0</v>
      </c>
      <c r="BI34" s="74">
        <f t="shared" si="47"/>
        <v>0</v>
      </c>
      <c r="BJ34" s="74">
        <f t="shared" si="47"/>
        <v>0</v>
      </c>
      <c r="BN34" s="59">
        <v>33</v>
      </c>
      <c r="BO34" s="78">
        <f t="shared" si="43"/>
        <v>0</v>
      </c>
      <c r="BP34" s="78">
        <f t="shared" si="44"/>
        <v>0</v>
      </c>
      <c r="BQ34" s="78">
        <f t="shared" si="45"/>
        <v>0</v>
      </c>
      <c r="BR34" s="78">
        <f t="shared" si="45"/>
        <v>0</v>
      </c>
      <c r="BS34" s="78">
        <f t="shared" si="45"/>
        <v>0</v>
      </c>
      <c r="BT34" s="78">
        <f t="shared" si="45"/>
        <v>0</v>
      </c>
      <c r="BU34" s="78">
        <f t="shared" si="45"/>
        <v>0</v>
      </c>
      <c r="BV34" s="78">
        <f t="shared" si="45"/>
        <v>0</v>
      </c>
      <c r="BW34" s="78">
        <f t="shared" si="45"/>
        <v>0</v>
      </c>
      <c r="BX34" s="78">
        <f t="shared" si="45"/>
        <v>0</v>
      </c>
      <c r="BY34" s="78">
        <f t="shared" si="45"/>
        <v>0</v>
      </c>
      <c r="BZ34" s="78">
        <f t="shared" si="45"/>
        <v>0</v>
      </c>
      <c r="CA34" s="78">
        <f t="shared" si="45"/>
        <v>0</v>
      </c>
      <c r="CB34" s="78">
        <f t="shared" si="45"/>
        <v>0</v>
      </c>
      <c r="CC34" s="78">
        <f t="shared" si="45"/>
        <v>0</v>
      </c>
      <c r="CD34" s="78">
        <f t="shared" si="45"/>
        <v>0</v>
      </c>
      <c r="CE34" s="78">
        <f t="shared" si="45"/>
        <v>0</v>
      </c>
      <c r="CF34" s="78">
        <f t="shared" si="45"/>
        <v>0</v>
      </c>
      <c r="CG34" s="78">
        <f t="shared" si="45"/>
        <v>0</v>
      </c>
      <c r="CH34" s="78">
        <f t="shared" si="45"/>
        <v>0</v>
      </c>
      <c r="CI34" s="78">
        <f t="shared" si="45"/>
        <v>0</v>
      </c>
      <c r="CJ34" s="78">
        <f t="shared" si="45"/>
        <v>0</v>
      </c>
      <c r="CK34" s="78">
        <f t="shared" si="45"/>
        <v>0</v>
      </c>
      <c r="CL34" s="78">
        <f t="shared" si="45"/>
        <v>0</v>
      </c>
      <c r="CM34" s="78">
        <f t="shared" si="45"/>
        <v>0</v>
      </c>
      <c r="CN34" s="78">
        <f t="shared" si="45"/>
        <v>0</v>
      </c>
      <c r="CO34" s="78">
        <f t="shared" si="45"/>
        <v>0</v>
      </c>
      <c r="CP34" s="78">
        <f t="shared" si="45"/>
        <v>0</v>
      </c>
      <c r="CU34" s="56">
        <v>33</v>
      </c>
      <c r="CV34" s="57">
        <f t="shared" si="7"/>
        <v>0</v>
      </c>
      <c r="CW34" s="57">
        <f t="shared" si="8"/>
        <v>0</v>
      </c>
      <c r="CX34" s="57">
        <f t="shared" si="9"/>
        <v>0</v>
      </c>
      <c r="CY34" s="57">
        <f t="shared" si="10"/>
        <v>0</v>
      </c>
      <c r="CZ34" s="57">
        <f t="shared" si="11"/>
        <v>0</v>
      </c>
      <c r="DA34" s="57">
        <f t="shared" si="12"/>
        <v>0</v>
      </c>
      <c r="DB34" s="57">
        <f t="shared" si="13"/>
        <v>0</v>
      </c>
      <c r="DC34" s="57">
        <f t="shared" si="14"/>
        <v>0</v>
      </c>
      <c r="DF34" s="53">
        <v>33</v>
      </c>
      <c r="DG34" s="52">
        <f t="shared" si="36"/>
        <v>0</v>
      </c>
      <c r="DH34" s="52">
        <f t="shared" si="15"/>
        <v>0</v>
      </c>
      <c r="DI34" s="52">
        <f t="shared" si="16"/>
        <v>0</v>
      </c>
      <c r="DJ34" s="52">
        <f t="shared" si="17"/>
        <v>0</v>
      </c>
      <c r="DK34" s="52">
        <f t="shared" si="18"/>
        <v>0</v>
      </c>
      <c r="DL34" s="52">
        <f t="shared" si="19"/>
        <v>0</v>
      </c>
      <c r="DM34" s="52">
        <f t="shared" si="20"/>
        <v>0</v>
      </c>
      <c r="DN34" s="52">
        <f t="shared" si="21"/>
        <v>0</v>
      </c>
      <c r="DO34" s="52">
        <f t="shared" si="22"/>
        <v>0</v>
      </c>
      <c r="DP34" s="52">
        <f t="shared" si="23"/>
        <v>0</v>
      </c>
      <c r="DQ34" s="52">
        <f t="shared" si="24"/>
        <v>0</v>
      </c>
      <c r="DR34" s="52">
        <f t="shared" si="25"/>
        <v>0</v>
      </c>
      <c r="DS34" s="52">
        <f t="shared" si="26"/>
        <v>0</v>
      </c>
      <c r="DT34" s="52">
        <f t="shared" si="27"/>
        <v>0</v>
      </c>
      <c r="DX34">
        <v>33</v>
      </c>
      <c r="DY34" s="19">
        <f t="shared" si="4"/>
        <v>0</v>
      </c>
      <c r="EM34" s="21">
        <v>33</v>
      </c>
      <c r="EN34" s="16">
        <f t="shared" si="28"/>
        <v>0</v>
      </c>
      <c r="EO34" s="16">
        <f t="shared" si="5"/>
        <v>0</v>
      </c>
      <c r="EP34" s="16">
        <f t="shared" si="29"/>
        <v>0</v>
      </c>
      <c r="EQ34" s="16">
        <f t="shared" si="30"/>
        <v>0</v>
      </c>
      <c r="ER34" s="16">
        <f t="shared" si="31"/>
        <v>0</v>
      </c>
      <c r="ES34" s="16">
        <f t="shared" si="32"/>
        <v>0</v>
      </c>
      <c r="ET34" s="16">
        <f t="shared" si="33"/>
        <v>0</v>
      </c>
      <c r="EU34" s="16">
        <f t="shared" si="34"/>
        <v>0</v>
      </c>
      <c r="FK34" s="20"/>
      <c r="FL34" s="20"/>
    </row>
    <row r="35" spans="3:168" ht="14.4" thickBot="1" x14ac:dyDescent="0.35">
      <c r="C35" s="67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0</v>
      </c>
      <c r="X35" s="68">
        <v>0</v>
      </c>
      <c r="Y35" s="68">
        <v>0</v>
      </c>
      <c r="Z35" s="68">
        <v>0</v>
      </c>
      <c r="AA35" s="68">
        <v>0</v>
      </c>
      <c r="AB35" s="68">
        <v>0</v>
      </c>
      <c r="AC35" s="68">
        <v>0</v>
      </c>
      <c r="AD35" s="69">
        <v>0</v>
      </c>
      <c r="AH35" s="56">
        <v>34</v>
      </c>
      <c r="AI35" s="75">
        <f t="shared" si="46"/>
        <v>0</v>
      </c>
      <c r="AJ35" s="75">
        <f t="shared" si="46"/>
        <v>0</v>
      </c>
      <c r="AK35" s="75">
        <f t="shared" si="46"/>
        <v>0</v>
      </c>
      <c r="AL35" s="75">
        <f t="shared" si="46"/>
        <v>0</v>
      </c>
      <c r="AM35" s="75">
        <f t="shared" si="46"/>
        <v>0</v>
      </c>
      <c r="AN35" s="75">
        <f t="shared" si="46"/>
        <v>0</v>
      </c>
      <c r="AO35" s="75">
        <f t="shared" si="46"/>
        <v>0</v>
      </c>
      <c r="AP35" s="75">
        <f t="shared" si="46"/>
        <v>0</v>
      </c>
      <c r="AQ35" s="75">
        <f t="shared" si="46"/>
        <v>0</v>
      </c>
      <c r="AR35" s="75">
        <f t="shared" si="46"/>
        <v>0</v>
      </c>
      <c r="AS35" s="75">
        <f t="shared" si="46"/>
        <v>0</v>
      </c>
      <c r="AT35" s="75">
        <f t="shared" si="46"/>
        <v>0</v>
      </c>
      <c r="AU35" s="75">
        <f t="shared" si="46"/>
        <v>0</v>
      </c>
      <c r="AV35" s="75">
        <f t="shared" si="46"/>
        <v>0</v>
      </c>
      <c r="AW35" s="75">
        <f t="shared" si="46"/>
        <v>0</v>
      </c>
      <c r="AX35" s="75">
        <f t="shared" si="46"/>
        <v>0</v>
      </c>
      <c r="AY35" s="75">
        <f t="shared" si="47"/>
        <v>0</v>
      </c>
      <c r="AZ35" s="75">
        <f t="shared" si="47"/>
        <v>0</v>
      </c>
      <c r="BA35" s="75">
        <f t="shared" si="47"/>
        <v>0</v>
      </c>
      <c r="BB35" s="75">
        <f t="shared" si="47"/>
        <v>0</v>
      </c>
      <c r="BC35" s="75">
        <f t="shared" si="47"/>
        <v>0</v>
      </c>
      <c r="BD35" s="75">
        <f t="shared" si="47"/>
        <v>0</v>
      </c>
      <c r="BE35" s="75">
        <f t="shared" si="47"/>
        <v>0</v>
      </c>
      <c r="BF35" s="75">
        <f t="shared" si="47"/>
        <v>0</v>
      </c>
      <c r="BG35" s="75">
        <f t="shared" si="47"/>
        <v>0</v>
      </c>
      <c r="BH35" s="75">
        <f t="shared" si="47"/>
        <v>0</v>
      </c>
      <c r="BI35" s="75">
        <f t="shared" si="47"/>
        <v>0</v>
      </c>
      <c r="BJ35" s="75">
        <f t="shared" si="47"/>
        <v>0</v>
      </c>
      <c r="BN35" s="59">
        <v>34</v>
      </c>
      <c r="BO35" s="79">
        <f t="shared" si="43"/>
        <v>0</v>
      </c>
      <c r="BP35" s="79">
        <f t="shared" si="44"/>
        <v>0</v>
      </c>
      <c r="BQ35" s="79">
        <f t="shared" si="45"/>
        <v>0</v>
      </c>
      <c r="BR35" s="79">
        <f t="shared" si="45"/>
        <v>0</v>
      </c>
      <c r="BS35" s="79">
        <f t="shared" si="45"/>
        <v>0</v>
      </c>
      <c r="BT35" s="79">
        <f t="shared" si="45"/>
        <v>0</v>
      </c>
      <c r="BU35" s="79">
        <f t="shared" si="45"/>
        <v>0</v>
      </c>
      <c r="BV35" s="79">
        <f t="shared" si="45"/>
        <v>0</v>
      </c>
      <c r="BW35" s="79">
        <f t="shared" si="45"/>
        <v>0</v>
      </c>
      <c r="BX35" s="79">
        <f t="shared" si="45"/>
        <v>0</v>
      </c>
      <c r="BY35" s="79">
        <f t="shared" si="45"/>
        <v>0</v>
      </c>
      <c r="BZ35" s="79">
        <f t="shared" si="45"/>
        <v>0</v>
      </c>
      <c r="CA35" s="79">
        <f t="shared" si="45"/>
        <v>0</v>
      </c>
      <c r="CB35" s="79">
        <f t="shared" si="45"/>
        <v>0</v>
      </c>
      <c r="CC35" s="79">
        <f t="shared" si="45"/>
        <v>0</v>
      </c>
      <c r="CD35" s="79">
        <f t="shared" si="45"/>
        <v>0</v>
      </c>
      <c r="CE35" s="79">
        <f t="shared" si="45"/>
        <v>0</v>
      </c>
      <c r="CF35" s="79">
        <f t="shared" si="45"/>
        <v>0</v>
      </c>
      <c r="CG35" s="79">
        <f t="shared" si="45"/>
        <v>0</v>
      </c>
      <c r="CH35" s="79">
        <f t="shared" si="45"/>
        <v>0</v>
      </c>
      <c r="CI35" s="79">
        <f t="shared" si="45"/>
        <v>0</v>
      </c>
      <c r="CJ35" s="79">
        <f t="shared" si="45"/>
        <v>0</v>
      </c>
      <c r="CK35" s="79">
        <f t="shared" si="45"/>
        <v>0</v>
      </c>
      <c r="CL35" s="79">
        <f t="shared" si="45"/>
        <v>0</v>
      </c>
      <c r="CM35" s="79">
        <f t="shared" si="45"/>
        <v>0</v>
      </c>
      <c r="CN35" s="79">
        <f t="shared" si="45"/>
        <v>0</v>
      </c>
      <c r="CO35" s="79">
        <f t="shared" si="45"/>
        <v>0</v>
      </c>
      <c r="CP35" s="79">
        <f t="shared" si="45"/>
        <v>0</v>
      </c>
      <c r="CU35" s="56">
        <v>34</v>
      </c>
      <c r="CV35" s="58">
        <f t="shared" si="7"/>
        <v>0</v>
      </c>
      <c r="CW35" s="58">
        <f t="shared" si="8"/>
        <v>0</v>
      </c>
      <c r="CX35" s="58">
        <f t="shared" si="9"/>
        <v>0</v>
      </c>
      <c r="CY35" s="58">
        <f t="shared" si="10"/>
        <v>0</v>
      </c>
      <c r="CZ35" s="58">
        <f t="shared" si="11"/>
        <v>0</v>
      </c>
      <c r="DA35" s="58">
        <f t="shared" si="12"/>
        <v>0</v>
      </c>
      <c r="DB35" s="58">
        <f t="shared" si="13"/>
        <v>0</v>
      </c>
      <c r="DC35" s="58">
        <f t="shared" si="14"/>
        <v>0</v>
      </c>
      <c r="DF35" s="51">
        <v>34</v>
      </c>
      <c r="DG35" s="54">
        <f t="shared" si="36"/>
        <v>0</v>
      </c>
      <c r="DH35" s="54">
        <f t="shared" si="15"/>
        <v>0</v>
      </c>
      <c r="DI35" s="54">
        <f t="shared" si="16"/>
        <v>0</v>
      </c>
      <c r="DJ35" s="54">
        <f t="shared" si="17"/>
        <v>0</v>
      </c>
      <c r="DK35" s="54">
        <f t="shared" si="18"/>
        <v>0</v>
      </c>
      <c r="DL35" s="54">
        <f t="shared" si="19"/>
        <v>0</v>
      </c>
      <c r="DM35" s="54">
        <f t="shared" si="20"/>
        <v>0</v>
      </c>
      <c r="DN35" s="54">
        <f t="shared" si="21"/>
        <v>0</v>
      </c>
      <c r="DO35" s="54">
        <f t="shared" si="22"/>
        <v>0</v>
      </c>
      <c r="DP35" s="54">
        <f t="shared" si="23"/>
        <v>0</v>
      </c>
      <c r="DQ35" s="54">
        <f t="shared" si="24"/>
        <v>0</v>
      </c>
      <c r="DR35" s="54">
        <f t="shared" si="25"/>
        <v>0</v>
      </c>
      <c r="DS35" s="54">
        <f t="shared" si="26"/>
        <v>0</v>
      </c>
      <c r="DT35" s="54">
        <f t="shared" si="27"/>
        <v>0</v>
      </c>
      <c r="DX35">
        <v>34</v>
      </c>
      <c r="DY35" s="19">
        <f t="shared" si="4"/>
        <v>0</v>
      </c>
      <c r="EM35" s="21">
        <v>34</v>
      </c>
      <c r="EN35" s="16">
        <f t="shared" si="28"/>
        <v>0</v>
      </c>
      <c r="EO35" s="16">
        <f t="shared" si="5"/>
        <v>0</v>
      </c>
      <c r="EP35" s="16">
        <f t="shared" si="29"/>
        <v>0</v>
      </c>
      <c r="EQ35" s="16">
        <f t="shared" si="30"/>
        <v>0</v>
      </c>
      <c r="ER35" s="16">
        <f t="shared" si="31"/>
        <v>0</v>
      </c>
      <c r="ES35" s="16">
        <f t="shared" si="32"/>
        <v>0</v>
      </c>
      <c r="ET35" s="16">
        <f t="shared" si="33"/>
        <v>0</v>
      </c>
      <c r="EU35" s="16">
        <f t="shared" si="34"/>
        <v>0</v>
      </c>
      <c r="FK35" s="20"/>
      <c r="FL35" s="20"/>
    </row>
    <row r="36" spans="3:168" ht="14.4" thickBot="1" x14ac:dyDescent="0.35">
      <c r="C36" s="67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0</v>
      </c>
      <c r="X36" s="68">
        <v>0</v>
      </c>
      <c r="Y36" s="68">
        <v>0</v>
      </c>
      <c r="Z36" s="68">
        <v>0</v>
      </c>
      <c r="AA36" s="68">
        <v>0</v>
      </c>
      <c r="AB36" s="68">
        <v>0</v>
      </c>
      <c r="AC36" s="68">
        <v>0</v>
      </c>
      <c r="AD36" s="69">
        <v>0</v>
      </c>
      <c r="AH36" s="56">
        <v>35</v>
      </c>
      <c r="AI36" s="74">
        <f t="shared" si="46"/>
        <v>0</v>
      </c>
      <c r="AJ36" s="74">
        <f t="shared" si="46"/>
        <v>0</v>
      </c>
      <c r="AK36" s="74">
        <f t="shared" si="46"/>
        <v>0</v>
      </c>
      <c r="AL36" s="74">
        <f t="shared" si="46"/>
        <v>0</v>
      </c>
      <c r="AM36" s="74">
        <f t="shared" si="46"/>
        <v>0</v>
      </c>
      <c r="AN36" s="74">
        <f t="shared" si="46"/>
        <v>0</v>
      </c>
      <c r="AO36" s="74">
        <f t="shared" si="46"/>
        <v>0</v>
      </c>
      <c r="AP36" s="74">
        <f t="shared" si="46"/>
        <v>0</v>
      </c>
      <c r="AQ36" s="74">
        <f t="shared" si="46"/>
        <v>0</v>
      </c>
      <c r="AR36" s="74">
        <f t="shared" si="46"/>
        <v>0</v>
      </c>
      <c r="AS36" s="74">
        <f t="shared" si="46"/>
        <v>0</v>
      </c>
      <c r="AT36" s="74">
        <f t="shared" si="46"/>
        <v>0</v>
      </c>
      <c r="AU36" s="74">
        <f t="shared" si="46"/>
        <v>0</v>
      </c>
      <c r="AV36" s="74">
        <f t="shared" si="46"/>
        <v>0</v>
      </c>
      <c r="AW36" s="74">
        <f t="shared" si="46"/>
        <v>0</v>
      </c>
      <c r="AX36" s="74">
        <f t="shared" si="46"/>
        <v>0</v>
      </c>
      <c r="AY36" s="74">
        <f t="shared" si="47"/>
        <v>0</v>
      </c>
      <c r="AZ36" s="74">
        <f t="shared" si="47"/>
        <v>0</v>
      </c>
      <c r="BA36" s="74">
        <f t="shared" si="47"/>
        <v>0</v>
      </c>
      <c r="BB36" s="74">
        <f t="shared" si="47"/>
        <v>0</v>
      </c>
      <c r="BC36" s="74">
        <f t="shared" si="47"/>
        <v>0</v>
      </c>
      <c r="BD36" s="74">
        <f t="shared" si="47"/>
        <v>0</v>
      </c>
      <c r="BE36" s="74">
        <f t="shared" si="47"/>
        <v>0</v>
      </c>
      <c r="BF36" s="74">
        <f t="shared" si="47"/>
        <v>0</v>
      </c>
      <c r="BG36" s="74">
        <f t="shared" si="47"/>
        <v>0</v>
      </c>
      <c r="BH36" s="74">
        <f t="shared" si="47"/>
        <v>0</v>
      </c>
      <c r="BI36" s="74">
        <f t="shared" si="47"/>
        <v>0</v>
      </c>
      <c r="BJ36" s="74">
        <f t="shared" si="47"/>
        <v>0</v>
      </c>
      <c r="BN36" s="59">
        <v>35</v>
      </c>
      <c r="BO36" s="78">
        <f t="shared" si="43"/>
        <v>0</v>
      </c>
      <c r="BP36" s="78">
        <f t="shared" si="44"/>
        <v>0</v>
      </c>
      <c r="BQ36" s="78">
        <f t="shared" si="45"/>
        <v>0</v>
      </c>
      <c r="BR36" s="78">
        <f t="shared" si="45"/>
        <v>0</v>
      </c>
      <c r="BS36" s="78">
        <f t="shared" si="45"/>
        <v>0</v>
      </c>
      <c r="BT36" s="78">
        <f t="shared" si="45"/>
        <v>0</v>
      </c>
      <c r="BU36" s="78">
        <f t="shared" si="45"/>
        <v>0</v>
      </c>
      <c r="BV36" s="78">
        <f t="shared" si="45"/>
        <v>0</v>
      </c>
      <c r="BW36" s="78">
        <f t="shared" si="45"/>
        <v>0</v>
      </c>
      <c r="BX36" s="78">
        <f t="shared" si="45"/>
        <v>0</v>
      </c>
      <c r="BY36" s="78">
        <f t="shared" si="45"/>
        <v>0</v>
      </c>
      <c r="BZ36" s="78">
        <f t="shared" si="45"/>
        <v>0</v>
      </c>
      <c r="CA36" s="78">
        <f t="shared" si="45"/>
        <v>0</v>
      </c>
      <c r="CB36" s="78">
        <f t="shared" si="45"/>
        <v>0</v>
      </c>
      <c r="CC36" s="78">
        <f t="shared" si="45"/>
        <v>0</v>
      </c>
      <c r="CD36" s="78">
        <f t="shared" si="45"/>
        <v>0</v>
      </c>
      <c r="CE36" s="78">
        <f t="shared" si="45"/>
        <v>0</v>
      </c>
      <c r="CF36" s="78">
        <f t="shared" si="45"/>
        <v>0</v>
      </c>
      <c r="CG36" s="78">
        <f t="shared" si="45"/>
        <v>0</v>
      </c>
      <c r="CH36" s="78">
        <f t="shared" si="45"/>
        <v>0</v>
      </c>
      <c r="CI36" s="78">
        <f t="shared" si="45"/>
        <v>0</v>
      </c>
      <c r="CJ36" s="78">
        <f t="shared" si="45"/>
        <v>0</v>
      </c>
      <c r="CK36" s="78">
        <f t="shared" si="45"/>
        <v>0</v>
      </c>
      <c r="CL36" s="78">
        <f t="shared" si="45"/>
        <v>0</v>
      </c>
      <c r="CM36" s="78">
        <f t="shared" si="45"/>
        <v>0</v>
      </c>
      <c r="CN36" s="78">
        <f t="shared" si="45"/>
        <v>0</v>
      </c>
      <c r="CO36" s="78">
        <f t="shared" si="45"/>
        <v>0</v>
      </c>
      <c r="CP36" s="78">
        <f t="shared" si="45"/>
        <v>0</v>
      </c>
      <c r="CU36" s="56">
        <v>35</v>
      </c>
      <c r="CV36" s="57">
        <f t="shared" si="7"/>
        <v>0</v>
      </c>
      <c r="CW36" s="57">
        <f t="shared" si="8"/>
        <v>0</v>
      </c>
      <c r="CX36" s="57">
        <f t="shared" si="9"/>
        <v>0</v>
      </c>
      <c r="CY36" s="57">
        <f t="shared" si="10"/>
        <v>0</v>
      </c>
      <c r="CZ36" s="57">
        <f t="shared" si="11"/>
        <v>0</v>
      </c>
      <c r="DA36" s="57">
        <f t="shared" si="12"/>
        <v>0</v>
      </c>
      <c r="DB36" s="57">
        <f t="shared" si="13"/>
        <v>0</v>
      </c>
      <c r="DC36" s="57">
        <f t="shared" si="14"/>
        <v>0</v>
      </c>
      <c r="DF36" s="53">
        <v>35</v>
      </c>
      <c r="DG36" s="52">
        <f t="shared" si="36"/>
        <v>0</v>
      </c>
      <c r="DH36" s="52">
        <f t="shared" si="15"/>
        <v>0</v>
      </c>
      <c r="DI36" s="52">
        <f t="shared" si="16"/>
        <v>0</v>
      </c>
      <c r="DJ36" s="52">
        <f t="shared" si="17"/>
        <v>0</v>
      </c>
      <c r="DK36" s="52">
        <f t="shared" si="18"/>
        <v>0</v>
      </c>
      <c r="DL36" s="52">
        <f t="shared" si="19"/>
        <v>0</v>
      </c>
      <c r="DM36" s="52">
        <f t="shared" si="20"/>
        <v>0</v>
      </c>
      <c r="DN36" s="52">
        <f t="shared" si="21"/>
        <v>0</v>
      </c>
      <c r="DO36" s="52">
        <f t="shared" si="22"/>
        <v>0</v>
      </c>
      <c r="DP36" s="52">
        <f t="shared" si="23"/>
        <v>0</v>
      </c>
      <c r="DQ36" s="52">
        <f t="shared" si="24"/>
        <v>0</v>
      </c>
      <c r="DR36" s="52">
        <f t="shared" si="25"/>
        <v>0</v>
      </c>
      <c r="DS36" s="52">
        <f t="shared" si="26"/>
        <v>0</v>
      </c>
      <c r="DT36" s="52">
        <f t="shared" si="27"/>
        <v>0</v>
      </c>
      <c r="DX36">
        <v>35</v>
      </c>
      <c r="DY36" s="19">
        <f t="shared" si="4"/>
        <v>0</v>
      </c>
      <c r="EM36" s="21">
        <v>35</v>
      </c>
      <c r="EN36" s="16">
        <f t="shared" si="28"/>
        <v>0</v>
      </c>
      <c r="EO36" s="16">
        <f t="shared" si="5"/>
        <v>0</v>
      </c>
      <c r="EP36" s="16">
        <f t="shared" si="29"/>
        <v>0</v>
      </c>
      <c r="EQ36" s="16">
        <f t="shared" si="30"/>
        <v>0</v>
      </c>
      <c r="ER36" s="16">
        <f t="shared" si="31"/>
        <v>0</v>
      </c>
      <c r="ES36" s="16">
        <f t="shared" si="32"/>
        <v>0</v>
      </c>
      <c r="ET36" s="16">
        <f t="shared" si="33"/>
        <v>0</v>
      </c>
      <c r="EU36" s="16">
        <f t="shared" si="34"/>
        <v>0</v>
      </c>
      <c r="FK36" s="20"/>
      <c r="FL36" s="20"/>
    </row>
    <row r="37" spans="3:168" x14ac:dyDescent="0.3">
      <c r="C37" s="70">
        <v>0</v>
      </c>
      <c r="D37" s="71">
        <v>0</v>
      </c>
      <c r="E37" s="71">
        <v>0</v>
      </c>
      <c r="F37" s="71">
        <v>0</v>
      </c>
      <c r="G37" s="71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1">
        <v>0</v>
      </c>
      <c r="O37" s="71">
        <v>0</v>
      </c>
      <c r="P37" s="71">
        <v>0</v>
      </c>
      <c r="Q37" s="71">
        <v>0</v>
      </c>
      <c r="R37" s="71">
        <v>0</v>
      </c>
      <c r="S37" s="71">
        <v>0</v>
      </c>
      <c r="T37" s="71">
        <v>0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0</v>
      </c>
      <c r="AA37" s="71">
        <v>0</v>
      </c>
      <c r="AB37" s="71">
        <v>0</v>
      </c>
      <c r="AC37" s="71">
        <v>0</v>
      </c>
      <c r="AD37" s="72">
        <v>0</v>
      </c>
      <c r="AH37" s="56">
        <v>36</v>
      </c>
      <c r="AI37" s="75">
        <f>IF(C37=0,0,(C37-#REF!)*100/#REF!)</f>
        <v>0</v>
      </c>
      <c r="AJ37" s="75">
        <f>IF(D37=0,0,(D37-#REF!)*100/#REF!)</f>
        <v>0</v>
      </c>
      <c r="AK37" s="75">
        <f>IF(E37=0,0,(E37-#REF!)*100/#REF!)</f>
        <v>0</v>
      </c>
      <c r="AL37" s="75">
        <f>IF(F37=0,0,(F37-#REF!)*100/#REF!)</f>
        <v>0</v>
      </c>
      <c r="AM37" s="75">
        <f>IF(G37=0,0,(G37-#REF!)*100/#REF!)</f>
        <v>0</v>
      </c>
      <c r="AN37" s="75">
        <f>IF(H37=0,0,(H37-#REF!)*100/#REF!)</f>
        <v>0</v>
      </c>
      <c r="AO37" s="75">
        <f>IF(I37=0,0,(I37-#REF!)*100/#REF!)</f>
        <v>0</v>
      </c>
      <c r="AP37" s="75">
        <f>IF(J37=0,0,(J37-#REF!)*100/#REF!)</f>
        <v>0</v>
      </c>
      <c r="AQ37" s="75">
        <f>IF(K37=0,0,(K37-#REF!)*100/#REF!)</f>
        <v>0</v>
      </c>
      <c r="AR37" s="75">
        <f>IF(L37=0,0,(L37-#REF!)*100/#REF!)</f>
        <v>0</v>
      </c>
      <c r="AS37" s="75">
        <f>IF(M37=0,0,(M37-#REF!)*100/#REF!)</f>
        <v>0</v>
      </c>
      <c r="AT37" s="75">
        <f>IF(N37=0,0,(N37-#REF!)*100/#REF!)</f>
        <v>0</v>
      </c>
      <c r="AU37" s="75">
        <f>IF(O37=0,0,(O37-#REF!)*100/#REF!)</f>
        <v>0</v>
      </c>
      <c r="AV37" s="75">
        <f>IF(P37=0,0,(P37-#REF!)*100/#REF!)</f>
        <v>0</v>
      </c>
      <c r="AW37" s="75">
        <f>IF(Q37=0,0,(Q37-#REF!)*100/#REF!)</f>
        <v>0</v>
      </c>
      <c r="AX37" s="75">
        <f>IF(R37=0,0,(R37-#REF!)*100/#REF!)</f>
        <v>0</v>
      </c>
      <c r="AY37" s="75">
        <f>IF(S37=0,0,(S37-#REF!)*100/#REF!)</f>
        <v>0</v>
      </c>
      <c r="AZ37" s="75">
        <f>IF(T37=0,0,(T37-#REF!)*100/#REF!)</f>
        <v>0</v>
      </c>
      <c r="BA37" s="75">
        <f>IF(U37=0,0,(U37-#REF!)*100/#REF!)</f>
        <v>0</v>
      </c>
      <c r="BB37" s="75">
        <f>IF(V37=0,0,(V37-#REF!)*100/#REF!)</f>
        <v>0</v>
      </c>
      <c r="BC37" s="75">
        <f>IF(W37=0,0,(W37-#REF!)*100/#REF!)</f>
        <v>0</v>
      </c>
      <c r="BD37" s="75">
        <f>IF(X37=0,0,(X37-#REF!)*100/#REF!)</f>
        <v>0</v>
      </c>
      <c r="BE37" s="75">
        <f>IF(Y37=0,0,(Y37-#REF!)*100/#REF!)</f>
        <v>0</v>
      </c>
      <c r="BF37" s="75">
        <f>IF(Z37=0,0,(Z37-#REF!)*100/#REF!)</f>
        <v>0</v>
      </c>
      <c r="BG37" s="75">
        <f>IF(AA37=0,0,(AA37-#REF!)*100/#REF!)</f>
        <v>0</v>
      </c>
      <c r="BH37" s="75">
        <f>IF(AB37=0,0,(AB37-#REF!)*100/#REF!)</f>
        <v>0</v>
      </c>
      <c r="BI37" s="75">
        <f>IF(AC37=0,0,(AC37-#REF!)*100/#REF!)</f>
        <v>0</v>
      </c>
      <c r="BJ37" s="75">
        <f>IF(AD37=0,0,(AD37-#REF!)*100/#REF!)</f>
        <v>0</v>
      </c>
      <c r="BN37" s="59">
        <v>36</v>
      </c>
      <c r="BO37" s="79">
        <f t="shared" si="43"/>
        <v>0</v>
      </c>
      <c r="BP37" s="79">
        <f t="shared" si="44"/>
        <v>0</v>
      </c>
      <c r="BQ37" s="79">
        <f t="shared" si="45"/>
        <v>0</v>
      </c>
      <c r="BR37" s="79">
        <f t="shared" si="45"/>
        <v>0</v>
      </c>
      <c r="BS37" s="79">
        <f t="shared" si="45"/>
        <v>0</v>
      </c>
      <c r="BT37" s="79">
        <f t="shared" si="45"/>
        <v>0</v>
      </c>
      <c r="BU37" s="79">
        <f t="shared" si="45"/>
        <v>0</v>
      </c>
      <c r="BV37" s="79">
        <f t="shared" si="45"/>
        <v>0</v>
      </c>
      <c r="BW37" s="79">
        <f t="shared" si="45"/>
        <v>0</v>
      </c>
      <c r="BX37" s="79">
        <f t="shared" si="45"/>
        <v>0</v>
      </c>
      <c r="BY37" s="79">
        <f t="shared" si="45"/>
        <v>0</v>
      </c>
      <c r="BZ37" s="79">
        <f t="shared" si="45"/>
        <v>0</v>
      </c>
      <c r="CA37" s="79">
        <f t="shared" si="45"/>
        <v>0</v>
      </c>
      <c r="CB37" s="79">
        <f t="shared" si="45"/>
        <v>0</v>
      </c>
      <c r="CC37" s="79">
        <f t="shared" si="45"/>
        <v>0</v>
      </c>
      <c r="CD37" s="79">
        <f t="shared" si="45"/>
        <v>0</v>
      </c>
      <c r="CE37" s="79">
        <f t="shared" si="45"/>
        <v>0</v>
      </c>
      <c r="CF37" s="79">
        <f t="shared" si="45"/>
        <v>0</v>
      </c>
      <c r="CG37" s="79">
        <f t="shared" si="45"/>
        <v>0</v>
      </c>
      <c r="CH37" s="79">
        <f t="shared" si="45"/>
        <v>0</v>
      </c>
      <c r="CI37" s="79">
        <f t="shared" si="45"/>
        <v>0</v>
      </c>
      <c r="CJ37" s="79">
        <f t="shared" si="45"/>
        <v>0</v>
      </c>
      <c r="CK37" s="79">
        <f t="shared" si="45"/>
        <v>0</v>
      </c>
      <c r="CL37" s="79">
        <f t="shared" si="45"/>
        <v>0</v>
      </c>
      <c r="CM37" s="79">
        <f t="shared" si="45"/>
        <v>0</v>
      </c>
      <c r="CN37" s="79">
        <f t="shared" si="45"/>
        <v>0</v>
      </c>
      <c r="CO37" s="79">
        <f t="shared" si="45"/>
        <v>0</v>
      </c>
      <c r="CP37" s="79">
        <f t="shared" si="45"/>
        <v>0</v>
      </c>
      <c r="CU37" s="56">
        <v>36</v>
      </c>
      <c r="CV37" s="58">
        <f t="shared" si="7"/>
        <v>0</v>
      </c>
      <c r="CW37" s="58">
        <f t="shared" si="8"/>
        <v>0</v>
      </c>
      <c r="CX37" s="58">
        <f t="shared" si="9"/>
        <v>0</v>
      </c>
      <c r="CY37" s="58">
        <f t="shared" si="10"/>
        <v>0</v>
      </c>
      <c r="CZ37" s="58">
        <f t="shared" si="11"/>
        <v>0</v>
      </c>
      <c r="DA37" s="58">
        <f t="shared" si="12"/>
        <v>0</v>
      </c>
      <c r="DB37" s="58">
        <f t="shared" si="13"/>
        <v>0</v>
      </c>
      <c r="DC37" s="58">
        <f t="shared" si="14"/>
        <v>0</v>
      </c>
      <c r="DF37" s="51">
        <v>36</v>
      </c>
      <c r="DG37" s="54">
        <f t="shared" si="36"/>
        <v>0</v>
      </c>
      <c r="DH37" s="54">
        <f t="shared" si="15"/>
        <v>0</v>
      </c>
      <c r="DI37" s="54">
        <f t="shared" si="16"/>
        <v>0</v>
      </c>
      <c r="DJ37" s="54">
        <f t="shared" si="17"/>
        <v>0</v>
      </c>
      <c r="DK37" s="54">
        <f t="shared" si="18"/>
        <v>0</v>
      </c>
      <c r="DL37" s="54">
        <f t="shared" si="19"/>
        <v>0</v>
      </c>
      <c r="DM37" s="54">
        <f t="shared" si="20"/>
        <v>0</v>
      </c>
      <c r="DN37" s="54">
        <f t="shared" si="21"/>
        <v>0</v>
      </c>
      <c r="DO37" s="54">
        <f t="shared" si="22"/>
        <v>0</v>
      </c>
      <c r="DP37" s="54">
        <f t="shared" si="23"/>
        <v>0</v>
      </c>
      <c r="DQ37" s="54">
        <f t="shared" si="24"/>
        <v>0</v>
      </c>
      <c r="DR37" s="54">
        <f t="shared" si="25"/>
        <v>0</v>
      </c>
      <c r="DS37" s="54">
        <f t="shared" si="26"/>
        <v>0</v>
      </c>
      <c r="DT37" s="54">
        <f t="shared" si="27"/>
        <v>0</v>
      </c>
      <c r="DX37">
        <v>36</v>
      </c>
      <c r="DY37" s="19">
        <f t="shared" si="4"/>
        <v>0</v>
      </c>
      <c r="EM37" s="13">
        <v>36</v>
      </c>
      <c r="EN37" s="16">
        <f t="shared" si="28"/>
        <v>0</v>
      </c>
      <c r="EO37" s="16">
        <f t="shared" si="5"/>
        <v>0</v>
      </c>
      <c r="EP37" s="16">
        <f t="shared" si="29"/>
        <v>0</v>
      </c>
      <c r="EQ37" s="16">
        <f t="shared" si="30"/>
        <v>0</v>
      </c>
      <c r="ER37" s="16">
        <f t="shared" si="31"/>
        <v>0</v>
      </c>
      <c r="ES37" s="16">
        <f t="shared" si="32"/>
        <v>0</v>
      </c>
      <c r="ET37" s="16">
        <f t="shared" si="33"/>
        <v>0</v>
      </c>
      <c r="EU37" s="16">
        <f t="shared" si="34"/>
        <v>0</v>
      </c>
      <c r="FK37" s="20"/>
      <c r="FL37" s="20"/>
    </row>
    <row r="38" spans="3:168" x14ac:dyDescent="0.3">
      <c r="CU38" s="59"/>
      <c r="CV38" s="59"/>
      <c r="CW38" s="59"/>
      <c r="CX38" s="59"/>
      <c r="CY38" s="59"/>
      <c r="CZ38" s="59"/>
      <c r="DA38" s="59"/>
      <c r="DB38" s="59"/>
      <c r="DC38" s="59"/>
      <c r="FK38" s="20"/>
      <c r="FL38" s="20"/>
    </row>
    <row r="39" spans="3:168" x14ac:dyDescent="0.3">
      <c r="FK39" s="20"/>
      <c r="FL39" s="20"/>
    </row>
    <row r="40" spans="3:168" x14ac:dyDescent="0.3">
      <c r="FK40" s="20"/>
      <c r="FL40" s="20"/>
    </row>
    <row r="41" spans="3:168" x14ac:dyDescent="0.3">
      <c r="FK41" s="20"/>
      <c r="FL41" s="20"/>
    </row>
    <row r="42" spans="3:168" x14ac:dyDescent="0.3">
      <c r="FK42" s="20"/>
      <c r="FL42" s="20"/>
    </row>
    <row r="43" spans="3:168" x14ac:dyDescent="0.3">
      <c r="FK43" s="20"/>
      <c r="FL43" s="20"/>
    </row>
    <row r="44" spans="3:168" x14ac:dyDescent="0.3">
      <c r="FK44" s="20"/>
      <c r="FL44" s="20"/>
    </row>
    <row r="45" spans="3:168" x14ac:dyDescent="0.3">
      <c r="FK45" s="20"/>
      <c r="FL45" s="20"/>
    </row>
    <row r="46" spans="3:168" x14ac:dyDescent="0.3">
      <c r="FK46" s="20"/>
      <c r="FL46" s="20"/>
    </row>
    <row r="47" spans="3:168" x14ac:dyDescent="0.3">
      <c r="FK47" s="20"/>
      <c r="FL47" s="20"/>
    </row>
    <row r="48" spans="3:168" x14ac:dyDescent="0.3">
      <c r="FK48" s="20"/>
      <c r="FL48" s="20"/>
    </row>
    <row r="49" spans="167:168" x14ac:dyDescent="0.3">
      <c r="FK49" s="20"/>
      <c r="FL49" s="20"/>
    </row>
    <row r="50" spans="167:168" x14ac:dyDescent="0.3">
      <c r="FK50" s="20"/>
      <c r="FL50" s="20"/>
    </row>
    <row r="51" spans="167:168" x14ac:dyDescent="0.3">
      <c r="FK51" s="20"/>
      <c r="FL51" s="20"/>
    </row>
    <row r="52" spans="167:168" x14ac:dyDescent="0.3">
      <c r="FK52" s="20"/>
      <c r="FL52" s="20"/>
    </row>
    <row r="53" spans="167:168" x14ac:dyDescent="0.3">
      <c r="FK53" s="20"/>
      <c r="FL53" s="20"/>
    </row>
    <row r="54" spans="167:168" x14ac:dyDescent="0.3">
      <c r="FK54" s="20"/>
      <c r="FL54" s="20"/>
    </row>
    <row r="55" spans="167:168" x14ac:dyDescent="0.3">
      <c r="FK55" s="20"/>
      <c r="FL55" s="20"/>
    </row>
    <row r="56" spans="167:168" x14ac:dyDescent="0.3">
      <c r="FK56" s="20"/>
      <c r="FL56" s="20"/>
    </row>
    <row r="57" spans="167:168" x14ac:dyDescent="0.3">
      <c r="FK57" s="20"/>
      <c r="FL57" s="20"/>
    </row>
    <row r="58" spans="167:168" x14ac:dyDescent="0.3">
      <c r="FK58" s="20"/>
      <c r="FL58" s="20"/>
    </row>
    <row r="59" spans="167:168" x14ac:dyDescent="0.3">
      <c r="FK59" s="20"/>
      <c r="FL59" s="20"/>
    </row>
    <row r="60" spans="167:168" x14ac:dyDescent="0.3">
      <c r="FK60" s="20"/>
      <c r="FL60" s="20"/>
    </row>
    <row r="61" spans="167:168" x14ac:dyDescent="0.3">
      <c r="FK61" s="20"/>
      <c r="FL61" s="20"/>
    </row>
    <row r="62" spans="167:168" x14ac:dyDescent="0.3">
      <c r="FK62" s="20"/>
      <c r="FL62" s="20"/>
    </row>
    <row r="63" spans="167:168" x14ac:dyDescent="0.3">
      <c r="FK63" s="20"/>
      <c r="FL63" s="20"/>
    </row>
    <row r="64" spans="167:168" x14ac:dyDescent="0.3">
      <c r="FK64" s="20"/>
      <c r="FL64" s="20"/>
    </row>
    <row r="65" spans="167:168" x14ac:dyDescent="0.3">
      <c r="FK65" s="20"/>
      <c r="FL65" s="20"/>
    </row>
    <row r="66" spans="167:168" x14ac:dyDescent="0.3">
      <c r="FK66" s="20"/>
      <c r="FL66" s="20"/>
    </row>
    <row r="67" spans="167:168" x14ac:dyDescent="0.3">
      <c r="FK67" s="20"/>
      <c r="FL67" s="20"/>
    </row>
    <row r="68" spans="167:168" x14ac:dyDescent="0.3">
      <c r="FK68" s="20"/>
      <c r="FL68" s="20"/>
    </row>
    <row r="69" spans="167:168" x14ac:dyDescent="0.3">
      <c r="FK69" s="20"/>
      <c r="FL69" s="20"/>
    </row>
    <row r="70" spans="167:168" x14ac:dyDescent="0.3">
      <c r="FK70" s="20"/>
      <c r="FL70" s="20"/>
    </row>
    <row r="71" spans="167:168" x14ac:dyDescent="0.3">
      <c r="FK71" s="20"/>
      <c r="FL71" s="20"/>
    </row>
    <row r="72" spans="167:168" x14ac:dyDescent="0.3">
      <c r="FK72" s="20"/>
      <c r="FL72" s="20"/>
    </row>
    <row r="73" spans="167:168" x14ac:dyDescent="0.3">
      <c r="FK73" s="20"/>
      <c r="FL73" s="20"/>
    </row>
    <row r="74" spans="167:168" x14ac:dyDescent="0.3">
      <c r="FK74" s="20"/>
      <c r="FL74" s="20"/>
    </row>
    <row r="75" spans="167:168" x14ac:dyDescent="0.3">
      <c r="FK75" s="20"/>
      <c r="FL75" s="20"/>
    </row>
    <row r="76" spans="167:168" x14ac:dyDescent="0.3">
      <c r="FK76" s="20"/>
      <c r="FL76" s="20"/>
    </row>
    <row r="77" spans="167:168" x14ac:dyDescent="0.3">
      <c r="FK77" s="20"/>
      <c r="FL77" s="20"/>
    </row>
    <row r="78" spans="167:168" x14ac:dyDescent="0.3">
      <c r="FK78" s="20"/>
      <c r="FL78" s="20"/>
    </row>
    <row r="79" spans="167:168" x14ac:dyDescent="0.3">
      <c r="FK79" s="20"/>
      <c r="FL79" s="20"/>
    </row>
    <row r="80" spans="167:168" x14ac:dyDescent="0.3">
      <c r="FK80" s="20"/>
      <c r="FL80" s="20"/>
    </row>
    <row r="81" spans="167:168" x14ac:dyDescent="0.3">
      <c r="FK81" s="20"/>
      <c r="FL81" s="20"/>
    </row>
    <row r="82" spans="167:168" x14ac:dyDescent="0.3">
      <c r="FK82" s="20"/>
      <c r="FL82" s="20"/>
    </row>
    <row r="83" spans="167:168" x14ac:dyDescent="0.3">
      <c r="FK83" s="20"/>
      <c r="FL83" s="20"/>
    </row>
    <row r="84" spans="167:168" x14ac:dyDescent="0.3">
      <c r="FK84" s="20"/>
      <c r="FL84" s="20"/>
    </row>
    <row r="85" spans="167:168" x14ac:dyDescent="0.3">
      <c r="FK85" s="20"/>
      <c r="FL85" s="20"/>
    </row>
    <row r="86" spans="167:168" x14ac:dyDescent="0.3">
      <c r="FK86" s="20"/>
      <c r="FL86" s="20"/>
    </row>
    <row r="87" spans="167:168" x14ac:dyDescent="0.3">
      <c r="FK87" s="20"/>
      <c r="FL87" s="20"/>
    </row>
    <row r="88" spans="167:168" x14ac:dyDescent="0.3">
      <c r="FK88" s="20"/>
      <c r="FL88" s="20"/>
    </row>
    <row r="89" spans="167:168" x14ac:dyDescent="0.3">
      <c r="FK89" s="20"/>
      <c r="FL89" s="20"/>
    </row>
    <row r="90" spans="167:168" x14ac:dyDescent="0.3">
      <c r="FK90" s="20"/>
      <c r="FL90" s="20"/>
    </row>
    <row r="91" spans="167:168" x14ac:dyDescent="0.3">
      <c r="FK91" s="20"/>
      <c r="FL91" s="20"/>
    </row>
    <row r="92" spans="167:168" x14ac:dyDescent="0.3">
      <c r="FK92" s="20"/>
      <c r="FL92" s="20"/>
    </row>
    <row r="93" spans="167:168" x14ac:dyDescent="0.3">
      <c r="FK93" s="20"/>
      <c r="FL93" s="20"/>
    </row>
    <row r="94" spans="167:168" x14ac:dyDescent="0.3">
      <c r="FK94" s="20"/>
      <c r="FL94" s="20"/>
    </row>
    <row r="95" spans="167:168" x14ac:dyDescent="0.3">
      <c r="FK95" s="20"/>
      <c r="FL95" s="20"/>
    </row>
    <row r="96" spans="167:168" x14ac:dyDescent="0.3">
      <c r="FK96" s="20"/>
      <c r="FL96" s="20"/>
    </row>
    <row r="97" spans="167:168" x14ac:dyDescent="0.3">
      <c r="FK97" s="20"/>
      <c r="FL97" s="20"/>
    </row>
    <row r="98" spans="167:168" x14ac:dyDescent="0.3">
      <c r="FK98" s="20"/>
      <c r="FL98" s="20"/>
    </row>
    <row r="99" spans="167:168" x14ac:dyDescent="0.3">
      <c r="FK99" s="20"/>
      <c r="FL99" s="20"/>
    </row>
    <row r="100" spans="167:168" x14ac:dyDescent="0.3">
      <c r="FK100" s="20"/>
      <c r="FL100" s="20"/>
    </row>
    <row r="101" spans="167:168" x14ac:dyDescent="0.3">
      <c r="FK101" s="20"/>
      <c r="FL101" s="20"/>
    </row>
    <row r="102" spans="167:168" x14ac:dyDescent="0.3">
      <c r="FK102" s="20"/>
      <c r="FL102" s="20"/>
    </row>
    <row r="103" spans="167:168" x14ac:dyDescent="0.3">
      <c r="FK103" s="20"/>
      <c r="FL103" s="20"/>
    </row>
    <row r="104" spans="167:168" x14ac:dyDescent="0.3">
      <c r="FK104" s="20"/>
      <c r="FL104" s="20"/>
    </row>
    <row r="105" spans="167:168" x14ac:dyDescent="0.3">
      <c r="FK105" s="20"/>
      <c r="FL105" s="20"/>
    </row>
    <row r="106" spans="167:168" x14ac:dyDescent="0.3">
      <c r="FK106" s="20"/>
      <c r="FL106" s="20"/>
    </row>
    <row r="107" spans="167:168" x14ac:dyDescent="0.3">
      <c r="FK107" s="20"/>
      <c r="FL107" s="20"/>
    </row>
    <row r="108" spans="167:168" x14ac:dyDescent="0.3">
      <c r="FK108" s="20"/>
      <c r="FL108" s="20"/>
    </row>
    <row r="109" spans="167:168" x14ac:dyDescent="0.3">
      <c r="FK109" s="20"/>
      <c r="FL109" s="20"/>
    </row>
    <row r="110" spans="167:168" x14ac:dyDescent="0.3">
      <c r="FK110" s="20"/>
      <c r="FL110" s="20"/>
    </row>
    <row r="111" spans="167:168" x14ac:dyDescent="0.3">
      <c r="FK111" s="20"/>
      <c r="FL111" s="20"/>
    </row>
    <row r="112" spans="167:168" x14ac:dyDescent="0.3">
      <c r="FK112" s="20"/>
      <c r="FL112" s="20"/>
    </row>
    <row r="113" spans="167:168" x14ac:dyDescent="0.3">
      <c r="FK113" s="20"/>
      <c r="FL113" s="20"/>
    </row>
    <row r="114" spans="167:168" x14ac:dyDescent="0.3">
      <c r="FK114" s="20"/>
      <c r="FL114" s="20"/>
    </row>
    <row r="115" spans="167:168" x14ac:dyDescent="0.3">
      <c r="FK115" s="20"/>
      <c r="FL115" s="20"/>
    </row>
    <row r="116" spans="167:168" x14ac:dyDescent="0.3">
      <c r="FK116" s="20"/>
      <c r="FL116" s="20"/>
    </row>
    <row r="117" spans="167:168" x14ac:dyDescent="0.3">
      <c r="FK117" s="20"/>
      <c r="FL117" s="20"/>
    </row>
    <row r="118" spans="167:168" x14ac:dyDescent="0.3">
      <c r="FK118" s="20"/>
      <c r="FL118" s="20"/>
    </row>
    <row r="119" spans="167:168" x14ac:dyDescent="0.3">
      <c r="FK119" s="20"/>
      <c r="FL119" s="20"/>
    </row>
  </sheetData>
  <conditionalFormatting sqref="EB2:EI2">
    <cfRule type="containsText" dxfId="24" priority="1" operator="containsText" text="Sell">
      <formula>NOT(ISERROR(SEARCH("Sell",EB2)))</formula>
    </cfRule>
    <cfRule type="containsText" dxfId="23" priority="2" operator="containsText" text="Buy">
      <formula>NOT(ISERROR(SEARCH("Buy",EB2)))</formula>
    </cfRule>
    <cfRule type="expression" dxfId="22" priority="3">
      <formula>"EC2=""Buy"""</formula>
    </cfRule>
  </conditionalFormatting>
  <conditionalFormatting sqref="EW2:EW9">
    <cfRule type="top10" dxfId="21" priority="11" bottom="1" rank="2"/>
    <cfRule type="top10" dxfId="20" priority="12" rank="2"/>
  </conditionalFormatting>
  <conditionalFormatting sqref="EW13:EW20">
    <cfRule type="top10" dxfId="19" priority="9" bottom="1" rank="2"/>
    <cfRule type="top10" dxfId="18" priority="10" rank="2"/>
  </conditionalFormatting>
  <conditionalFormatting sqref="EW23:EW30">
    <cfRule type="top10" dxfId="17" priority="7" bottom="1" rank="2"/>
    <cfRule type="top10" dxfId="16" priority="8" rank="2"/>
  </conditionalFormatting>
  <dataValidations count="1">
    <dataValidation type="list" allowBlank="1" showInputMessage="1" showErrorMessage="1" sqref="EB2:EI2" xr:uid="{0959CFDB-F9F5-4FDB-B4E7-74457E06451A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DF971-0D09-4D7E-93AB-20C4BFEB4518}">
  <dimension ref="A1:FN119"/>
  <sheetViews>
    <sheetView topLeftCell="DS1" zoomScale="85" zoomScaleNormal="85" workbookViewId="0">
      <selection activeCell="ED1" sqref="ED1:ED1048576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91" width="14.6640625" bestFit="1" customWidth="1"/>
    <col min="92" max="92" width="13.88671875" bestFit="1" customWidth="1"/>
    <col min="93" max="93" width="14.6640625" bestFit="1" customWidth="1"/>
    <col min="94" max="94" width="14.6640625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27.21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32" t="s">
        <v>1</v>
      </c>
      <c r="D1" s="32" t="s">
        <v>2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3" t="s">
        <v>13</v>
      </c>
      <c r="P1" s="33" t="s">
        <v>14</v>
      </c>
      <c r="Q1" s="33" t="s">
        <v>15</v>
      </c>
      <c r="R1" s="33" t="s">
        <v>16</v>
      </c>
      <c r="S1" s="33" t="s">
        <v>17</v>
      </c>
      <c r="T1" s="33" t="s">
        <v>18</v>
      </c>
      <c r="U1" s="33" t="s">
        <v>19</v>
      </c>
      <c r="V1" s="33" t="s">
        <v>20</v>
      </c>
      <c r="W1" s="33" t="s">
        <v>21</v>
      </c>
      <c r="X1" s="33" t="s">
        <v>22</v>
      </c>
      <c r="Y1" s="33" t="s">
        <v>23</v>
      </c>
      <c r="Z1" s="33" t="s">
        <v>24</v>
      </c>
      <c r="AA1" s="33" t="s">
        <v>25</v>
      </c>
      <c r="AB1" s="33" t="s">
        <v>26</v>
      </c>
      <c r="AC1" s="33" t="s">
        <v>27</v>
      </c>
      <c r="AD1" s="33" t="s">
        <v>28</v>
      </c>
      <c r="AH1" s="3" t="s">
        <v>29</v>
      </c>
      <c r="AI1" s="4" t="s">
        <v>1</v>
      </c>
      <c r="AJ1" s="4" t="s">
        <v>2</v>
      </c>
      <c r="AK1" s="5" t="s">
        <v>3</v>
      </c>
      <c r="AL1" s="5" t="s">
        <v>4</v>
      </c>
      <c r="AM1" s="5" t="s">
        <v>5</v>
      </c>
      <c r="AN1" s="5" t="s">
        <v>6</v>
      </c>
      <c r="AO1" s="5" t="s">
        <v>7</v>
      </c>
      <c r="AP1" s="5" t="s">
        <v>8</v>
      </c>
      <c r="AQ1" s="5" t="s">
        <v>9</v>
      </c>
      <c r="AR1" s="5" t="s">
        <v>10</v>
      </c>
      <c r="AS1" s="5" t="s">
        <v>11</v>
      </c>
      <c r="AT1" s="5" t="s">
        <v>12</v>
      </c>
      <c r="AU1" s="5" t="s">
        <v>13</v>
      </c>
      <c r="AV1" s="5" t="s">
        <v>14</v>
      </c>
      <c r="AW1" s="5" t="s">
        <v>15</v>
      </c>
      <c r="AX1" s="5" t="s">
        <v>16</v>
      </c>
      <c r="AY1" s="5" t="s">
        <v>17</v>
      </c>
      <c r="AZ1" s="5" t="s">
        <v>18</v>
      </c>
      <c r="BA1" s="5" t="s">
        <v>19</v>
      </c>
      <c r="BB1" s="5" t="s">
        <v>20</v>
      </c>
      <c r="BC1" s="5" t="s">
        <v>21</v>
      </c>
      <c r="BD1" s="5" t="s">
        <v>22</v>
      </c>
      <c r="BE1" s="5" t="s">
        <v>23</v>
      </c>
      <c r="BF1" s="5" t="s">
        <v>24</v>
      </c>
      <c r="BG1" s="5" t="s">
        <v>25</v>
      </c>
      <c r="BH1" s="5" t="s">
        <v>26</v>
      </c>
      <c r="BI1" s="5" t="s">
        <v>27</v>
      </c>
      <c r="BJ1" s="5" t="s">
        <v>28</v>
      </c>
      <c r="BN1" s="6" t="s">
        <v>29</v>
      </c>
      <c r="BO1" s="7" t="s">
        <v>1</v>
      </c>
      <c r="BP1" s="7" t="s">
        <v>2</v>
      </c>
      <c r="BQ1" s="8" t="s">
        <v>3</v>
      </c>
      <c r="BR1" s="8" t="s">
        <v>4</v>
      </c>
      <c r="BS1" s="8" t="s">
        <v>5</v>
      </c>
      <c r="BT1" s="8" t="s">
        <v>6</v>
      </c>
      <c r="BU1" s="8" t="s">
        <v>7</v>
      </c>
      <c r="BV1" s="8" t="s">
        <v>8</v>
      </c>
      <c r="BW1" s="8" t="s">
        <v>9</v>
      </c>
      <c r="BX1" s="8" t="s">
        <v>10</v>
      </c>
      <c r="BY1" s="8" t="s">
        <v>11</v>
      </c>
      <c r="BZ1" s="8" t="s">
        <v>12</v>
      </c>
      <c r="CA1" s="8" t="s">
        <v>13</v>
      </c>
      <c r="CB1" s="8" t="s">
        <v>14</v>
      </c>
      <c r="CC1" s="8" t="s">
        <v>15</v>
      </c>
      <c r="CD1" s="8" t="s">
        <v>16</v>
      </c>
      <c r="CE1" s="8" t="s">
        <v>17</v>
      </c>
      <c r="CF1" s="8" t="s">
        <v>18</v>
      </c>
      <c r="CG1" s="8" t="s">
        <v>19</v>
      </c>
      <c r="CH1" s="8" t="s">
        <v>20</v>
      </c>
      <c r="CI1" s="8" t="s">
        <v>21</v>
      </c>
      <c r="CJ1" s="8" t="s">
        <v>22</v>
      </c>
      <c r="CK1" s="8" t="s">
        <v>23</v>
      </c>
      <c r="CL1" s="8" t="s">
        <v>24</v>
      </c>
      <c r="CM1" s="8" t="s">
        <v>25</v>
      </c>
      <c r="CN1" s="8" t="s">
        <v>26</v>
      </c>
      <c r="CO1" s="8" t="s">
        <v>27</v>
      </c>
      <c r="CP1" s="8" t="s">
        <v>28</v>
      </c>
      <c r="CU1" s="9" t="s">
        <v>29</v>
      </c>
      <c r="CV1" s="9" t="s">
        <v>30</v>
      </c>
      <c r="CW1" s="9" t="s">
        <v>31</v>
      </c>
      <c r="CX1" s="9" t="s">
        <v>32</v>
      </c>
      <c r="CY1" s="9" t="s">
        <v>33</v>
      </c>
      <c r="CZ1" s="9" t="s">
        <v>34</v>
      </c>
      <c r="DA1" s="9" t="s">
        <v>35</v>
      </c>
      <c r="DB1" s="9" t="s">
        <v>36</v>
      </c>
      <c r="DC1" s="9" t="s">
        <v>37</v>
      </c>
      <c r="DF1" s="3" t="s">
        <v>29</v>
      </c>
      <c r="DG1" s="3" t="s">
        <v>26</v>
      </c>
      <c r="DH1" s="3" t="s">
        <v>7</v>
      </c>
      <c r="DI1" s="3" t="s">
        <v>27</v>
      </c>
      <c r="DJ1" s="3" t="s">
        <v>9</v>
      </c>
      <c r="DK1" s="3" t="s">
        <v>38</v>
      </c>
      <c r="DL1" s="3" t="s">
        <v>8</v>
      </c>
      <c r="DM1" s="3" t="s">
        <v>39</v>
      </c>
      <c r="DN1" s="3" t="s">
        <v>11</v>
      </c>
      <c r="DO1" s="3" t="s">
        <v>40</v>
      </c>
      <c r="DP1" s="3" t="s">
        <v>12</v>
      </c>
      <c r="DQ1" s="3" t="s">
        <v>28</v>
      </c>
      <c r="DR1" s="3" t="s">
        <v>10</v>
      </c>
      <c r="DS1" s="43" t="s">
        <v>41</v>
      </c>
      <c r="DT1" s="43" t="s">
        <v>55</v>
      </c>
      <c r="DX1" s="10" t="s">
        <v>29</v>
      </c>
      <c r="DY1" s="10" t="s">
        <v>43</v>
      </c>
      <c r="DZ1" s="10"/>
      <c r="EA1" s="10" t="s">
        <v>44</v>
      </c>
      <c r="EB1" s="10" t="s">
        <v>30</v>
      </c>
      <c r="EC1" s="10" t="s">
        <v>31</v>
      </c>
      <c r="ED1" s="10" t="s">
        <v>32</v>
      </c>
      <c r="EE1" s="10" t="s">
        <v>33</v>
      </c>
      <c r="EF1" s="10" t="s">
        <v>45</v>
      </c>
      <c r="EG1" s="10" t="s">
        <v>35</v>
      </c>
      <c r="EH1" s="10" t="s">
        <v>36</v>
      </c>
      <c r="EI1" s="10" t="s">
        <v>37</v>
      </c>
      <c r="EJ1" s="2" t="s">
        <v>46</v>
      </c>
      <c r="EM1" s="9" t="s">
        <v>29</v>
      </c>
      <c r="EN1" s="9" t="s">
        <v>30</v>
      </c>
      <c r="EO1" s="9" t="s">
        <v>31</v>
      </c>
      <c r="EP1" s="9" t="s">
        <v>32</v>
      </c>
      <c r="EQ1" s="9" t="s">
        <v>33</v>
      </c>
      <c r="ER1" s="9" t="s">
        <v>34</v>
      </c>
      <c r="ES1" s="9" t="s">
        <v>35</v>
      </c>
      <c r="ET1" s="9" t="s">
        <v>36</v>
      </c>
      <c r="EU1" s="9" t="s">
        <v>37</v>
      </c>
      <c r="EW1" s="11" t="s">
        <v>47</v>
      </c>
      <c r="FB1" s="9" t="s">
        <v>29</v>
      </c>
      <c r="FC1" s="9" t="s">
        <v>30</v>
      </c>
      <c r="FD1" s="9" t="s">
        <v>31</v>
      </c>
      <c r="FE1" s="9" t="s">
        <v>32</v>
      </c>
      <c r="FF1" s="9" t="s">
        <v>33</v>
      </c>
      <c r="FG1" s="9" t="s">
        <v>34</v>
      </c>
      <c r="FH1" s="9" t="s">
        <v>35</v>
      </c>
      <c r="FI1" s="9" t="s">
        <v>36</v>
      </c>
      <c r="FJ1" s="9" t="s">
        <v>37</v>
      </c>
    </row>
    <row r="2" spans="1:170" ht="14.4" thickBot="1" x14ac:dyDescent="0.35">
      <c r="A2" s="12">
        <f ca="1">NOW()</f>
        <v>45525.889024999997</v>
      </c>
      <c r="B2" s="12" t="s">
        <v>50</v>
      </c>
      <c r="C2" s="34">
        <f>RTD("fxbluelabs.excelrtd", , "21422436","@bh,AUDUSD,h4,close,0")</f>
        <v>0.67374999999999996</v>
      </c>
      <c r="D2" s="34">
        <f>RTD("fxbluelabs.excelrtd", , "21422436","@bh,AUDNZD,h4,close,0")</f>
        <v>1.09659</v>
      </c>
      <c r="E2" s="35">
        <f>RTD("fxbluelabs.excelrtd", , "21422436","@bh,AUDJPY,h4,close,0")</f>
        <v>98.275000000000006</v>
      </c>
      <c r="F2" s="34">
        <f>RTD("fxbluelabs.excelrtd", , "21422436","@bh,AUDCHF,h4,close,0")</f>
        <v>0.57557000000000003</v>
      </c>
      <c r="G2" s="34">
        <f>RTD("fxbluelabs.excelrtd", , "21422436","@bh,AUDCAD,h4,close,0")</f>
        <v>0.91644000000000003</v>
      </c>
      <c r="H2" s="34">
        <f>RTD("fxbluelabs.excelrtd", , "21422436","@bh,EURUSD,h4,close,0")</f>
        <v>1.11154</v>
      </c>
      <c r="I2" s="34">
        <f>RTD("fxbluelabs.excelrtd", , "21422436","@bh,EURCAD,h4,close,0")</f>
        <v>1.5118</v>
      </c>
      <c r="J2" s="34">
        <f>RTD("fxbluelabs.excelrtd", , "21422436","@bh,EURGBP,h4,close,0")</f>
        <v>0.85167000000000004</v>
      </c>
      <c r="K2" s="34">
        <f>RTD("fxbluelabs.excelrtd", , "21422436","@bh,EURCHF,h4,close,0")</f>
        <v>0.94925999999999999</v>
      </c>
      <c r="L2" s="35">
        <f>RTD("fxbluelabs.excelrtd", , "21422436","@bh,EURJPY,h4,close,0")</f>
        <v>162.12200000000001</v>
      </c>
      <c r="M2" s="34">
        <f>RTD("fxbluelabs.excelrtd", , "21422436","@bh,EURAUD,h4,close,0")</f>
        <v>1.6496900000000001</v>
      </c>
      <c r="N2" s="34">
        <f>RTD("fxbluelabs.excelrtd", , "21422436","@bh,EURNZD,h4,close,0")</f>
        <v>1.80907</v>
      </c>
      <c r="O2" s="34">
        <f>RTD("fxbluelabs.excelrtd", , "21422436","@bh,GBPUSD,h4,close,0")</f>
        <v>1.3048999999999999</v>
      </c>
      <c r="P2" s="34">
        <f>RTD("fxbluelabs.excelrtd", , "21422436","@bh,GBPAUD,h4,close,0")</f>
        <v>1.9369700000000001</v>
      </c>
      <c r="Q2" s="34">
        <f>RTD("fxbluelabs.excelrtd", , "21422436","@bh,GBPNZD,h4,close,0")</f>
        <v>2.1241099999999999</v>
      </c>
      <c r="R2" s="34">
        <f>RTD("fxbluelabs.excelrtd", , "21422436","@bh,GBPCAD,h4,close,0")</f>
        <v>1.77498</v>
      </c>
      <c r="S2" s="34">
        <f>RTD("fxbluelabs.excelrtd", , "21422436","@bh,GBPCHF,h4,close,0")</f>
        <v>1.1149</v>
      </c>
      <c r="T2" s="35">
        <f>RTD("fxbluelabs.excelrtd", , "21422436","@bh,GBPJPY,h4,close,0")</f>
        <v>190.36</v>
      </c>
      <c r="U2" s="35">
        <f>RTD("fxbluelabs.excelrtd", , "21422436","@bh,NZDJPY,h4,close,0")</f>
        <v>89.61</v>
      </c>
      <c r="V2" s="34">
        <f>RTD("fxbluelabs.excelrtd", , "21422436","@bh,NZDCHF,h4,close,0")</f>
        <v>0.52483000000000002</v>
      </c>
      <c r="W2" s="34">
        <f>RTD("fxbluelabs.excelrtd", , "21422436","@bh,NZDUSD,h4,close,0")</f>
        <v>0.61433000000000004</v>
      </c>
      <c r="X2" s="34">
        <f>RTD("fxbluelabs.excelrtd", , "21422436","@bh,NZDCAD,h4,close,0")</f>
        <v>0.83562999999999998</v>
      </c>
      <c r="Y2" s="35">
        <f>RTD("fxbluelabs.excelrtd", , "21422436","@bh,CADJPY,h4,close,0")</f>
        <v>107.236</v>
      </c>
      <c r="Z2" s="34">
        <f>RTD("fxbluelabs.excelrtd", , "21422436","@bh,CADCHF,h4,close,0")</f>
        <v>0.62802999999999998</v>
      </c>
      <c r="AA2" s="35">
        <f>RTD("fxbluelabs.excelrtd", , "21422436","@bh,CHFJPY,h4,close,0")</f>
        <v>170.73599999999999</v>
      </c>
      <c r="AB2" s="34">
        <f>RTD("fxbluelabs.excelrtd", , "21422436","@bh,USDCAD,h4,close,0")</f>
        <v>1.3602700000000001</v>
      </c>
      <c r="AC2" s="34">
        <f>RTD("fxbluelabs.excelrtd", , "21422436","@bh,USDCHF,h4,close,0")</f>
        <v>0.85428999999999999</v>
      </c>
      <c r="AD2" s="35">
        <f>RTD("fxbluelabs.excelrtd", , "21422436","@bh,USDJPY,h4,close,0")</f>
        <v>145.86600000000001</v>
      </c>
      <c r="AH2" s="13">
        <v>1</v>
      </c>
      <c r="AI2" s="14">
        <f>IF(C2=0,0,(C2-C3)*100/C3)</f>
        <v>-8.3047856327209291E-2</v>
      </c>
      <c r="AJ2" s="14">
        <f t="shared" ref="AJ2:BJ17" si="0">IF(D2=0,0,(D2-D3)*100/D3)</f>
        <v>-5.0130338881095436E-2</v>
      </c>
      <c r="AK2" s="14">
        <f t="shared" si="0"/>
        <v>-2.3398238010942374E-2</v>
      </c>
      <c r="AL2" s="14">
        <f t="shared" si="0"/>
        <v>-4.8623773552131107E-2</v>
      </c>
      <c r="AM2" s="14">
        <f t="shared" si="0"/>
        <v>-5.2349168956934623E-2</v>
      </c>
      <c r="AN2" s="14">
        <f>IF(H2=0,0,(H2-H3)*100/H3)</f>
        <v>-8.6292134831467138E-2</v>
      </c>
      <c r="AO2" s="14">
        <f t="shared" si="0"/>
        <v>-6.478139584076871E-2</v>
      </c>
      <c r="AP2" s="14">
        <f t="shared" si="0"/>
        <v>-0.13133362258000325</v>
      </c>
      <c r="AQ2" s="14">
        <f t="shared" si="0"/>
        <v>-8.5256875809148536E-2</v>
      </c>
      <c r="AR2" s="14">
        <f t="shared" si="0"/>
        <v>-3.2064325970866163E-2</v>
      </c>
      <c r="AS2" s="14">
        <f t="shared" si="0"/>
        <v>-9.0917907190923037E-3</v>
      </c>
      <c r="AT2" s="14">
        <f t="shared" si="0"/>
        <v>-5.7455071791225498E-2</v>
      </c>
      <c r="AU2" s="14">
        <f t="shared" si="0"/>
        <v>2.9896282895484926E-2</v>
      </c>
      <c r="AV2" s="14">
        <f t="shared" si="0"/>
        <v>0.12405857632446383</v>
      </c>
      <c r="AW2" s="14">
        <f t="shared" si="0"/>
        <v>7.5853945818604912E-2</v>
      </c>
      <c r="AX2" s="14">
        <f t="shared" si="0"/>
        <v>6.3139142886135882E-2</v>
      </c>
      <c r="AY2" s="14">
        <f t="shared" si="0"/>
        <v>7.8094844842591882E-2</v>
      </c>
      <c r="AZ2" s="14">
        <f t="shared" si="0"/>
        <v>0.1025425288565307</v>
      </c>
      <c r="BA2" s="14">
        <f t="shared" si="0"/>
        <v>2.0091079560675823E-2</v>
      </c>
      <c r="BB2" s="14">
        <f t="shared" si="0"/>
        <v>-3.8106125559721825E-3</v>
      </c>
      <c r="BC2" s="14">
        <f t="shared" si="0"/>
        <v>-4.0678186729143882E-2</v>
      </c>
      <c r="BD2" s="14">
        <f t="shared" si="0"/>
        <v>-9.5726986634082391E-3</v>
      </c>
      <c r="BE2" s="14">
        <f t="shared" si="0"/>
        <v>3.0782720632819276E-2</v>
      </c>
      <c r="BF2" s="14">
        <f t="shared" si="0"/>
        <v>1.5923059775093929E-3</v>
      </c>
      <c r="BG2" s="14">
        <f t="shared" si="0"/>
        <v>2.8121484814399269E-2</v>
      </c>
      <c r="BH2" s="14">
        <f t="shared" si="0"/>
        <v>3.0150162516731239E-2</v>
      </c>
      <c r="BI2" s="14">
        <f t="shared" si="0"/>
        <v>3.2786501329018038E-2</v>
      </c>
      <c r="BJ2" s="14">
        <f t="shared" si="0"/>
        <v>6.0365761637573769E-2</v>
      </c>
      <c r="BN2">
        <v>1</v>
      </c>
      <c r="BO2" s="15">
        <f>AI2+SUM(AI3:AI37)</f>
        <v>1.6938244435219778</v>
      </c>
      <c r="BP2" s="15">
        <f t="shared" ref="BP2:BP28" si="1">AJ2+SUM(AJ3:AJ37)</f>
        <v>-0.59790096858056596</v>
      </c>
      <c r="BQ2" s="15">
        <f t="shared" ref="BQ2:BQ28" si="2">AK2+SUM(AK3:AK37)</f>
        <v>0.75002672491396649</v>
      </c>
      <c r="BR2" s="15">
        <f t="shared" ref="BR2:BR28" si="3">AL2+SUM(AL3:AL37)</f>
        <v>0.40938691625203161</v>
      </c>
      <c r="BS2" s="15">
        <f t="shared" ref="BS2:BS28" si="4">AM2+SUM(AM3:AM37)</f>
        <v>0.90582826259788529</v>
      </c>
      <c r="BT2" s="15">
        <f t="shared" ref="BT2:BT28" si="5">AN2+SUM(AN3:AN37)</f>
        <v>0.93906994540947353</v>
      </c>
      <c r="BU2" s="15">
        <f t="shared" ref="BU2:BU28" si="6">AO2+SUM(AO3:AO37)</f>
        <v>0.14529518320417717</v>
      </c>
      <c r="BV2" s="15">
        <f t="shared" ref="BV2:BV28" si="7">AP2+SUM(AP3:AP37)</f>
        <v>-0.69242556522357679</v>
      </c>
      <c r="BW2" s="15">
        <f t="shared" ref="BW2:BW28" si="8">AQ2+SUM(AQ3:AQ37)</f>
        <v>-0.37890411178100092</v>
      </c>
      <c r="BX2" s="15">
        <f t="shared" ref="BX2:BX28" si="9">AR2+SUM(AR3:AR37)</f>
        <v>-1.2346820695257037E-2</v>
      </c>
      <c r="BY2" s="15">
        <f t="shared" ref="BY2:BY28" si="10">AS2+SUM(AS3:AS37)</f>
        <v>-0.75502310320555932</v>
      </c>
      <c r="BZ2" s="15">
        <f t="shared" ref="BZ2:BZ28" si="11">AT2+SUM(AT3:AT37)</f>
        <v>-1.3532521970347648</v>
      </c>
      <c r="CA2" s="15">
        <f t="shared" ref="CA2:CA28" si="12">AU2+SUM(AU3:AU37)</f>
        <v>1.6161959515072406</v>
      </c>
      <c r="CB2" s="15">
        <f t="shared" ref="CB2:CB28" si="13">AV2+SUM(AV3:AV37)</f>
        <v>-6.2074199754551904E-2</v>
      </c>
      <c r="CC2" s="15">
        <f t="shared" ref="CC2:CC28" si="14">AW2+SUM(AW3:AW37)</f>
        <v>-0.65941176724773709</v>
      </c>
      <c r="CD2" s="15">
        <f t="shared" ref="CD2:CD28" si="15">AX2+SUM(AX3:AX37)</f>
        <v>0.83358981872298576</v>
      </c>
      <c r="CE2" s="15">
        <f t="shared" ref="CE2:CE28" si="16">AY2+SUM(AY3:AY37)</f>
        <v>0.34434994683911568</v>
      </c>
      <c r="CF2" s="15">
        <f t="shared" ref="CF2:CF28" si="17">AZ2+SUM(AZ3:AZ37)</f>
        <v>0.68378019022952263</v>
      </c>
      <c r="CG2" s="15">
        <f t="shared" ref="CG2:CG28" si="18">BA2+SUM(BA3:BA37)</f>
        <v>1.3423312181686651</v>
      </c>
      <c r="CH2" s="15">
        <f t="shared" ref="CH2:CH28" si="19">BB2+SUM(BB3:BB37)</f>
        <v>1.0055341919705969</v>
      </c>
      <c r="CI2" s="15">
        <f t="shared" ref="CI2:CI28" si="20">BC2+SUM(BC3:BC37)</f>
        <v>2.2896721800071962</v>
      </c>
      <c r="CJ2" s="15">
        <f t="shared" ref="CJ2:CJ28" si="21">BD2+SUM(BD3:BD37)</f>
        <v>1.5056419353282202</v>
      </c>
      <c r="CK2" s="15">
        <f t="shared" ref="CK2:CK28" si="22">BE2+SUM(BE3:BE37)</f>
        <v>-0.15368740126533964</v>
      </c>
      <c r="CL2" s="15">
        <f t="shared" ref="CL2:CL28" si="23">BF2+SUM(BF3:BF37)</f>
        <v>-0.49743759663632897</v>
      </c>
      <c r="CM2" s="15">
        <f t="shared" ref="CM2:CM28" si="24">BG2+SUM(BG3:BG37)</f>
        <v>0.33228688548789798</v>
      </c>
      <c r="CN2" s="15">
        <f t="shared" ref="CN2:CN28" si="25">BH2+SUM(BH3:BH37)</f>
        <v>-0.78830701715780727</v>
      </c>
      <c r="CO2" s="15">
        <f t="shared" ref="CO2:CO28" si="26">BI2+SUM(BI3:BI37)</f>
        <v>-1.2804655336702624</v>
      </c>
      <c r="CP2" s="15">
        <f t="shared" ref="CP2:CP28" si="27">BJ2+SUM(BJ3:BJ37)</f>
        <v>-0.93883010942605183</v>
      </c>
      <c r="CU2" s="13">
        <v>1</v>
      </c>
      <c r="CV2" s="16">
        <f>BT2+BU2+BV2+BW2+BX2+BY2+BZ2</f>
        <v>-2.1075866693265084</v>
      </c>
      <c r="CW2" s="16">
        <f>CN2+CO2+CP2-CI2-CA2-BT2-BO2</f>
        <v>-9.5463651807000094</v>
      </c>
      <c r="CX2" s="16">
        <f>CK2+CL2-CN2-CJ2-CD2-BU2-BS2</f>
        <v>-3.2531731805971296</v>
      </c>
      <c r="CY2" s="16">
        <f>CM2-CO2-CH2-CE2-BW2-BR2</f>
        <v>0.23238547587741709</v>
      </c>
      <c r="CZ2" s="16">
        <f>CA2+CB2+CC2+CD2+CE2+CF2-BV2</f>
        <v>3.4488555055201524</v>
      </c>
      <c r="DA2" s="16">
        <f>BO2+BP2+BQ2+BR2+BS2-BY2-CB2</f>
        <v>3.9782626816654063</v>
      </c>
      <c r="DB2" s="16">
        <f>CG2+CH2+CI2+CJ2-CC2-BZ2-BP2</f>
        <v>8.7537444583377457</v>
      </c>
      <c r="DC2" s="16">
        <f>-BQ2-BX2-CF2-CG2-CK2-CM2-CP2</f>
        <v>-2.0035606874134038</v>
      </c>
      <c r="DF2" s="17">
        <v>1</v>
      </c>
      <c r="DG2" s="18">
        <f>CN2</f>
        <v>-0.78830701715780727</v>
      </c>
      <c r="DH2" s="18">
        <f>BU2</f>
        <v>0.14529518320417717</v>
      </c>
      <c r="DI2" s="18">
        <f>CO2</f>
        <v>-1.2804655336702624</v>
      </c>
      <c r="DJ2" s="18">
        <f>BW2</f>
        <v>-0.37890411178100092</v>
      </c>
      <c r="DK2" s="18">
        <f>-(CA2)</f>
        <v>-1.6161959515072406</v>
      </c>
      <c r="DL2" s="18">
        <f>BV2</f>
        <v>-0.69242556522357679</v>
      </c>
      <c r="DM2" s="18">
        <f>-(BO2)</f>
        <v>-1.6938244435219778</v>
      </c>
      <c r="DN2" s="18">
        <f>BY2</f>
        <v>-0.75502310320555932</v>
      </c>
      <c r="DO2" s="18">
        <f>-(CI2)</f>
        <v>-2.2896721800071962</v>
      </c>
      <c r="DP2" s="18">
        <f>BZ2</f>
        <v>-1.3532521970347648</v>
      </c>
      <c r="DQ2" s="18">
        <f>CP2</f>
        <v>-0.93883010942605183</v>
      </c>
      <c r="DR2" s="18">
        <f>BX2</f>
        <v>-1.2346820695257037E-2</v>
      </c>
      <c r="DS2" s="45">
        <f>-(BT2)</f>
        <v>-0.93906994540947353</v>
      </c>
      <c r="DT2" s="45">
        <f>BT2</f>
        <v>0.93906994540947353</v>
      </c>
      <c r="DX2">
        <v>1</v>
      </c>
      <c r="DY2" s="19">
        <f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18.300109639037757</v>
      </c>
      <c r="EC2" t="s">
        <v>49</v>
      </c>
      <c r="ED2" t="s">
        <v>57</v>
      </c>
      <c r="EH2" t="s">
        <v>48</v>
      </c>
      <c r="EJ2" t="s">
        <v>48</v>
      </c>
      <c r="EM2" s="13">
        <v>1</v>
      </c>
      <c r="EN2" s="16">
        <f>BT2+BU2+BV2+BW2+BX2+BY2+BZ2</f>
        <v>-2.1075866693265084</v>
      </c>
      <c r="EO2" s="16">
        <f t="shared" ref="EO2:EO28" si="28">CN2+CO2+CP2-CI2-CA2-BT2-BO2</f>
        <v>-9.5463651807000094</v>
      </c>
      <c r="EP2" s="16">
        <f>CK2+CL2-CN2-CJ2-CD2-BU2-BS2</f>
        <v>-3.2531731805971296</v>
      </c>
      <c r="EQ2" s="16">
        <f>CM2-CO2-CH2-CE2-BW2-BR2</f>
        <v>0.23238547587741709</v>
      </c>
      <c r="ER2" s="16">
        <f>CA2+CB2+CC2+CD2+CE2+CF2-BV2</f>
        <v>3.4488555055201524</v>
      </c>
      <c r="ES2" s="16">
        <f>BO2+BP2+BQ2+BR2+BS2-BY2-CB2</f>
        <v>3.9782626816654063</v>
      </c>
      <c r="ET2" s="16">
        <f>CG2+CH2+CI2+CJ2-CC2-BZ2-BP2</f>
        <v>8.7537444583377457</v>
      </c>
      <c r="EU2" s="16">
        <f>-BQ2-BX2-CF2-CG2-CK2-CM2-CP2</f>
        <v>-2.0035606874134038</v>
      </c>
      <c r="EW2" s="20">
        <f>LARGE($EN$2:$EU$2,1)</f>
        <v>8.7537444583377457</v>
      </c>
      <c r="EX2" s="39" t="str">
        <f>INDEX(EN1:EU1,MATCH(EW2,EN2:EU2,0))</f>
        <v>NZD</v>
      </c>
      <c r="FK2" s="20"/>
      <c r="FL2" s="20"/>
    </row>
    <row r="3" spans="1:170" ht="14.4" thickBot="1" x14ac:dyDescent="0.35">
      <c r="A3" s="37" t="s">
        <v>51</v>
      </c>
      <c r="B3" s="38">
        <v>1</v>
      </c>
      <c r="C3" s="34">
        <f>RTD("fxbluelabs.excelrtd", , "21422436","@bh,AUDUSD,h4,close,1")</f>
        <v>0.67430999999999996</v>
      </c>
      <c r="D3" s="34">
        <f>RTD("fxbluelabs.excelrtd", , "21422436","@bh,AUDNZD,h4,close,1")</f>
        <v>1.09714</v>
      </c>
      <c r="E3" s="35">
        <f>RTD("fxbluelabs.excelrtd", , "21422436","@bh,AUDJPY,h4,close,1")</f>
        <v>98.298000000000002</v>
      </c>
      <c r="F3" s="34">
        <f>RTD("fxbluelabs.excelrtd", , "21422436","@bh,AUDCHF,h4,close,1")</f>
        <v>0.57584999999999997</v>
      </c>
      <c r="G3" s="34">
        <f>RTD("fxbluelabs.excelrtd", , "21422436","@bh,AUDCAD,h4,close,1")</f>
        <v>0.91691999999999996</v>
      </c>
      <c r="H3" s="34">
        <f>RTD("fxbluelabs.excelrtd", , "21422436","@bh,EURUSD,h4,close,1")</f>
        <v>1.1125</v>
      </c>
      <c r="I3" s="34">
        <f>RTD("fxbluelabs.excelrtd", , "21422436","@bh,EURCAD,h4,close,1")</f>
        <v>1.51278</v>
      </c>
      <c r="J3" s="34">
        <f>RTD("fxbluelabs.excelrtd", , "21422436","@bh,EURGBP,h4,close,1")</f>
        <v>0.85279000000000005</v>
      </c>
      <c r="K3" s="34">
        <f>RTD("fxbluelabs.excelrtd", , "21422436","@bh,EURCHF,h4,close,1")</f>
        <v>0.95006999999999997</v>
      </c>
      <c r="L3" s="35">
        <f>RTD("fxbluelabs.excelrtd", , "21422436","@bh,EURJPY,h4,close,1")</f>
        <v>162.17400000000001</v>
      </c>
      <c r="M3" s="34">
        <f>RTD("fxbluelabs.excelrtd", , "21422436","@bh,EURAUD,h4,close,1")</f>
        <v>1.64984</v>
      </c>
      <c r="N3" s="34">
        <f>RTD("fxbluelabs.excelrtd", , "21422436","@bh,EURNZD,h4,close,1")</f>
        <v>1.8101100000000001</v>
      </c>
      <c r="O3" s="34">
        <f>RTD("fxbluelabs.excelrtd", , "21422436","@bh,GBPUSD,h4,close,1")</f>
        <v>1.3045100000000001</v>
      </c>
      <c r="P3" s="34">
        <f>RTD("fxbluelabs.excelrtd", , "21422436","@bh,GBPAUD,h4,close,1")</f>
        <v>1.9345699999999999</v>
      </c>
      <c r="Q3" s="34">
        <f>RTD("fxbluelabs.excelrtd", , "21422436","@bh,GBPNZD,h4,close,1")</f>
        <v>2.1225000000000001</v>
      </c>
      <c r="R3" s="34">
        <f>RTD("fxbluelabs.excelrtd", , "21422436","@bh,GBPCAD,h4,close,1")</f>
        <v>1.77386</v>
      </c>
      <c r="S3" s="34">
        <f>RTD("fxbluelabs.excelrtd", , "21422436","@bh,GBPCHF,h4,close,1")</f>
        <v>1.1140300000000001</v>
      </c>
      <c r="T3" s="35">
        <f>RTD("fxbluelabs.excelrtd", , "21422436","@bh,GBPJPY,h4,close,1")</f>
        <v>190.16499999999999</v>
      </c>
      <c r="U3" s="35">
        <f>RTD("fxbluelabs.excelrtd", , "21422436","@bh,NZDJPY,h4,close,1")</f>
        <v>89.591999999999999</v>
      </c>
      <c r="V3" s="34">
        <f>RTD("fxbluelabs.excelrtd", , "21422436","@bh,NZDCHF,h4,close,1")</f>
        <v>0.52485000000000004</v>
      </c>
      <c r="W3" s="34">
        <f>RTD("fxbluelabs.excelrtd", , "21422436","@bh,NZDUSD,h4,close,1")</f>
        <v>0.61458000000000002</v>
      </c>
      <c r="X3" s="34">
        <f>RTD("fxbluelabs.excelrtd", , "21422436","@bh,NZDCAD,h4,close,1")</f>
        <v>0.83570999999999995</v>
      </c>
      <c r="Y3" s="35">
        <f>RTD("fxbluelabs.excelrtd", , "21422436","@bh,CADJPY,h4,close,1")</f>
        <v>107.203</v>
      </c>
      <c r="Z3" s="34">
        <f>RTD("fxbluelabs.excelrtd", , "21422436","@bh,CADCHF,h4,close,1")</f>
        <v>0.62802000000000002</v>
      </c>
      <c r="AA3" s="35">
        <f>RTD("fxbluelabs.excelrtd", , "21422436","@bh,CHFJPY,h4,close,1")</f>
        <v>170.68799999999999</v>
      </c>
      <c r="AB3" s="34">
        <f>RTD("fxbluelabs.excelrtd", , "21422436","@bh,USDCAD,h4,close,1")</f>
        <v>1.3598600000000001</v>
      </c>
      <c r="AC3" s="34">
        <f>RTD("fxbluelabs.excelrtd", , "21422436","@bh,USDCHF,h4,close,1")</f>
        <v>0.85401000000000005</v>
      </c>
      <c r="AD3" s="35">
        <f>RTD("fxbluelabs.excelrtd", , "21422436","@bh,USDJPY,h4,close,1")</f>
        <v>145.77799999999999</v>
      </c>
      <c r="AH3" s="21">
        <v>2</v>
      </c>
      <c r="AI3" s="22">
        <f>IF(C3=0,0,(C3-C4)*100/C4)</f>
        <v>0.10837613943406997</v>
      </c>
      <c r="AJ3" s="22">
        <f t="shared" ref="AI3:AX18" si="29">IF(D3=0,0,(D3-D4)*100/D4)</f>
        <v>-1.6403601501847134E-2</v>
      </c>
      <c r="AK3" s="22">
        <f t="shared" si="29"/>
        <v>-6.8113658313417438E-2</v>
      </c>
      <c r="AL3" s="22">
        <f t="shared" si="29"/>
        <v>-3.6454535985842355E-2</v>
      </c>
      <c r="AM3" s="22">
        <f t="shared" si="29"/>
        <v>8.7256227913233477E-3</v>
      </c>
      <c r="AN3" s="22">
        <f>IF(H3=0,0,(H3-H4)*100/H4)</f>
        <v>5.7561203748671047E-2</v>
      </c>
      <c r="AO3" s="22">
        <f t="shared" si="29"/>
        <v>-3.9646354517697734E-2</v>
      </c>
      <c r="AP3" s="22">
        <f t="shared" si="29"/>
        <v>-0.18843632958801501</v>
      </c>
      <c r="AQ3" s="22">
        <f t="shared" si="29"/>
        <v>-8.5184250378594298E-2</v>
      </c>
      <c r="AR3" s="22">
        <f t="shared" si="29"/>
        <v>-0.11763619006559449</v>
      </c>
      <c r="AS3" s="22">
        <f t="shared" si="29"/>
        <v>-4.9071577863264618E-2</v>
      </c>
      <c r="AT3" s="22">
        <f t="shared" si="29"/>
        <v>-6.4595203392070435E-2</v>
      </c>
      <c r="AU3" s="22">
        <f t="shared" si="29"/>
        <v>0.2451357083576696</v>
      </c>
      <c r="AV3" s="22">
        <f t="shared" si="29"/>
        <v>0.13924260306022418</v>
      </c>
      <c r="AW3" s="22">
        <f t="shared" si="29"/>
        <v>0.12406421148466226</v>
      </c>
      <c r="AX3" s="22">
        <f t="shared" si="29"/>
        <v>0.14961523478300379</v>
      </c>
      <c r="AY3" s="22">
        <f t="shared" si="0"/>
        <v>0.10243599996407021</v>
      </c>
      <c r="AZ3" s="22">
        <f t="shared" si="0"/>
        <v>7.0514810741398051E-2</v>
      </c>
      <c r="BA3" s="22">
        <f t="shared" si="0"/>
        <v>-5.3547523427043525E-2</v>
      </c>
      <c r="BB3" s="22">
        <f t="shared" si="0"/>
        <v>-2.0953977445889872E-2</v>
      </c>
      <c r="BC3" s="22">
        <f t="shared" si="0"/>
        <v>0.12218366648746859</v>
      </c>
      <c r="BD3" s="22">
        <f t="shared" si="0"/>
        <v>2.6331853164011296E-2</v>
      </c>
      <c r="BE3" s="22">
        <f t="shared" si="0"/>
        <v>-7.6431933634705351E-2</v>
      </c>
      <c r="BF3" s="22">
        <f t="shared" si="0"/>
        <v>-4.4564698392479223E-2</v>
      </c>
      <c r="BG3" s="22">
        <f t="shared" si="0"/>
        <v>-3.5139503830207253E-2</v>
      </c>
      <c r="BH3" s="22">
        <f t="shared" si="0"/>
        <v>-9.7708622602269438E-2</v>
      </c>
      <c r="BI3" s="22">
        <f t="shared" si="0"/>
        <v>-0.14265168434222358</v>
      </c>
      <c r="BJ3" s="22">
        <f t="shared" si="0"/>
        <v>-0.17530164208335061</v>
      </c>
      <c r="BN3">
        <v>2</v>
      </c>
      <c r="BO3" s="23">
        <f t="shared" ref="BO3:BO28" si="30">AI3+SUM(AI4:AI38)</f>
        <v>1.776872299849187</v>
      </c>
      <c r="BP3" s="23">
        <f t="shared" si="1"/>
        <v>-0.54777062969947055</v>
      </c>
      <c r="BQ3" s="23">
        <f t="shared" si="2"/>
        <v>0.77342496292490892</v>
      </c>
      <c r="BR3" s="23">
        <f t="shared" si="3"/>
        <v>0.45801068980416276</v>
      </c>
      <c r="BS3" s="23">
        <f t="shared" si="4"/>
        <v>0.95817743155482005</v>
      </c>
      <c r="BT3" s="23">
        <f t="shared" si="5"/>
        <v>1.0253620802409407</v>
      </c>
      <c r="BU3" s="23">
        <f t="shared" si="6"/>
        <v>0.21007657904494606</v>
      </c>
      <c r="BV3" s="23">
        <f t="shared" si="7"/>
        <v>-0.56109194264357365</v>
      </c>
      <c r="BW3" s="23">
        <f t="shared" si="8"/>
        <v>-0.29364723597185222</v>
      </c>
      <c r="BX3" s="23">
        <f t="shared" si="9"/>
        <v>1.9717505275609074E-2</v>
      </c>
      <c r="BY3" s="23">
        <f t="shared" si="10"/>
        <v>-0.74593131248646705</v>
      </c>
      <c r="BZ3" s="23">
        <f t="shared" si="11"/>
        <v>-1.2957971252435394</v>
      </c>
      <c r="CA3" s="23">
        <f t="shared" si="12"/>
        <v>1.5862996686117554</v>
      </c>
      <c r="CB3" s="23">
        <f t="shared" si="13"/>
        <v>-0.18613277607901563</v>
      </c>
      <c r="CC3" s="23">
        <f t="shared" si="14"/>
        <v>-0.73526571306634192</v>
      </c>
      <c r="CD3" s="23">
        <f t="shared" si="15"/>
        <v>0.7704506758368499</v>
      </c>
      <c r="CE3" s="23">
        <f t="shared" si="16"/>
        <v>0.26625510199652358</v>
      </c>
      <c r="CF3" s="23">
        <f t="shared" si="17"/>
        <v>0.58123766137299204</v>
      </c>
      <c r="CG3" s="23">
        <f t="shared" si="18"/>
        <v>1.3222401386079892</v>
      </c>
      <c r="CH3" s="23">
        <f t="shared" si="19"/>
        <v>1.0093448045265694</v>
      </c>
      <c r="CI3" s="23">
        <f t="shared" si="20"/>
        <v>2.3303503667363401</v>
      </c>
      <c r="CJ3" s="23">
        <f t="shared" si="21"/>
        <v>1.5152146339916288</v>
      </c>
      <c r="CK3" s="23">
        <f t="shared" si="22"/>
        <v>-0.18447012189815926</v>
      </c>
      <c r="CL3" s="23">
        <f t="shared" si="23"/>
        <v>-0.49902990261383834</v>
      </c>
      <c r="CM3" s="23">
        <f t="shared" si="24"/>
        <v>0.30416540067349884</v>
      </c>
      <c r="CN3" s="23">
        <f t="shared" si="25"/>
        <v>-0.81845717967453846</v>
      </c>
      <c r="CO3" s="23">
        <f t="shared" si="26"/>
        <v>-1.31325203499928</v>
      </c>
      <c r="CP3" s="23">
        <f t="shared" si="27"/>
        <v>-0.9991958710636254</v>
      </c>
      <c r="CU3" s="21">
        <v>2</v>
      </c>
      <c r="CV3" s="24">
        <f t="shared" ref="CV3:CV28" si="31">BT3+BU3+BV3+BW3+BX3+BY3+BZ3</f>
        <v>-1.6413114517839364</v>
      </c>
      <c r="CW3" s="24">
        <f t="shared" ref="CW3:CW28" si="32">CN3+CO3+CP3-CI3-CA3-BT3-BO3</f>
        <v>-9.8497895011756675</v>
      </c>
      <c r="CX3" s="24">
        <f t="shared" ref="CX3:CX28" si="33">CK3+CL3-CN3-CJ3-CD3-BU3-BS3</f>
        <v>-3.3189621652657038</v>
      </c>
      <c r="CY3" s="24">
        <f t="shared" ref="CY3:CY28" si="34">CM3-CO3-CH3-CE3-BW3-BR3</f>
        <v>0.17745407531737539</v>
      </c>
      <c r="CZ3" s="24">
        <f t="shared" ref="CZ3:CZ28" si="35">CA3+CB3+CC3+CD3+CE3+CF3-BV3</f>
        <v>2.8439365613163368</v>
      </c>
      <c r="DA3" s="24">
        <f t="shared" ref="DA3:DA28" si="36">BO3+BP3+BQ3+BR3+BS3-BY3-CB3</f>
        <v>4.3507788429990919</v>
      </c>
      <c r="DB3" s="24">
        <f t="shared" ref="DB3:DB28" si="37">CG3+CH3+CI3+CJ3-CC3-BZ3-BP3</f>
        <v>8.7559834118718811</v>
      </c>
      <c r="DC3" s="24">
        <f t="shared" ref="DC3:DC28" si="38">-BQ3-BX3-CF3-CG3-CK3-CM3-CP3</f>
        <v>-1.8171196758932138</v>
      </c>
      <c r="DF3" s="25">
        <v>2</v>
      </c>
      <c r="DG3" s="26">
        <f>CN3</f>
        <v>-0.81845717967453846</v>
      </c>
      <c r="DH3" s="26">
        <f t="shared" ref="DH3:DH28" si="39">BU3</f>
        <v>0.21007657904494606</v>
      </c>
      <c r="DI3" s="26">
        <f t="shared" ref="DI3:DI28" si="40">CO3</f>
        <v>-1.31325203499928</v>
      </c>
      <c r="DJ3" s="26">
        <f t="shared" ref="DJ3:DJ28" si="41">BW3</f>
        <v>-0.29364723597185222</v>
      </c>
      <c r="DK3" s="26">
        <f t="shared" ref="DK3:DK28" si="42">-(CA3)</f>
        <v>-1.5862996686117554</v>
      </c>
      <c r="DL3" s="26">
        <f t="shared" ref="DL3:DL28" si="43">BV3</f>
        <v>-0.56109194264357365</v>
      </c>
      <c r="DM3" s="26">
        <f t="shared" ref="DM3:DM28" si="44">-(BO3)</f>
        <v>-1.776872299849187</v>
      </c>
      <c r="DN3" s="26">
        <f t="shared" ref="DN3:DN28" si="45">BY3</f>
        <v>-0.74593131248646705</v>
      </c>
      <c r="DO3" s="26">
        <f t="shared" ref="DO3:DO28" si="46">-(CI3)</f>
        <v>-2.3303503667363401</v>
      </c>
      <c r="DP3" s="26">
        <f t="shared" ref="DP3:DP28" si="47">BZ3</f>
        <v>-1.2957971252435394</v>
      </c>
      <c r="DQ3" s="26">
        <f t="shared" ref="DQ3:DQ28" si="48">CP3</f>
        <v>-0.9991958710636254</v>
      </c>
      <c r="DR3" s="26">
        <f t="shared" ref="DR3:DR28" si="49">BX3</f>
        <v>1.9717505275609074E-2</v>
      </c>
      <c r="DS3" s="47">
        <f t="shared" ref="DS3:DS28" si="50">-(BT3)</f>
        <v>-1.0253620802409407</v>
      </c>
      <c r="DT3" s="47">
        <f t="shared" ref="DT3:DT28" si="51">BT3</f>
        <v>1.0253620802409407</v>
      </c>
      <c r="DX3">
        <v>2</v>
      </c>
      <c r="DY3" s="19">
        <f t="shared" ref="DY3:DY28" si="52">SUM(IF($EB$2="Buy", EN3, IF($EB$2="Sell", -EN3, 0)),
     IF($EC$2="Buy", EO3, IF($EC$2="Sell", -EO3, 0)),
     IF($ED$2="Buy", EP3, IF($ED$2="Sell", -EP3, 0)),
     IF($EE$2="Buy", EQ3, IF($EE$2="Sell", -EQ3, 0)),
     IF($EF$2="Buy", ER3, IF($EF$2="Sell", -ER3, 0)),
     IF($EG$2="Buy", ES3, IF($EG$2="Sell", -ES3, 0)),
     IF($EH$2="Buy", ET3, IF($EH$2="Sell", -ET3, 0)),
     IF($EI$2="Buy", EU3, IF($EI$2="Sell", -EU3, 0)))</f>
        <v>18.605772913047549</v>
      </c>
      <c r="EJ3" t="s">
        <v>49</v>
      </c>
      <c r="EM3" s="21">
        <v>2</v>
      </c>
      <c r="EN3" s="16">
        <f t="shared" ref="EN3:EN28" si="53">BT3+BU3+BV3+BW3+BX3+BY3+BZ3</f>
        <v>-1.6413114517839364</v>
      </c>
      <c r="EO3" s="16">
        <f t="shared" si="28"/>
        <v>-9.8497895011756675</v>
      </c>
      <c r="EP3" s="16">
        <f t="shared" ref="EP3:EP28" si="54">CK3+CL3-CN3-CJ3-CD3-BU3-BS3</f>
        <v>-3.3189621652657038</v>
      </c>
      <c r="EQ3" s="16">
        <f t="shared" ref="EQ3:EQ28" si="55">CM3-CO3-CH3-CE3-BW3-BR3</f>
        <v>0.17745407531737539</v>
      </c>
      <c r="ER3" s="16">
        <f t="shared" ref="ER3:ER28" si="56">CA3+CB3+CC3+CD3+CE3+CF3-BV3</f>
        <v>2.8439365613163368</v>
      </c>
      <c r="ES3" s="16">
        <f t="shared" ref="ES3:ES28" si="57">BO3+BP3+BQ3+BR3+BS3-BY3-CB3</f>
        <v>4.3507788429990919</v>
      </c>
      <c r="ET3" s="16">
        <f t="shared" ref="ET3:ET28" si="58">CG3+CH3+CI3+CJ3-CC3-BZ3-BP3</f>
        <v>8.7559834118718811</v>
      </c>
      <c r="EU3" s="16">
        <f t="shared" ref="EU3:EU28" si="59">-BQ3-BX3-CF3-CG3-CK3-CM3-CP3</f>
        <v>-1.8171196758932138</v>
      </c>
      <c r="EW3" s="20">
        <f>LARGE($EN$2:$EU$2,2)</f>
        <v>3.9782626816654063</v>
      </c>
      <c r="EX3" s="39" t="str">
        <f>INDEX(EN1:EU1,MATCH(EW3,EN2:EU2,0))</f>
        <v>AUD</v>
      </c>
      <c r="FK3" s="20"/>
      <c r="FL3" s="20"/>
    </row>
    <row r="4" spans="1:170" ht="14.4" thickBot="1" x14ac:dyDescent="0.35">
      <c r="A4" s="37" t="s">
        <v>51</v>
      </c>
      <c r="B4" s="38">
        <v>2</v>
      </c>
      <c r="C4" s="34">
        <f>RTD("fxbluelabs.excelrtd", , "21422436","@bh,AUDUSD,h4,close,2")</f>
        <v>0.67357999999999996</v>
      </c>
      <c r="D4" s="34">
        <f>RTD("fxbluelabs.excelrtd", , "21422436","@bh,AUDNZD,h4,close,2")</f>
        <v>1.0973200000000001</v>
      </c>
      <c r="E4" s="35">
        <f>RTD("fxbluelabs.excelrtd", , "21422436","@bh,AUDJPY,h4,close,2")</f>
        <v>98.364999999999995</v>
      </c>
      <c r="F4" s="34">
        <f>RTD("fxbluelabs.excelrtd", , "21422436","@bh,AUDCHF,h4,close,2")</f>
        <v>0.57606000000000002</v>
      </c>
      <c r="G4" s="34">
        <f>RTD("fxbluelabs.excelrtd", , "21422436","@bh,AUDCAD,h4,close,2")</f>
        <v>0.91683999999999999</v>
      </c>
      <c r="H4" s="34">
        <f>RTD("fxbluelabs.excelrtd", , "21422436","@bh,EURUSD,h4,close,2")</f>
        <v>1.1118600000000001</v>
      </c>
      <c r="I4" s="34">
        <f>RTD("fxbluelabs.excelrtd", , "21422436","@bh,EURCAD,h4,close,2")</f>
        <v>1.5133799999999999</v>
      </c>
      <c r="J4" s="34">
        <f>RTD("fxbluelabs.excelrtd", , "21422436","@bh,EURGBP,h4,close,2")</f>
        <v>0.85440000000000005</v>
      </c>
      <c r="K4" s="34">
        <f>RTD("fxbluelabs.excelrtd", , "21422436","@bh,EURCHF,h4,close,2")</f>
        <v>0.95087999999999995</v>
      </c>
      <c r="L4" s="35">
        <f>RTD("fxbluelabs.excelrtd", , "21422436","@bh,EURJPY,h4,close,2")</f>
        <v>162.36500000000001</v>
      </c>
      <c r="M4" s="34">
        <f>RTD("fxbluelabs.excelrtd", , "21422436","@bh,EURAUD,h4,close,2")</f>
        <v>1.65065</v>
      </c>
      <c r="N4" s="34">
        <f>RTD("fxbluelabs.excelrtd", , "21422436","@bh,EURNZD,h4,close,2")</f>
        <v>1.81128</v>
      </c>
      <c r="O4" s="34">
        <f>RTD("fxbluelabs.excelrtd", , "21422436","@bh,GBPUSD,h4,close,2")</f>
        <v>1.30132</v>
      </c>
      <c r="P4" s="34">
        <f>RTD("fxbluelabs.excelrtd", , "21422436","@bh,GBPAUD,h4,close,2")</f>
        <v>1.93188</v>
      </c>
      <c r="Q4" s="34">
        <f>RTD("fxbluelabs.excelrtd", , "21422436","@bh,GBPNZD,h4,close,2")</f>
        <v>2.1198700000000001</v>
      </c>
      <c r="R4" s="34">
        <f>RTD("fxbluelabs.excelrtd", , "21422436","@bh,GBPCAD,h4,close,2")</f>
        <v>1.77121</v>
      </c>
      <c r="S4" s="34">
        <f>RTD("fxbluelabs.excelrtd", , "21422436","@bh,GBPCHF,h4,close,2")</f>
        <v>1.1128899999999999</v>
      </c>
      <c r="T4" s="35">
        <f>RTD("fxbluelabs.excelrtd", , "21422436","@bh,GBPJPY,h4,close,2")</f>
        <v>190.03100000000001</v>
      </c>
      <c r="U4" s="35">
        <f>RTD("fxbluelabs.excelrtd", , "21422436","@bh,NZDJPY,h4,close,2")</f>
        <v>89.64</v>
      </c>
      <c r="V4" s="34">
        <f>RTD("fxbluelabs.excelrtd", , "21422436","@bh,NZDCHF,h4,close,2")</f>
        <v>0.52495999999999998</v>
      </c>
      <c r="W4" s="34">
        <f>RTD("fxbluelabs.excelrtd", , "21422436","@bh,NZDUSD,h4,close,2")</f>
        <v>0.61382999999999999</v>
      </c>
      <c r="X4" s="34">
        <f>RTD("fxbluelabs.excelrtd", , "21422436","@bh,NZDCAD,h4,close,2")</f>
        <v>0.83548999999999995</v>
      </c>
      <c r="Y4" s="35">
        <f>RTD("fxbluelabs.excelrtd", , "21422436","@bh,CADJPY,h4,close,2")</f>
        <v>107.285</v>
      </c>
      <c r="Z4" s="34">
        <f>RTD("fxbluelabs.excelrtd", , "21422436","@bh,CADCHF,h4,close,2")</f>
        <v>0.62829999999999997</v>
      </c>
      <c r="AA4" s="35">
        <f>RTD("fxbluelabs.excelrtd", , "21422436","@bh,CHFJPY,h4,close,2")</f>
        <v>170.74799999999999</v>
      </c>
      <c r="AB4" s="34">
        <f>RTD("fxbluelabs.excelrtd", , "21422436","@bh,USDCAD,h4,close,2")</f>
        <v>1.3611899999999999</v>
      </c>
      <c r="AC4" s="34">
        <f>RTD("fxbluelabs.excelrtd", , "21422436","@bh,USDCHF,h4,close,2")</f>
        <v>0.85523000000000005</v>
      </c>
      <c r="AD4" s="35">
        <f>RTD("fxbluelabs.excelrtd", , "21422436","@bh,USDJPY,h4,close,2")</f>
        <v>146.03399999999999</v>
      </c>
      <c r="AH4" s="21">
        <v>3</v>
      </c>
      <c r="AI4" s="27">
        <f t="shared" si="29"/>
        <v>-0.12751319613310047</v>
      </c>
      <c r="AJ4" s="27">
        <f t="shared" si="29"/>
        <v>-5.7379662097537087E-2</v>
      </c>
      <c r="AK4" s="27">
        <f t="shared" si="29"/>
        <v>0.11704834605597443</v>
      </c>
      <c r="AL4" s="27">
        <f t="shared" si="29"/>
        <v>-8.6788981270928284E-3</v>
      </c>
      <c r="AM4" s="27">
        <f t="shared" si="29"/>
        <v>-0.15029077998737206</v>
      </c>
      <c r="AN4" s="27">
        <f>IF(H4=0,0,(H4-H5)*100/H5)</f>
        <v>-5.3960716598270547E-3</v>
      </c>
      <c r="AO4" s="27">
        <f t="shared" si="29"/>
        <v>-2.9065542799011506E-2</v>
      </c>
      <c r="AP4" s="27">
        <f t="shared" si="29"/>
        <v>9.8411359482644803E-2</v>
      </c>
      <c r="AQ4" s="27">
        <f t="shared" si="29"/>
        <v>0.11897867859962773</v>
      </c>
      <c r="AR4" s="27">
        <f t="shared" si="29"/>
        <v>0.24077789782374737</v>
      </c>
      <c r="AS4" s="27">
        <f t="shared" si="29"/>
        <v>0.12191867236023905</v>
      </c>
      <c r="AT4" s="27">
        <f t="shared" si="29"/>
        <v>6.3531348577173158E-2</v>
      </c>
      <c r="AU4" s="27">
        <f t="shared" si="29"/>
        <v>-0.10286644250993328</v>
      </c>
      <c r="AV4" s="27">
        <f t="shared" si="29"/>
        <v>2.4852438645543956E-2</v>
      </c>
      <c r="AW4" s="27">
        <f t="shared" si="29"/>
        <v>-3.348140603041462E-2</v>
      </c>
      <c r="AX4" s="27">
        <f t="shared" si="29"/>
        <v>-0.1268706370597637</v>
      </c>
      <c r="AY4" s="27">
        <f t="shared" si="0"/>
        <v>1.7075581917849598E-2</v>
      </c>
      <c r="AZ4" s="27">
        <f t="shared" si="0"/>
        <v>0.14281197301855766</v>
      </c>
      <c r="BA4" s="27">
        <f t="shared" si="0"/>
        <v>0.17881090746535155</v>
      </c>
      <c r="BB4" s="27">
        <f t="shared" si="0"/>
        <v>5.3365861096277147E-2</v>
      </c>
      <c r="BC4" s="27">
        <f t="shared" si="0"/>
        <v>-6.6749153425374685E-2</v>
      </c>
      <c r="BD4" s="27">
        <f t="shared" si="0"/>
        <v>-9.0881913303449191E-2</v>
      </c>
      <c r="BE4" s="27">
        <f t="shared" si="0"/>
        <v>0.2663551401869127</v>
      </c>
      <c r="BF4" s="27">
        <f t="shared" si="0"/>
        <v>0.14185301477501894</v>
      </c>
      <c r="BG4" s="27">
        <f t="shared" si="0"/>
        <v>0.12255261259887955</v>
      </c>
      <c r="BH4" s="27">
        <f t="shared" si="0"/>
        <v>-2.2034682590411168E-2</v>
      </c>
      <c r="BI4" s="27">
        <f t="shared" si="0"/>
        <v>0.12058066026692653</v>
      </c>
      <c r="BJ4" s="27">
        <f t="shared" si="0"/>
        <v>0.24643899090439705</v>
      </c>
      <c r="BN4">
        <v>3</v>
      </c>
      <c r="BO4" s="28">
        <f t="shared" si="30"/>
        <v>1.6684961604151172</v>
      </c>
      <c r="BP4" s="28">
        <f t="shared" si="1"/>
        <v>-0.53136702819762327</v>
      </c>
      <c r="BQ4" s="28">
        <f t="shared" si="2"/>
        <v>0.84153862123832635</v>
      </c>
      <c r="BR4" s="28">
        <f t="shared" si="3"/>
        <v>0.4944652257900049</v>
      </c>
      <c r="BS4" s="28">
        <f t="shared" si="4"/>
        <v>0.94945180876349666</v>
      </c>
      <c r="BT4" s="28">
        <f t="shared" si="5"/>
        <v>0.96780087649226976</v>
      </c>
      <c r="BU4" s="28">
        <f t="shared" si="6"/>
        <v>0.24972293356264372</v>
      </c>
      <c r="BV4" s="28">
        <f t="shared" si="7"/>
        <v>-0.37265561305555855</v>
      </c>
      <c r="BW4" s="28">
        <f t="shared" si="8"/>
        <v>-0.20846298559325804</v>
      </c>
      <c r="BX4" s="28">
        <f t="shared" si="9"/>
        <v>0.13735369534120356</v>
      </c>
      <c r="BY4" s="28">
        <f t="shared" si="10"/>
        <v>-0.69685973462320239</v>
      </c>
      <c r="BZ4" s="28">
        <f t="shared" si="11"/>
        <v>-1.2312019218514689</v>
      </c>
      <c r="CA4" s="28">
        <f t="shared" si="12"/>
        <v>1.3411639602540859</v>
      </c>
      <c r="CB4" s="28">
        <f t="shared" si="13"/>
        <v>-0.32537537913923986</v>
      </c>
      <c r="CC4" s="28">
        <f t="shared" si="14"/>
        <v>-0.8593299245510041</v>
      </c>
      <c r="CD4" s="28">
        <f t="shared" si="15"/>
        <v>0.62083544105384614</v>
      </c>
      <c r="CE4" s="28">
        <f t="shared" si="16"/>
        <v>0.16381910203245337</v>
      </c>
      <c r="CF4" s="28">
        <f t="shared" si="17"/>
        <v>0.51072285063159395</v>
      </c>
      <c r="CG4" s="28">
        <f t="shared" si="18"/>
        <v>1.3757876620350324</v>
      </c>
      <c r="CH4" s="28">
        <f t="shared" si="19"/>
        <v>1.0302987819724589</v>
      </c>
      <c r="CI4" s="28">
        <f t="shared" si="20"/>
        <v>2.2081667002488716</v>
      </c>
      <c r="CJ4" s="28">
        <f t="shared" si="21"/>
        <v>1.488882780827617</v>
      </c>
      <c r="CK4" s="28">
        <f t="shared" si="22"/>
        <v>-0.10803818826345385</v>
      </c>
      <c r="CL4" s="28">
        <f t="shared" si="23"/>
        <v>-0.454465204221359</v>
      </c>
      <c r="CM4" s="28">
        <f t="shared" si="24"/>
        <v>0.3393049045037061</v>
      </c>
      <c r="CN4" s="28">
        <f t="shared" si="25"/>
        <v>-0.72074855707226904</v>
      </c>
      <c r="CO4" s="28">
        <f t="shared" si="26"/>
        <v>-1.1706003506570566</v>
      </c>
      <c r="CP4" s="28">
        <f t="shared" si="27"/>
        <v>-0.82389422898027498</v>
      </c>
      <c r="CU4" s="21">
        <v>3</v>
      </c>
      <c r="CV4" s="29">
        <f t="shared" si="31"/>
        <v>-1.1543027497273708</v>
      </c>
      <c r="CW4" s="29">
        <f t="shared" si="32"/>
        <v>-8.9008708341199441</v>
      </c>
      <c r="CX4" s="29">
        <f t="shared" si="33"/>
        <v>-3.1506477996201472</v>
      </c>
      <c r="CY4" s="29">
        <f t="shared" si="34"/>
        <v>2.9785130959103456E-2</v>
      </c>
      <c r="CZ4" s="29">
        <f t="shared" si="35"/>
        <v>1.8244916633372941</v>
      </c>
      <c r="DA4" s="29">
        <f t="shared" si="36"/>
        <v>4.4448199017717638</v>
      </c>
      <c r="DB4" s="29">
        <f t="shared" si="37"/>
        <v>8.7250347996840762</v>
      </c>
      <c r="DC4" s="29">
        <f t="shared" si="38"/>
        <v>-2.2727753165061335</v>
      </c>
      <c r="DF4" s="30">
        <v>3</v>
      </c>
      <c r="DG4" s="31">
        <f t="shared" ref="DG4:DG28" si="60">CN4</f>
        <v>-0.72074855707226904</v>
      </c>
      <c r="DH4" s="31">
        <f t="shared" si="39"/>
        <v>0.24972293356264372</v>
      </c>
      <c r="DI4" s="31">
        <f t="shared" si="40"/>
        <v>-1.1706003506570566</v>
      </c>
      <c r="DJ4" s="31">
        <f t="shared" si="41"/>
        <v>-0.20846298559325804</v>
      </c>
      <c r="DK4" s="31">
        <f t="shared" si="42"/>
        <v>-1.3411639602540859</v>
      </c>
      <c r="DL4" s="31">
        <f t="shared" si="43"/>
        <v>-0.37265561305555855</v>
      </c>
      <c r="DM4" s="31">
        <f t="shared" si="44"/>
        <v>-1.6684961604151172</v>
      </c>
      <c r="DN4" s="31">
        <f t="shared" si="45"/>
        <v>-0.69685973462320239</v>
      </c>
      <c r="DO4" s="31">
        <f t="shared" si="46"/>
        <v>-2.2081667002488716</v>
      </c>
      <c r="DP4" s="31">
        <f t="shared" si="47"/>
        <v>-1.2312019218514689</v>
      </c>
      <c r="DQ4" s="31">
        <f t="shared" si="48"/>
        <v>-0.82389422898027498</v>
      </c>
      <c r="DR4" s="31">
        <f t="shared" si="49"/>
        <v>0.13735369534120356</v>
      </c>
      <c r="DS4" s="49">
        <f t="shared" si="50"/>
        <v>-0.96780087649226976</v>
      </c>
      <c r="DT4" s="49">
        <f t="shared" si="51"/>
        <v>0.96780087649226976</v>
      </c>
      <c r="DX4">
        <v>3</v>
      </c>
      <c r="DY4" s="19">
        <f t="shared" si="52"/>
        <v>17.62590563380402</v>
      </c>
      <c r="EJ4" t="str">
        <f>"-"</f>
        <v>-</v>
      </c>
      <c r="EM4" s="21">
        <v>3</v>
      </c>
      <c r="EN4" s="16">
        <f t="shared" si="53"/>
        <v>-1.1543027497273708</v>
      </c>
      <c r="EO4" s="16">
        <f t="shared" si="28"/>
        <v>-8.9008708341199441</v>
      </c>
      <c r="EP4" s="16">
        <f t="shared" si="54"/>
        <v>-3.1506477996201472</v>
      </c>
      <c r="EQ4" s="16">
        <f t="shared" si="55"/>
        <v>2.9785130959103456E-2</v>
      </c>
      <c r="ER4" s="16">
        <f t="shared" si="56"/>
        <v>1.8244916633372941</v>
      </c>
      <c r="ES4" s="16">
        <f t="shared" si="57"/>
        <v>4.4448199017717638</v>
      </c>
      <c r="ET4" s="16">
        <f t="shared" si="58"/>
        <v>8.7250347996840762</v>
      </c>
      <c r="EU4" s="16">
        <f t="shared" si="59"/>
        <v>-2.2727753165061335</v>
      </c>
      <c r="EW4" s="20">
        <f>LARGE($EN$2:$EU$2,3)</f>
        <v>3.4488555055201524</v>
      </c>
      <c r="EX4" s="39" t="str">
        <f>INDEX(EN1:EU1,MATCH(EW4,EN2:EU2,0))</f>
        <v>GBP</v>
      </c>
      <c r="FK4" s="20"/>
      <c r="FL4" s="20"/>
    </row>
    <row r="5" spans="1:170" ht="14.4" thickBot="1" x14ac:dyDescent="0.35">
      <c r="A5" s="37" t="s">
        <v>51</v>
      </c>
      <c r="B5" s="38">
        <v>3</v>
      </c>
      <c r="C5" s="34">
        <f>RTD("fxbluelabs.excelrtd", , "21422436","@bh,AUDUSD,h4,close,3")</f>
        <v>0.67444000000000004</v>
      </c>
      <c r="D5" s="34">
        <f>RTD("fxbluelabs.excelrtd", , "21422436","@bh,AUDNZD,h4,close,3")</f>
        <v>1.09795</v>
      </c>
      <c r="E5" s="35">
        <f>RTD("fxbluelabs.excelrtd", , "21422436","@bh,AUDJPY,h4,close,3")</f>
        <v>98.25</v>
      </c>
      <c r="F5" s="34">
        <f>RTD("fxbluelabs.excelrtd", , "21422436","@bh,AUDCHF,h4,close,3")</f>
        <v>0.57611000000000001</v>
      </c>
      <c r="G5" s="34">
        <f>RTD("fxbluelabs.excelrtd", , "21422436","@bh,AUDCAD,h4,close,3")</f>
        <v>0.91822000000000004</v>
      </c>
      <c r="H5" s="34">
        <f>RTD("fxbluelabs.excelrtd", , "21422436","@bh,EURUSD,h4,close,3")</f>
        <v>1.11192</v>
      </c>
      <c r="I5" s="34">
        <f>RTD("fxbluelabs.excelrtd", , "21422436","@bh,EURCAD,h4,close,3")</f>
        <v>1.5138199999999999</v>
      </c>
      <c r="J5" s="34">
        <f>RTD("fxbluelabs.excelrtd", , "21422436","@bh,EURGBP,h4,close,3")</f>
        <v>0.85355999999999999</v>
      </c>
      <c r="K5" s="34">
        <f>RTD("fxbluelabs.excelrtd", , "21422436","@bh,EURCHF,h4,close,3")</f>
        <v>0.94974999999999998</v>
      </c>
      <c r="L5" s="35">
        <f>RTD("fxbluelabs.excelrtd", , "21422436","@bh,EURJPY,h4,close,3")</f>
        <v>161.97499999999999</v>
      </c>
      <c r="M5" s="34">
        <f>RTD("fxbluelabs.excelrtd", , "21422436","@bh,EURAUD,h4,close,3")</f>
        <v>1.6486400000000001</v>
      </c>
      <c r="N5" s="34">
        <f>RTD("fxbluelabs.excelrtd", , "21422436","@bh,EURNZD,h4,close,3")</f>
        <v>1.81013</v>
      </c>
      <c r="O5" s="34">
        <f>RTD("fxbluelabs.excelrtd", , "21422436","@bh,GBPUSD,h4,close,3")</f>
        <v>1.3026599999999999</v>
      </c>
      <c r="P5" s="34">
        <f>RTD("fxbluelabs.excelrtd", , "21422436","@bh,GBPAUD,h4,close,3")</f>
        <v>1.9314</v>
      </c>
      <c r="Q5" s="34">
        <f>RTD("fxbluelabs.excelrtd", , "21422436","@bh,GBPNZD,h4,close,3")</f>
        <v>2.1205799999999999</v>
      </c>
      <c r="R5" s="34">
        <f>RTD("fxbluelabs.excelrtd", , "21422436","@bh,GBPCAD,h4,close,3")</f>
        <v>1.77346</v>
      </c>
      <c r="S5" s="34">
        <f>RTD("fxbluelabs.excelrtd", , "21422436","@bh,GBPCHF,h4,close,3")</f>
        <v>1.1127</v>
      </c>
      <c r="T5" s="35">
        <f>RTD("fxbluelabs.excelrtd", , "21422436","@bh,GBPJPY,h4,close,3")</f>
        <v>189.76</v>
      </c>
      <c r="U5" s="35">
        <f>RTD("fxbluelabs.excelrtd", , "21422436","@bh,NZDJPY,h4,close,3")</f>
        <v>89.48</v>
      </c>
      <c r="V5" s="34">
        <f>RTD("fxbluelabs.excelrtd", , "21422436","@bh,NZDCHF,h4,close,3")</f>
        <v>0.52468000000000004</v>
      </c>
      <c r="W5" s="34">
        <f>RTD("fxbluelabs.excelrtd", , "21422436","@bh,NZDUSD,h4,close,3")</f>
        <v>0.61424000000000001</v>
      </c>
      <c r="X5" s="34">
        <f>RTD("fxbluelabs.excelrtd", , "21422436","@bh,NZDCAD,h4,close,3")</f>
        <v>0.83625000000000005</v>
      </c>
      <c r="Y5" s="35">
        <f>RTD("fxbluelabs.excelrtd", , "21422436","@bh,CADJPY,h4,close,3")</f>
        <v>107</v>
      </c>
      <c r="Z5" s="34">
        <f>RTD("fxbluelabs.excelrtd", , "21422436","@bh,CADCHF,h4,close,3")</f>
        <v>0.62741000000000002</v>
      </c>
      <c r="AA5" s="35">
        <f>RTD("fxbluelabs.excelrtd", , "21422436","@bh,CHFJPY,h4,close,3")</f>
        <v>170.53899999999999</v>
      </c>
      <c r="AB5" s="34">
        <f>RTD("fxbluelabs.excelrtd", , "21422436","@bh,USDCAD,h4,close,3")</f>
        <v>1.3614900000000001</v>
      </c>
      <c r="AC5" s="34">
        <f>RTD("fxbluelabs.excelrtd", , "21422436","@bh,USDCHF,h4,close,3")</f>
        <v>0.85419999999999996</v>
      </c>
      <c r="AD5" s="35">
        <f>RTD("fxbluelabs.excelrtd", , "21422436","@bh,USDJPY,h4,close,3")</f>
        <v>145.67500000000001</v>
      </c>
      <c r="AH5" s="21">
        <v>4</v>
      </c>
      <c r="AI5" s="22">
        <f t="shared" si="29"/>
        <v>-8.5923380047985831E-2</v>
      </c>
      <c r="AJ5" s="22">
        <f t="shared" si="29"/>
        <v>0.24377328171791232</v>
      </c>
      <c r="AK5" s="22">
        <f t="shared" si="29"/>
        <v>6.9259131001607049E-2</v>
      </c>
      <c r="AL5" s="22">
        <f t="shared" si="29"/>
        <v>-5.2070677265898032E-3</v>
      </c>
      <c r="AM5" s="22">
        <f t="shared" si="29"/>
        <v>-0.10009356572447298</v>
      </c>
      <c r="AN5" s="22">
        <f t="shared" si="29"/>
        <v>-7.8181867198656205E-2</v>
      </c>
      <c r="AO5" s="22">
        <f t="shared" si="29"/>
        <v>-9.1736458972683815E-2</v>
      </c>
      <c r="AP5" s="22">
        <f t="shared" si="29"/>
        <v>-1.5228010167620973E-2</v>
      </c>
      <c r="AQ5" s="22">
        <f t="shared" si="29"/>
        <v>-3.158626208171839E-3</v>
      </c>
      <c r="AR5" s="22">
        <f t="shared" si="29"/>
        <v>7.4758733179273229E-2</v>
      </c>
      <c r="AS5" s="22">
        <f t="shared" si="29"/>
        <v>7.8859090936776559E-3</v>
      </c>
      <c r="AT5" s="22">
        <f t="shared" si="29"/>
        <v>0.25144135711872512</v>
      </c>
      <c r="AU5" s="22">
        <f t="shared" si="29"/>
        <v>-6.1375109324423756E-2</v>
      </c>
      <c r="AV5" s="22">
        <f t="shared" si="29"/>
        <v>2.1750613678033277E-2</v>
      </c>
      <c r="AW5" s="22">
        <f t="shared" si="29"/>
        <v>0.26525198938991534</v>
      </c>
      <c r="AX5" s="22">
        <f t="shared" si="29"/>
        <v>-7.8316477448798619E-2</v>
      </c>
      <c r="AY5" s="22">
        <f t="shared" si="0"/>
        <v>1.4381505384070502E-2</v>
      </c>
      <c r="AZ5" s="22">
        <f t="shared" si="0"/>
        <v>9.0195106256160576E-2</v>
      </c>
      <c r="BA5" s="22">
        <f t="shared" si="0"/>
        <v>-0.17737815013553457</v>
      </c>
      <c r="BB5" s="22">
        <f t="shared" si="0"/>
        <v>-0.25284690405124283</v>
      </c>
      <c r="BC5" s="22">
        <f t="shared" si="0"/>
        <v>-0.33101836827416786</v>
      </c>
      <c r="BD5" s="22">
        <f t="shared" si="0"/>
        <v>-0.34558779717570193</v>
      </c>
      <c r="BE5" s="22">
        <f t="shared" si="0"/>
        <v>0.16944551063012889</v>
      </c>
      <c r="BF5" s="22">
        <f t="shared" si="0"/>
        <v>9.2529074868788183E-2</v>
      </c>
      <c r="BG5" s="22">
        <f t="shared" si="0"/>
        <v>7.5699782876586283E-2</v>
      </c>
      <c r="BH5" s="22">
        <f t="shared" si="0"/>
        <v>-1.4687630811710298E-2</v>
      </c>
      <c r="BI5" s="22">
        <f t="shared" si="0"/>
        <v>7.8497533771507547E-2</v>
      </c>
      <c r="BJ5" s="22">
        <f t="shared" si="0"/>
        <v>0.15400375384151224</v>
      </c>
      <c r="BN5">
        <v>4</v>
      </c>
      <c r="BO5" s="23">
        <f t="shared" si="30"/>
        <v>1.7960093565482182</v>
      </c>
      <c r="BP5" s="23">
        <f t="shared" si="1"/>
        <v>-0.47398736610008629</v>
      </c>
      <c r="BQ5" s="23">
        <f t="shared" si="2"/>
        <v>0.72449027518235198</v>
      </c>
      <c r="BR5" s="23">
        <f t="shared" si="3"/>
        <v>0.50314412391709773</v>
      </c>
      <c r="BS5" s="23">
        <f t="shared" si="4"/>
        <v>1.0997425887508685</v>
      </c>
      <c r="BT5" s="23">
        <f t="shared" si="5"/>
        <v>0.9731969481520969</v>
      </c>
      <c r="BU5" s="23">
        <f t="shared" si="6"/>
        <v>0.27878847636165505</v>
      </c>
      <c r="BV5" s="23">
        <f t="shared" si="7"/>
        <v>-0.4710669725382034</v>
      </c>
      <c r="BW5" s="23">
        <f t="shared" si="8"/>
        <v>-0.32744166419288567</v>
      </c>
      <c r="BX5" s="23">
        <f t="shared" si="9"/>
        <v>-0.10342420248254375</v>
      </c>
      <c r="BY5" s="23">
        <f t="shared" si="10"/>
        <v>-0.81877840698344129</v>
      </c>
      <c r="BZ5" s="23">
        <f t="shared" si="11"/>
        <v>-1.2947332704286421</v>
      </c>
      <c r="CA5" s="23">
        <f t="shared" si="12"/>
        <v>1.4440304027640194</v>
      </c>
      <c r="CB5" s="23">
        <f t="shared" si="13"/>
        <v>-0.35022781778478368</v>
      </c>
      <c r="CC5" s="23">
        <f t="shared" si="14"/>
        <v>-0.8258485185205896</v>
      </c>
      <c r="CD5" s="23">
        <f t="shared" si="15"/>
        <v>0.7477060781136099</v>
      </c>
      <c r="CE5" s="23">
        <f t="shared" si="16"/>
        <v>0.14674352011460381</v>
      </c>
      <c r="CF5" s="23">
        <f t="shared" si="17"/>
        <v>0.36791087761303626</v>
      </c>
      <c r="CG5" s="23">
        <f t="shared" si="18"/>
        <v>1.1969767545696812</v>
      </c>
      <c r="CH5" s="23">
        <f t="shared" si="19"/>
        <v>0.97693292087618167</v>
      </c>
      <c r="CI5" s="23">
        <f t="shared" si="20"/>
        <v>2.2749158536742464</v>
      </c>
      <c r="CJ5" s="23">
        <f t="shared" si="21"/>
        <v>1.5797646941310663</v>
      </c>
      <c r="CK5" s="23">
        <f t="shared" si="22"/>
        <v>-0.37439332845036655</v>
      </c>
      <c r="CL5" s="23">
        <f t="shared" si="23"/>
        <v>-0.59631821899637816</v>
      </c>
      <c r="CM5" s="23">
        <f t="shared" si="24"/>
        <v>0.21675229190482659</v>
      </c>
      <c r="CN5" s="23">
        <f t="shared" si="25"/>
        <v>-0.69871387448185784</v>
      </c>
      <c r="CO5" s="23">
        <f t="shared" si="26"/>
        <v>-1.2911810109239832</v>
      </c>
      <c r="CP5" s="23">
        <f t="shared" si="27"/>
        <v>-1.070333219884672</v>
      </c>
      <c r="CU5" s="21">
        <v>4</v>
      </c>
      <c r="CV5" s="24">
        <f t="shared" si="31"/>
        <v>-1.7634590921119642</v>
      </c>
      <c r="CW5" s="24">
        <f t="shared" si="32"/>
        <v>-9.5483806664290931</v>
      </c>
      <c r="CX5" s="24">
        <f t="shared" si="33"/>
        <v>-3.9779995103220864</v>
      </c>
      <c r="CY5" s="24">
        <f t="shared" si="34"/>
        <v>0.20855440211381227</v>
      </c>
      <c r="CZ5" s="24">
        <f t="shared" si="35"/>
        <v>2.0013815148380996</v>
      </c>
      <c r="DA5" s="24">
        <f t="shared" si="36"/>
        <v>4.8184052030666749</v>
      </c>
      <c r="DB5" s="24">
        <f t="shared" si="37"/>
        <v>8.6231593783004925</v>
      </c>
      <c r="DC5" s="24">
        <f t="shared" si="38"/>
        <v>-0.95797944845231386</v>
      </c>
      <c r="DF5" s="25">
        <v>4</v>
      </c>
      <c r="DG5" s="26">
        <f t="shared" si="60"/>
        <v>-0.69871387448185784</v>
      </c>
      <c r="DH5" s="26">
        <f t="shared" si="39"/>
        <v>0.27878847636165505</v>
      </c>
      <c r="DI5" s="26">
        <f t="shared" si="40"/>
        <v>-1.2911810109239832</v>
      </c>
      <c r="DJ5" s="26">
        <f t="shared" si="41"/>
        <v>-0.32744166419288567</v>
      </c>
      <c r="DK5" s="26">
        <f t="shared" si="42"/>
        <v>-1.4440304027640194</v>
      </c>
      <c r="DL5" s="26">
        <f t="shared" si="43"/>
        <v>-0.4710669725382034</v>
      </c>
      <c r="DM5" s="26">
        <f t="shared" si="44"/>
        <v>-1.7960093565482182</v>
      </c>
      <c r="DN5" s="26">
        <f t="shared" si="45"/>
        <v>-0.81877840698344129</v>
      </c>
      <c r="DO5" s="26">
        <f t="shared" si="46"/>
        <v>-2.2749158536742464</v>
      </c>
      <c r="DP5" s="26">
        <f t="shared" si="47"/>
        <v>-1.2947332704286421</v>
      </c>
      <c r="DQ5" s="26">
        <f t="shared" si="48"/>
        <v>-1.070333219884672</v>
      </c>
      <c r="DR5" s="26">
        <f t="shared" si="49"/>
        <v>-0.10342420248254375</v>
      </c>
      <c r="DS5" s="47">
        <f t="shared" si="50"/>
        <v>-0.9731969481520969</v>
      </c>
      <c r="DT5" s="47">
        <f t="shared" si="51"/>
        <v>0.9731969481520969</v>
      </c>
      <c r="DX5">
        <v>4</v>
      </c>
      <c r="DY5" s="19">
        <f t="shared" si="52"/>
        <v>18.171540044729586</v>
      </c>
      <c r="EM5" s="21">
        <v>4</v>
      </c>
      <c r="EN5" s="16">
        <f t="shared" si="53"/>
        <v>-1.7634590921119642</v>
      </c>
      <c r="EO5" s="16">
        <f t="shared" si="28"/>
        <v>-9.5483806664290931</v>
      </c>
      <c r="EP5" s="16">
        <f t="shared" si="54"/>
        <v>-3.9779995103220864</v>
      </c>
      <c r="EQ5" s="16">
        <f t="shared" si="55"/>
        <v>0.20855440211381227</v>
      </c>
      <c r="ER5" s="16">
        <f t="shared" si="56"/>
        <v>2.0013815148380996</v>
      </c>
      <c r="ES5" s="16">
        <f t="shared" si="57"/>
        <v>4.8184052030666749</v>
      </c>
      <c r="ET5" s="16">
        <f t="shared" si="58"/>
        <v>8.6231593783004925</v>
      </c>
      <c r="EU5" s="16">
        <f t="shared" si="59"/>
        <v>-0.95797944845231386</v>
      </c>
      <c r="EW5" s="20">
        <f>LARGE($EN$2:$EU$2,4)</f>
        <v>0.23238547587741709</v>
      </c>
      <c r="EX5" s="39" t="str">
        <f>INDEX(EN1:EU1,MATCH(EW5,EN2:EU2,0))</f>
        <v>CHF</v>
      </c>
      <c r="FK5" s="20"/>
      <c r="FL5" s="20"/>
    </row>
    <row r="6" spans="1:170" ht="14.4" thickBot="1" x14ac:dyDescent="0.35">
      <c r="A6" s="37" t="s">
        <v>51</v>
      </c>
      <c r="B6" s="38">
        <v>4</v>
      </c>
      <c r="C6" s="34">
        <f>RTD("fxbluelabs.excelrtd", , "21422436","@bh,AUDUSD,h4,close,4")</f>
        <v>0.67501999999999995</v>
      </c>
      <c r="D6" s="34">
        <f>RTD("fxbluelabs.excelrtd", , "21422436","@bh,AUDNZD,h4,close,4")</f>
        <v>1.09528</v>
      </c>
      <c r="E6" s="35">
        <f>RTD("fxbluelabs.excelrtd", , "21422436","@bh,AUDJPY,h4,close,4")</f>
        <v>98.182000000000002</v>
      </c>
      <c r="F6" s="34">
        <f>RTD("fxbluelabs.excelrtd", , "21422436","@bh,AUDCHF,h4,close,4")</f>
        <v>0.57613999999999999</v>
      </c>
      <c r="G6" s="34">
        <f>RTD("fxbluelabs.excelrtd", , "21422436","@bh,AUDCAD,h4,close,4")</f>
        <v>0.91913999999999996</v>
      </c>
      <c r="H6" s="34">
        <f>RTD("fxbluelabs.excelrtd", , "21422436","@bh,EURUSD,h4,close,4")</f>
        <v>1.1127899999999999</v>
      </c>
      <c r="I6" s="34">
        <f>RTD("fxbluelabs.excelrtd", , "21422436","@bh,EURCAD,h4,close,4")</f>
        <v>1.5152099999999999</v>
      </c>
      <c r="J6" s="34">
        <f>RTD("fxbluelabs.excelrtd", , "21422436","@bh,EURGBP,h4,close,4")</f>
        <v>0.85368999999999995</v>
      </c>
      <c r="K6" s="34">
        <f>RTD("fxbluelabs.excelrtd", , "21422436","@bh,EURCHF,h4,close,4")</f>
        <v>0.94977999999999996</v>
      </c>
      <c r="L6" s="35">
        <f>RTD("fxbluelabs.excelrtd", , "21422436","@bh,EURJPY,h4,close,4")</f>
        <v>161.85400000000001</v>
      </c>
      <c r="M6" s="34">
        <f>RTD("fxbluelabs.excelrtd", , "21422436","@bh,EURAUD,h4,close,4")</f>
        <v>1.6485099999999999</v>
      </c>
      <c r="N6" s="34">
        <f>RTD("fxbluelabs.excelrtd", , "21422436","@bh,EURNZD,h4,close,4")</f>
        <v>1.80559</v>
      </c>
      <c r="O6" s="34">
        <f>RTD("fxbluelabs.excelrtd", , "21422436","@bh,GBPUSD,h4,close,4")</f>
        <v>1.3034600000000001</v>
      </c>
      <c r="P6" s="34">
        <f>RTD("fxbluelabs.excelrtd", , "21422436","@bh,GBPAUD,h4,close,4")</f>
        <v>1.9309799999999999</v>
      </c>
      <c r="Q6" s="34">
        <f>RTD("fxbluelabs.excelrtd", , "21422436","@bh,GBPNZD,h4,close,4")</f>
        <v>2.11497</v>
      </c>
      <c r="R6" s="34">
        <f>RTD("fxbluelabs.excelrtd", , "21422436","@bh,GBPCAD,h4,close,4")</f>
        <v>1.77485</v>
      </c>
      <c r="S6" s="34">
        <f>RTD("fxbluelabs.excelrtd", , "21422436","@bh,GBPCHF,h4,close,4")</f>
        <v>1.1125400000000001</v>
      </c>
      <c r="T6" s="35">
        <f>RTD("fxbluelabs.excelrtd", , "21422436","@bh,GBPJPY,h4,close,4")</f>
        <v>189.589</v>
      </c>
      <c r="U6" s="35">
        <f>RTD("fxbluelabs.excelrtd", , "21422436","@bh,NZDJPY,h4,close,4")</f>
        <v>89.638999999999996</v>
      </c>
      <c r="V6" s="34">
        <f>RTD("fxbluelabs.excelrtd", , "21422436","@bh,NZDCHF,h4,close,4")</f>
        <v>0.52600999999999998</v>
      </c>
      <c r="W6" s="34">
        <f>RTD("fxbluelabs.excelrtd", , "21422436","@bh,NZDUSD,h4,close,4")</f>
        <v>0.61628000000000005</v>
      </c>
      <c r="X6" s="34">
        <f>RTD("fxbluelabs.excelrtd", , "21422436","@bh,NZDCAD,h4,close,4")</f>
        <v>0.83914999999999995</v>
      </c>
      <c r="Y6" s="35">
        <f>RTD("fxbluelabs.excelrtd", , "21422436","@bh,CADJPY,h4,close,4")</f>
        <v>106.819</v>
      </c>
      <c r="Z6" s="34">
        <f>RTD("fxbluelabs.excelrtd", , "21422436","@bh,CADCHF,h4,close,4")</f>
        <v>0.62683</v>
      </c>
      <c r="AA6" s="35">
        <f>RTD("fxbluelabs.excelrtd", , "21422436","@bh,CHFJPY,h4,close,4")</f>
        <v>170.41</v>
      </c>
      <c r="AB6" s="34">
        <f>RTD("fxbluelabs.excelrtd", , "21422436","@bh,USDCAD,h4,close,4")</f>
        <v>1.3616900000000001</v>
      </c>
      <c r="AC6" s="34">
        <f>RTD("fxbluelabs.excelrtd", , "21422436","@bh,USDCHF,h4,close,4")</f>
        <v>0.85353000000000001</v>
      </c>
      <c r="AD6" s="35">
        <f>RTD("fxbluelabs.excelrtd", , "21422436","@bh,USDJPY,h4,close,4")</f>
        <v>145.45099999999999</v>
      </c>
      <c r="AH6" s="13">
        <v>5</v>
      </c>
      <c r="AI6" s="27">
        <f t="shared" si="29"/>
        <v>5.1877214045379441E-2</v>
      </c>
      <c r="AJ6" s="27">
        <f t="shared" si="29"/>
        <v>-9.0306220182988339E-2</v>
      </c>
      <c r="AK6" s="27">
        <f t="shared" si="29"/>
        <v>0.18366972102610848</v>
      </c>
      <c r="AL6" s="27">
        <f t="shared" si="29"/>
        <v>-5.2067966051641866E-3</v>
      </c>
      <c r="AM6" s="27">
        <f t="shared" si="29"/>
        <v>2.9383917202650264E-2</v>
      </c>
      <c r="AN6" s="27">
        <f t="shared" si="29"/>
        <v>-1.8867924528305793E-2</v>
      </c>
      <c r="AO6" s="27">
        <f t="shared" si="29"/>
        <v>-4.4858136144444116E-2</v>
      </c>
      <c r="AP6" s="27">
        <f t="shared" si="29"/>
        <v>-3.2788037050488654E-2</v>
      </c>
      <c r="AQ6" s="27">
        <f t="shared" si="29"/>
        <v>-7.7852123048444424E-2</v>
      </c>
      <c r="AR6" s="27">
        <f t="shared" si="29"/>
        <v>0.10947753854909538</v>
      </c>
      <c r="AS6" s="27">
        <f t="shared" si="29"/>
        <v>-6.547081395983062E-2</v>
      </c>
      <c r="AT6" s="27">
        <f t="shared" si="29"/>
        <v>-0.16532307113868605</v>
      </c>
      <c r="AU6" s="27">
        <f t="shared" si="29"/>
        <v>6.9051765807211707E-3</v>
      </c>
      <c r="AV6" s="27">
        <f t="shared" si="29"/>
        <v>-3.9342768695585013E-2</v>
      </c>
      <c r="AW6" s="27">
        <f t="shared" si="29"/>
        <v>-0.13551543081631048</v>
      </c>
      <c r="AX6" s="27">
        <f t="shared" si="29"/>
        <v>-1.8026442537890791E-2</v>
      </c>
      <c r="AY6" s="27">
        <f t="shared" si="0"/>
        <v>-5.0309945198085883E-2</v>
      </c>
      <c r="AZ6" s="27">
        <f t="shared" si="0"/>
        <v>0.13732708671148683</v>
      </c>
      <c r="BA6" s="27">
        <f t="shared" si="0"/>
        <v>0.29538461538461069</v>
      </c>
      <c r="BB6" s="27">
        <f t="shared" si="0"/>
        <v>0.1046701937350016</v>
      </c>
      <c r="BC6" s="27">
        <f t="shared" si="0"/>
        <v>0.14950598023921474</v>
      </c>
      <c r="BD6" s="27">
        <f t="shared" si="0"/>
        <v>0.12767277586864073</v>
      </c>
      <c r="BE6" s="27">
        <f t="shared" si="0"/>
        <v>0.16127973595131323</v>
      </c>
      <c r="BF6" s="27">
        <f t="shared" si="0"/>
        <v>-2.5518748305403433E-2</v>
      </c>
      <c r="BG6" s="27">
        <f t="shared" si="0"/>
        <v>0.19579366992597377</v>
      </c>
      <c r="BH6" s="27">
        <f t="shared" si="0"/>
        <v>-2.4962739440394628E-2</v>
      </c>
      <c r="BI6" s="27">
        <f t="shared" si="0"/>
        <v>-5.854595271828214E-2</v>
      </c>
      <c r="BJ6" s="27">
        <f t="shared" si="0"/>
        <v>0.13010973275873453</v>
      </c>
      <c r="BN6">
        <v>5</v>
      </c>
      <c r="BO6" s="28">
        <f t="shared" si="30"/>
        <v>1.8819327365962033</v>
      </c>
      <c r="BP6" s="28">
        <f t="shared" si="1"/>
        <v>-0.71776064781799875</v>
      </c>
      <c r="BQ6" s="28">
        <f t="shared" si="2"/>
        <v>0.65523114418074468</v>
      </c>
      <c r="BR6" s="28">
        <f t="shared" si="3"/>
        <v>0.50835119164368769</v>
      </c>
      <c r="BS6" s="28">
        <f t="shared" si="4"/>
        <v>1.1998361544753418</v>
      </c>
      <c r="BT6" s="28">
        <f t="shared" si="5"/>
        <v>1.0513788153507528</v>
      </c>
      <c r="BU6" s="28">
        <f t="shared" si="6"/>
        <v>0.37052493533433878</v>
      </c>
      <c r="BV6" s="28">
        <f t="shared" si="7"/>
        <v>-0.45583896237058241</v>
      </c>
      <c r="BW6" s="28">
        <f t="shared" si="8"/>
        <v>-0.32428303798471386</v>
      </c>
      <c r="BX6" s="28">
        <f t="shared" si="9"/>
        <v>-0.17818293566181698</v>
      </c>
      <c r="BY6" s="28">
        <f t="shared" si="10"/>
        <v>-0.82666431607711899</v>
      </c>
      <c r="BZ6" s="28">
        <f t="shared" si="11"/>
        <v>-1.5461746275473671</v>
      </c>
      <c r="CA6" s="28">
        <f t="shared" si="12"/>
        <v>1.5054055120884429</v>
      </c>
      <c r="CB6" s="28">
        <f t="shared" si="13"/>
        <v>-0.37197843146281706</v>
      </c>
      <c r="CC6" s="28">
        <f t="shared" si="14"/>
        <v>-1.0911005079105049</v>
      </c>
      <c r="CD6" s="28">
        <f t="shared" si="15"/>
        <v>0.82602255556240844</v>
      </c>
      <c r="CE6" s="28">
        <f t="shared" si="16"/>
        <v>0.13236201473053327</v>
      </c>
      <c r="CF6" s="28">
        <f t="shared" si="17"/>
        <v>0.27771577135687564</v>
      </c>
      <c r="CG6" s="28">
        <f t="shared" si="18"/>
        <v>1.3743549047052157</v>
      </c>
      <c r="CH6" s="28">
        <f t="shared" si="19"/>
        <v>1.2297798249274248</v>
      </c>
      <c r="CI6" s="28">
        <f t="shared" si="20"/>
        <v>2.6059342219484143</v>
      </c>
      <c r="CJ6" s="28">
        <f t="shared" si="21"/>
        <v>1.9253524913067686</v>
      </c>
      <c r="CK6" s="28">
        <f t="shared" si="22"/>
        <v>-0.54383883908049491</v>
      </c>
      <c r="CL6" s="28">
        <f t="shared" si="23"/>
        <v>-0.68884729386516641</v>
      </c>
      <c r="CM6" s="28">
        <f t="shared" si="24"/>
        <v>0.14105250902824018</v>
      </c>
      <c r="CN6" s="28">
        <f t="shared" si="25"/>
        <v>-0.68402624367014753</v>
      </c>
      <c r="CO6" s="28">
        <f t="shared" si="26"/>
        <v>-1.3696785446954907</v>
      </c>
      <c r="CP6" s="28">
        <f t="shared" si="27"/>
        <v>-1.2243369737261842</v>
      </c>
      <c r="CU6" s="21">
        <v>5</v>
      </c>
      <c r="CV6" s="29">
        <f t="shared" si="31"/>
        <v>-1.9092401289565077</v>
      </c>
      <c r="CW6" s="29">
        <f t="shared" si="32"/>
        <v>-10.322693048075637</v>
      </c>
      <c r="CX6" s="29">
        <f t="shared" si="33"/>
        <v>-4.8703960259543715</v>
      </c>
      <c r="CY6" s="29">
        <f t="shared" si="34"/>
        <v>-3.5478939593201031E-2</v>
      </c>
      <c r="CZ6" s="29">
        <f t="shared" si="35"/>
        <v>1.7342658767355208</v>
      </c>
      <c r="DA6" s="29">
        <f t="shared" si="36"/>
        <v>4.7262333266179146</v>
      </c>
      <c r="DB6" s="29">
        <f t="shared" si="37"/>
        <v>10.490457226163695</v>
      </c>
      <c r="DC6" s="29">
        <f t="shared" si="38"/>
        <v>-0.50199558080258022</v>
      </c>
      <c r="DF6" s="30">
        <v>5</v>
      </c>
      <c r="DG6" s="31">
        <f t="shared" si="60"/>
        <v>-0.68402624367014753</v>
      </c>
      <c r="DH6" s="31">
        <f t="shared" si="39"/>
        <v>0.37052493533433878</v>
      </c>
      <c r="DI6" s="31">
        <f t="shared" si="40"/>
        <v>-1.3696785446954907</v>
      </c>
      <c r="DJ6" s="31">
        <f t="shared" si="41"/>
        <v>-0.32428303798471386</v>
      </c>
      <c r="DK6" s="31">
        <f t="shared" si="42"/>
        <v>-1.5054055120884429</v>
      </c>
      <c r="DL6" s="31">
        <f t="shared" si="43"/>
        <v>-0.45583896237058241</v>
      </c>
      <c r="DM6" s="31">
        <f t="shared" si="44"/>
        <v>-1.8819327365962033</v>
      </c>
      <c r="DN6" s="31">
        <f t="shared" si="45"/>
        <v>-0.82666431607711899</v>
      </c>
      <c r="DO6" s="31">
        <f t="shared" si="46"/>
        <v>-2.6059342219484143</v>
      </c>
      <c r="DP6" s="31">
        <f t="shared" si="47"/>
        <v>-1.5461746275473671</v>
      </c>
      <c r="DQ6" s="31">
        <f t="shared" si="48"/>
        <v>-1.2243369737261842</v>
      </c>
      <c r="DR6" s="31">
        <f t="shared" si="49"/>
        <v>-0.17818293566181698</v>
      </c>
      <c r="DS6" s="49">
        <f t="shared" si="50"/>
        <v>-1.0513788153507528</v>
      </c>
      <c r="DT6" s="49">
        <f t="shared" si="51"/>
        <v>1.0513788153507528</v>
      </c>
      <c r="DX6">
        <v>5</v>
      </c>
      <c r="DY6" s="19">
        <f t="shared" si="52"/>
        <v>20.813150274239334</v>
      </c>
      <c r="EM6" s="21">
        <v>5</v>
      </c>
      <c r="EN6" s="16">
        <f t="shared" si="53"/>
        <v>-1.9092401289565077</v>
      </c>
      <c r="EO6" s="16">
        <f t="shared" si="28"/>
        <v>-10.322693048075637</v>
      </c>
      <c r="EP6" s="16">
        <f t="shared" si="54"/>
        <v>-4.8703960259543715</v>
      </c>
      <c r="EQ6" s="16">
        <f t="shared" si="55"/>
        <v>-3.5478939593201031E-2</v>
      </c>
      <c r="ER6" s="16">
        <f t="shared" si="56"/>
        <v>1.7342658767355208</v>
      </c>
      <c r="ES6" s="16">
        <f t="shared" si="57"/>
        <v>4.7262333266179146</v>
      </c>
      <c r="ET6" s="16">
        <f t="shared" si="58"/>
        <v>10.490457226163695</v>
      </c>
      <c r="EU6" s="16">
        <f t="shared" si="59"/>
        <v>-0.50199558080258022</v>
      </c>
      <c r="EW6" s="20">
        <f>LARGE($EN$2:$EU$2,5)</f>
        <v>-2.0035606874134038</v>
      </c>
      <c r="EX6" s="39" t="str">
        <f>INDEX(EN1:EU1,MATCH(EW6,EN2:EU2,0))</f>
        <v>JPY</v>
      </c>
      <c r="FK6" s="20"/>
    </row>
    <row r="7" spans="1:170" ht="14.4" thickBot="1" x14ac:dyDescent="0.35">
      <c r="A7" s="37" t="s">
        <v>51</v>
      </c>
      <c r="B7" s="38">
        <v>5</v>
      </c>
      <c r="C7" s="34">
        <f>RTD("fxbluelabs.excelrtd", , "21422436","@bh,AUDUSD,h4,close,5")</f>
        <v>0.67466999999999999</v>
      </c>
      <c r="D7" s="34">
        <f>RTD("fxbluelabs.excelrtd", , "21422436","@bh,AUDNZD,h4,close,5")</f>
        <v>1.0962700000000001</v>
      </c>
      <c r="E7" s="35">
        <f>RTD("fxbluelabs.excelrtd", , "21422436","@bh,AUDJPY,h4,close,5")</f>
        <v>98.001999999999995</v>
      </c>
      <c r="F7" s="34">
        <f>RTD("fxbluelabs.excelrtd", , "21422436","@bh,AUDCHF,h4,close,5")</f>
        <v>0.57616999999999996</v>
      </c>
      <c r="G7" s="34">
        <f>RTD("fxbluelabs.excelrtd", , "21422436","@bh,AUDCAD,h4,close,5")</f>
        <v>0.91886999999999996</v>
      </c>
      <c r="H7" s="34">
        <f>RTD("fxbluelabs.excelrtd", , "21422436","@bh,EURUSD,h4,close,5")</f>
        <v>1.113</v>
      </c>
      <c r="I7" s="34">
        <f>RTD("fxbluelabs.excelrtd", , "21422436","@bh,EURCAD,h4,close,5")</f>
        <v>1.51589</v>
      </c>
      <c r="J7" s="34">
        <f>RTD("fxbluelabs.excelrtd", , "21422436","@bh,EURGBP,h4,close,5")</f>
        <v>0.85397000000000001</v>
      </c>
      <c r="K7" s="34">
        <f>RTD("fxbluelabs.excelrtd", , "21422436","@bh,EURCHF,h4,close,5")</f>
        <v>0.95052000000000003</v>
      </c>
      <c r="L7" s="35">
        <f>RTD("fxbluelabs.excelrtd", , "21422436","@bh,EURJPY,h4,close,5")</f>
        <v>161.67699999999999</v>
      </c>
      <c r="M7" s="34">
        <f>RTD("fxbluelabs.excelrtd", , "21422436","@bh,EURAUD,h4,close,5")</f>
        <v>1.6495899999999999</v>
      </c>
      <c r="N7" s="34">
        <f>RTD("fxbluelabs.excelrtd", , "21422436","@bh,EURNZD,h4,close,5")</f>
        <v>1.8085800000000001</v>
      </c>
      <c r="O7" s="34">
        <f>RTD("fxbluelabs.excelrtd", , "21422436","@bh,GBPUSD,h4,close,5")</f>
        <v>1.3033699999999999</v>
      </c>
      <c r="P7" s="34">
        <f>RTD("fxbluelabs.excelrtd", , "21422436","@bh,GBPAUD,h4,close,5")</f>
        <v>1.93174</v>
      </c>
      <c r="Q7" s="34">
        <f>RTD("fxbluelabs.excelrtd", , "21422436","@bh,GBPNZD,h4,close,5")</f>
        <v>2.1178400000000002</v>
      </c>
      <c r="R7" s="34">
        <f>RTD("fxbluelabs.excelrtd", , "21422436","@bh,GBPCAD,h4,close,5")</f>
        <v>1.7751699999999999</v>
      </c>
      <c r="S7" s="34">
        <f>RTD("fxbluelabs.excelrtd", , "21422436","@bh,GBPCHF,h4,close,5")</f>
        <v>1.1131</v>
      </c>
      <c r="T7" s="35">
        <f>RTD("fxbluelabs.excelrtd", , "21422436","@bh,GBPJPY,h4,close,5")</f>
        <v>189.32900000000001</v>
      </c>
      <c r="U7" s="35">
        <f>RTD("fxbluelabs.excelrtd", , "21422436","@bh,NZDJPY,h4,close,5")</f>
        <v>89.375</v>
      </c>
      <c r="V7" s="34">
        <f>RTD("fxbluelabs.excelrtd", , "21422436","@bh,NZDCHF,h4,close,5")</f>
        <v>0.52546000000000004</v>
      </c>
      <c r="W7" s="34">
        <f>RTD("fxbluelabs.excelrtd", , "21422436","@bh,NZDUSD,h4,close,5")</f>
        <v>0.61536000000000002</v>
      </c>
      <c r="X7" s="34">
        <f>RTD("fxbluelabs.excelrtd", , "21422436","@bh,NZDCAD,h4,close,5")</f>
        <v>0.83808000000000005</v>
      </c>
      <c r="Y7" s="35">
        <f>RTD("fxbluelabs.excelrtd", , "21422436","@bh,CADJPY,h4,close,5")</f>
        <v>106.64700000000001</v>
      </c>
      <c r="Z7" s="34">
        <f>RTD("fxbluelabs.excelrtd", , "21422436","@bh,CADCHF,h4,close,5")</f>
        <v>0.62699000000000005</v>
      </c>
      <c r="AA7" s="35">
        <f>RTD("fxbluelabs.excelrtd", , "21422436","@bh,CHFJPY,h4,close,5")</f>
        <v>170.077</v>
      </c>
      <c r="AB7" s="34">
        <f>RTD("fxbluelabs.excelrtd", , "21422436","@bh,USDCAD,h4,close,5")</f>
        <v>1.3620300000000001</v>
      </c>
      <c r="AC7" s="34">
        <f>RTD("fxbluelabs.excelrtd", , "21422436","@bh,USDCHF,h4,close,5")</f>
        <v>0.85402999999999996</v>
      </c>
      <c r="AD7" s="35">
        <f>RTD("fxbluelabs.excelrtd", , "21422436","@bh,USDJPY,h4,close,5")</f>
        <v>145.262</v>
      </c>
      <c r="AH7" s="21">
        <v>6</v>
      </c>
      <c r="AI7" s="22">
        <f t="shared" si="29"/>
        <v>0.15290065910575015</v>
      </c>
      <c r="AJ7" s="22">
        <f t="shared" si="29"/>
        <v>7.2980049079155989E-3</v>
      </c>
      <c r="AK7" s="22">
        <f t="shared" si="29"/>
        <v>5.9217512047693294E-2</v>
      </c>
      <c r="AL7" s="22">
        <f t="shared" si="29"/>
        <v>-9.8831362485707674E-2</v>
      </c>
      <c r="AM7" s="22">
        <f t="shared" si="29"/>
        <v>7.187898193223706E-2</v>
      </c>
      <c r="AN7" s="22">
        <f t="shared" si="29"/>
        <v>0.13495276653171903</v>
      </c>
      <c r="AO7" s="22">
        <f t="shared" si="29"/>
        <v>5.874587458746254E-2</v>
      </c>
      <c r="AP7" s="22">
        <f t="shared" si="29"/>
        <v>7.2654830960327405E-2</v>
      </c>
      <c r="AQ7" s="22">
        <f t="shared" si="29"/>
        <v>-0.11559235829427605</v>
      </c>
      <c r="AR7" s="22">
        <f t="shared" si="29"/>
        <v>4.6410316703994155E-2</v>
      </c>
      <c r="AS7" s="22">
        <f t="shared" si="29"/>
        <v>-2.0606934839660286E-2</v>
      </c>
      <c r="AT7" s="22">
        <f t="shared" si="29"/>
        <v>-5.5288940000436217E-3</v>
      </c>
      <c r="AU7" s="22">
        <f t="shared" si="29"/>
        <v>6.5258115038542022E-2</v>
      </c>
      <c r="AV7" s="22">
        <f t="shared" si="29"/>
        <v>-8.9993172931712495E-2</v>
      </c>
      <c r="AW7" s="22">
        <f t="shared" si="29"/>
        <v>-7.8320358575124926E-2</v>
      </c>
      <c r="AX7" s="22">
        <f t="shared" si="29"/>
        <v>-1.1265257382966817E-2</v>
      </c>
      <c r="AY7" s="22">
        <f t="shared" si="0"/>
        <v>-0.18383177151056873</v>
      </c>
      <c r="AZ7" s="22">
        <f t="shared" si="0"/>
        <v>-2.4818350794185665E-2</v>
      </c>
      <c r="BA7" s="22">
        <f t="shared" si="0"/>
        <v>3.9176180882019913E-2</v>
      </c>
      <c r="BB7" s="22">
        <f t="shared" si="0"/>
        <v>-0.11785279805351923</v>
      </c>
      <c r="BC7" s="22">
        <f t="shared" si="0"/>
        <v>0.14484026884958703</v>
      </c>
      <c r="BD7" s="22">
        <f t="shared" si="0"/>
        <v>6.5669289458294089E-2</v>
      </c>
      <c r="BE7" s="22">
        <f t="shared" si="0"/>
        <v>-1.9687253909326879E-2</v>
      </c>
      <c r="BF7" s="22">
        <f t="shared" si="0"/>
        <v>-0.17990192956759288</v>
      </c>
      <c r="BG7" s="22">
        <f t="shared" si="0"/>
        <v>0.15664474032894873</v>
      </c>
      <c r="BH7" s="22">
        <f t="shared" si="0"/>
        <v>-7.7764490972704589E-2</v>
      </c>
      <c r="BI7" s="22">
        <f t="shared" si="0"/>
        <v>-0.2511154196547567</v>
      </c>
      <c r="BJ7" s="22">
        <f t="shared" si="0"/>
        <v>-9.2849233477988485E-2</v>
      </c>
      <c r="BN7">
        <v>6</v>
      </c>
      <c r="BO7" s="23">
        <f t="shared" si="30"/>
        <v>1.8300555225508242</v>
      </c>
      <c r="BP7" s="23">
        <f t="shared" si="1"/>
        <v>-0.62745442763501025</v>
      </c>
      <c r="BQ7" s="23">
        <f t="shared" si="2"/>
        <v>0.47156142315463634</v>
      </c>
      <c r="BR7" s="23">
        <f t="shared" si="3"/>
        <v>0.51355798824885179</v>
      </c>
      <c r="BS7" s="23">
        <f t="shared" si="4"/>
        <v>1.1704522372726913</v>
      </c>
      <c r="BT7" s="23">
        <f t="shared" si="5"/>
        <v>1.0702467398790589</v>
      </c>
      <c r="BU7" s="23">
        <f t="shared" si="6"/>
        <v>0.41538307147878317</v>
      </c>
      <c r="BV7" s="23">
        <f t="shared" si="7"/>
        <v>-0.4230509253200937</v>
      </c>
      <c r="BW7" s="23">
        <f t="shared" si="8"/>
        <v>-0.24643091493626942</v>
      </c>
      <c r="BX7" s="23">
        <f t="shared" si="9"/>
        <v>-0.2876604742109124</v>
      </c>
      <c r="BY7" s="23">
        <f t="shared" si="10"/>
        <v>-0.76119350211728842</v>
      </c>
      <c r="BZ7" s="23">
        <f t="shared" si="11"/>
        <v>-1.3808515564086814</v>
      </c>
      <c r="CA7" s="23">
        <f t="shared" si="12"/>
        <v>1.498500335507722</v>
      </c>
      <c r="CB7" s="23">
        <f t="shared" si="13"/>
        <v>-0.33263566276723217</v>
      </c>
      <c r="CC7" s="23">
        <f t="shared" si="14"/>
        <v>-0.95558507709419449</v>
      </c>
      <c r="CD7" s="23">
        <f t="shared" si="15"/>
        <v>0.84404899810029921</v>
      </c>
      <c r="CE7" s="23">
        <f t="shared" si="16"/>
        <v>0.1826719599286194</v>
      </c>
      <c r="CF7" s="23">
        <f t="shared" si="17"/>
        <v>0.14038868464538889</v>
      </c>
      <c r="CG7" s="23">
        <f t="shared" si="18"/>
        <v>1.078970289320605</v>
      </c>
      <c r="CH7" s="23">
        <f t="shared" si="19"/>
        <v>1.1251096311924234</v>
      </c>
      <c r="CI7" s="23">
        <f t="shared" si="20"/>
        <v>2.4564282417091992</v>
      </c>
      <c r="CJ7" s="23">
        <f t="shared" si="21"/>
        <v>1.7976797154381274</v>
      </c>
      <c r="CK7" s="23">
        <f t="shared" si="22"/>
        <v>-0.70511857503180841</v>
      </c>
      <c r="CL7" s="23">
        <f t="shared" si="23"/>
        <v>-0.66332854555976262</v>
      </c>
      <c r="CM7" s="23">
        <f t="shared" si="24"/>
        <v>-5.474116089773351E-2</v>
      </c>
      <c r="CN7" s="23">
        <f t="shared" si="25"/>
        <v>-0.65906350422975279</v>
      </c>
      <c r="CO7" s="23">
        <f t="shared" si="26"/>
        <v>-1.3111325919772086</v>
      </c>
      <c r="CP7" s="23">
        <f t="shared" si="27"/>
        <v>-1.354446706484919</v>
      </c>
      <c r="CU7" s="13">
        <v>6</v>
      </c>
      <c r="CV7" s="24">
        <f t="shared" si="31"/>
        <v>-1.6135575616354034</v>
      </c>
      <c r="CW7" s="24">
        <f t="shared" si="32"/>
        <v>-10.179873642338684</v>
      </c>
      <c r="CX7" s="24">
        <f t="shared" si="33"/>
        <v>-4.9369476386517199</v>
      </c>
      <c r="CY7" s="24">
        <f t="shared" si="34"/>
        <v>-0.31851723335415005</v>
      </c>
      <c r="CZ7" s="24">
        <f t="shared" si="35"/>
        <v>1.8004401636406966</v>
      </c>
      <c r="DA7" s="24">
        <f t="shared" si="36"/>
        <v>4.4520019084765137</v>
      </c>
      <c r="DB7" s="24">
        <f t="shared" si="37"/>
        <v>9.4220789387982418</v>
      </c>
      <c r="DC7" s="24">
        <f t="shared" si="38"/>
        <v>0.71104651950474318</v>
      </c>
      <c r="DF7" s="25">
        <v>6</v>
      </c>
      <c r="DG7" s="26">
        <f t="shared" si="60"/>
        <v>-0.65906350422975279</v>
      </c>
      <c r="DH7" s="26">
        <f t="shared" si="39"/>
        <v>0.41538307147878317</v>
      </c>
      <c r="DI7" s="26">
        <f t="shared" si="40"/>
        <v>-1.3111325919772086</v>
      </c>
      <c r="DJ7" s="26">
        <f t="shared" si="41"/>
        <v>-0.24643091493626942</v>
      </c>
      <c r="DK7" s="26">
        <f t="shared" si="42"/>
        <v>-1.498500335507722</v>
      </c>
      <c r="DL7" s="26">
        <f t="shared" si="43"/>
        <v>-0.4230509253200937</v>
      </c>
      <c r="DM7" s="26">
        <f t="shared" si="44"/>
        <v>-1.8300555225508242</v>
      </c>
      <c r="DN7" s="26">
        <f t="shared" si="45"/>
        <v>-0.76119350211728842</v>
      </c>
      <c r="DO7" s="26">
        <f t="shared" si="46"/>
        <v>-2.4564282417091992</v>
      </c>
      <c r="DP7" s="26">
        <f t="shared" si="47"/>
        <v>-1.3808515564086814</v>
      </c>
      <c r="DQ7" s="26">
        <f t="shared" si="48"/>
        <v>-1.354446706484919</v>
      </c>
      <c r="DR7" s="26">
        <f t="shared" si="49"/>
        <v>-0.2876604742109124</v>
      </c>
      <c r="DS7" s="47">
        <f t="shared" si="50"/>
        <v>-1.0702467398790589</v>
      </c>
      <c r="DT7" s="47">
        <f t="shared" si="51"/>
        <v>1.0702467398790589</v>
      </c>
      <c r="DX7">
        <v>6</v>
      </c>
      <c r="DY7" s="19">
        <f t="shared" si="52"/>
        <v>19.601952581136928</v>
      </c>
      <c r="EM7" s="13">
        <v>6</v>
      </c>
      <c r="EN7" s="16">
        <f t="shared" si="53"/>
        <v>-1.6135575616354034</v>
      </c>
      <c r="EO7" s="16">
        <f t="shared" si="28"/>
        <v>-10.179873642338684</v>
      </c>
      <c r="EP7" s="16">
        <f t="shared" si="54"/>
        <v>-4.9369476386517199</v>
      </c>
      <c r="EQ7" s="16">
        <f t="shared" si="55"/>
        <v>-0.31851723335415005</v>
      </c>
      <c r="ER7" s="16">
        <f t="shared" si="56"/>
        <v>1.8004401636406966</v>
      </c>
      <c r="ES7" s="16">
        <f t="shared" si="57"/>
        <v>4.4520019084765137</v>
      </c>
      <c r="ET7" s="16">
        <f t="shared" si="58"/>
        <v>9.4220789387982418</v>
      </c>
      <c r="EU7" s="16">
        <f t="shared" si="59"/>
        <v>0.71104651950474318</v>
      </c>
      <c r="EW7" s="20">
        <f>LARGE($EN$2:$EU$2,6)</f>
        <v>-2.1075866693265084</v>
      </c>
      <c r="EX7" s="39" t="str">
        <f>INDEX(EN1:EU1,MATCH(EW7,EN2:EU2,0))</f>
        <v>EUR</v>
      </c>
      <c r="FK7" s="20"/>
      <c r="FL7" s="20"/>
    </row>
    <row r="8" spans="1:170" ht="14.4" thickBot="1" x14ac:dyDescent="0.35">
      <c r="A8" s="37" t="s">
        <v>51</v>
      </c>
      <c r="B8" s="38">
        <v>6</v>
      </c>
      <c r="C8" s="34">
        <f>RTD("fxbluelabs.excelrtd", , "21422436","@bh,AUDUSD,h4,close,6")</f>
        <v>0.67364000000000002</v>
      </c>
      <c r="D8" s="34">
        <f>RTD("fxbluelabs.excelrtd", , "21422436","@bh,AUDNZD,h4,close,6")</f>
        <v>1.09619</v>
      </c>
      <c r="E8" s="35">
        <f>RTD("fxbluelabs.excelrtd", , "21422436","@bh,AUDJPY,h4,close,6")</f>
        <v>97.944000000000003</v>
      </c>
      <c r="F8" s="34">
        <f>RTD("fxbluelabs.excelrtd", , "21422436","@bh,AUDCHF,h4,close,6")</f>
        <v>0.57674000000000003</v>
      </c>
      <c r="G8" s="34">
        <f>RTD("fxbluelabs.excelrtd", , "21422436","@bh,AUDCAD,h4,close,6")</f>
        <v>0.91820999999999997</v>
      </c>
      <c r="H8" s="34">
        <f>RTD("fxbluelabs.excelrtd", , "21422436","@bh,EURUSD,h4,close,6")</f>
        <v>1.1114999999999999</v>
      </c>
      <c r="I8" s="34">
        <f>RTD("fxbluelabs.excelrtd", , "21422436","@bh,EURCAD,h4,close,6")</f>
        <v>1.5149999999999999</v>
      </c>
      <c r="J8" s="34">
        <f>RTD("fxbluelabs.excelrtd", , "21422436","@bh,EURGBP,h4,close,6")</f>
        <v>0.85335000000000005</v>
      </c>
      <c r="K8" s="34">
        <f>RTD("fxbluelabs.excelrtd", , "21422436","@bh,EURCHF,h4,close,6")</f>
        <v>0.95162000000000002</v>
      </c>
      <c r="L8" s="35">
        <f>RTD("fxbluelabs.excelrtd", , "21422436","@bh,EURJPY,h4,close,6")</f>
        <v>161.602</v>
      </c>
      <c r="M8" s="34">
        <f>RTD("fxbluelabs.excelrtd", , "21422436","@bh,EURAUD,h4,close,6")</f>
        <v>1.6499299999999999</v>
      </c>
      <c r="N8" s="34">
        <f>RTD("fxbluelabs.excelrtd", , "21422436","@bh,EURNZD,h4,close,6")</f>
        <v>1.8086800000000001</v>
      </c>
      <c r="O8" s="34">
        <f>RTD("fxbluelabs.excelrtd", , "21422436","@bh,GBPUSD,h4,close,6")</f>
        <v>1.3025199999999999</v>
      </c>
      <c r="P8" s="34">
        <f>RTD("fxbluelabs.excelrtd", , "21422436","@bh,GBPAUD,h4,close,6")</f>
        <v>1.9334800000000001</v>
      </c>
      <c r="Q8" s="34">
        <f>RTD("fxbluelabs.excelrtd", , "21422436","@bh,GBPNZD,h4,close,6")</f>
        <v>2.1194999999999999</v>
      </c>
      <c r="R8" s="34">
        <f>RTD("fxbluelabs.excelrtd", , "21422436","@bh,GBPCAD,h4,close,6")</f>
        <v>1.7753699999999999</v>
      </c>
      <c r="S8" s="34">
        <f>RTD("fxbluelabs.excelrtd", , "21422436","@bh,GBPCHF,h4,close,6")</f>
        <v>1.1151500000000001</v>
      </c>
      <c r="T8" s="35">
        <f>RTD("fxbluelabs.excelrtd", , "21422436","@bh,GBPJPY,h4,close,6")</f>
        <v>189.376</v>
      </c>
      <c r="U8" s="35">
        <f>RTD("fxbluelabs.excelrtd", , "21422436","@bh,NZDJPY,h4,close,6")</f>
        <v>89.34</v>
      </c>
      <c r="V8" s="34">
        <f>RTD("fxbluelabs.excelrtd", , "21422436","@bh,NZDCHF,h4,close,6")</f>
        <v>0.52607999999999999</v>
      </c>
      <c r="W8" s="34">
        <f>RTD("fxbluelabs.excelrtd", , "21422436","@bh,NZDUSD,h4,close,6")</f>
        <v>0.61446999999999996</v>
      </c>
      <c r="X8" s="34">
        <f>RTD("fxbluelabs.excelrtd", , "21422436","@bh,NZDCAD,h4,close,6")</f>
        <v>0.83753</v>
      </c>
      <c r="Y8" s="35">
        <f>RTD("fxbluelabs.excelrtd", , "21422436","@bh,CADJPY,h4,close,6")</f>
        <v>106.66800000000001</v>
      </c>
      <c r="Z8" s="34">
        <f>RTD("fxbluelabs.excelrtd", , "21422436","@bh,CADCHF,h4,close,6")</f>
        <v>0.62812000000000001</v>
      </c>
      <c r="AA8" s="35">
        <f>RTD("fxbluelabs.excelrtd", , "21422436","@bh,CHFJPY,h4,close,6")</f>
        <v>169.81100000000001</v>
      </c>
      <c r="AB8" s="34">
        <f>RTD("fxbluelabs.excelrtd", , "21422436","@bh,USDCAD,h4,close,6")</f>
        <v>1.3630899999999999</v>
      </c>
      <c r="AC8" s="34">
        <f>RTD("fxbluelabs.excelrtd", , "21422436","@bh,USDCHF,h4,close,6")</f>
        <v>0.85618000000000005</v>
      </c>
      <c r="AD8" s="35">
        <f>RTD("fxbluelabs.excelrtd", , "21422436","@bh,USDJPY,h4,close,6")</f>
        <v>145.39699999999999</v>
      </c>
      <c r="AH8" s="21">
        <v>7</v>
      </c>
      <c r="AI8" s="27">
        <f t="shared" si="29"/>
        <v>-7.7133024801228925E-2</v>
      </c>
      <c r="AJ8" s="27">
        <f t="shared" si="29"/>
        <v>-8.6588767158248384E-2</v>
      </c>
      <c r="AK8" s="27">
        <f t="shared" si="29"/>
        <v>-0.60684784152949911</v>
      </c>
      <c r="AL8" s="27">
        <f t="shared" si="29"/>
        <v>-0.41956593055578367</v>
      </c>
      <c r="AM8" s="27">
        <f t="shared" si="29"/>
        <v>-2.1781035252627342E-3</v>
      </c>
      <c r="AN8" s="27">
        <f t="shared" si="29"/>
        <v>0.1495711093490949</v>
      </c>
      <c r="AO8" s="27">
        <f t="shared" si="29"/>
        <v>0.22426419512969645</v>
      </c>
      <c r="AP8" s="27">
        <f t="shared" si="29"/>
        <v>0.16785613672645816</v>
      </c>
      <c r="AQ8" s="27">
        <f t="shared" si="29"/>
        <v>-0.19298135212803399</v>
      </c>
      <c r="AR8" s="27">
        <f t="shared" si="29"/>
        <v>-0.3815782173701307</v>
      </c>
      <c r="AS8" s="27">
        <f t="shared" si="29"/>
        <v>0.22475595755148517</v>
      </c>
      <c r="AT8" s="27">
        <f t="shared" si="29"/>
        <v>0.13952252292156164</v>
      </c>
      <c r="AU8" s="27">
        <f t="shared" si="29"/>
        <v>-1.5352493244918325E-2</v>
      </c>
      <c r="AV8" s="27">
        <f t="shared" si="29"/>
        <v>6.0031464767742911E-2</v>
      </c>
      <c r="AW8" s="27">
        <f t="shared" si="29"/>
        <v>-2.5471217524196947E-2</v>
      </c>
      <c r="AX8" s="27">
        <f t="shared" si="29"/>
        <v>6.0305472580730678E-2</v>
      </c>
      <c r="AY8" s="27">
        <f t="shared" si="0"/>
        <v>-0.35830444261766392</v>
      </c>
      <c r="AZ8" s="27">
        <f t="shared" si="0"/>
        <v>-0.54565029015570587</v>
      </c>
      <c r="BA8" s="27">
        <f t="shared" si="0"/>
        <v>-0.52554224379814973</v>
      </c>
      <c r="BB8" s="27">
        <f t="shared" si="0"/>
        <v>-0.33721062402909935</v>
      </c>
      <c r="BC8" s="27">
        <f t="shared" si="0"/>
        <v>6.5100987907375906E-3</v>
      </c>
      <c r="BD8" s="27">
        <f t="shared" si="0"/>
        <v>8.0061181081656232E-2</v>
      </c>
      <c r="BE8" s="27">
        <f t="shared" si="0"/>
        <v>-0.60475041232981419</v>
      </c>
      <c r="BF8" s="27">
        <f t="shared" si="0"/>
        <v>-0.41538510321209304</v>
      </c>
      <c r="BG8" s="27">
        <f t="shared" si="0"/>
        <v>-0.19102365166689508</v>
      </c>
      <c r="BH8" s="27">
        <f t="shared" si="0"/>
        <v>7.4886019073911098E-2</v>
      </c>
      <c r="BI8" s="27">
        <f t="shared" si="0"/>
        <v>-0.34337061911467381</v>
      </c>
      <c r="BJ8" s="27">
        <f t="shared" si="0"/>
        <v>-0.52951679881782365</v>
      </c>
      <c r="BN8">
        <v>7</v>
      </c>
      <c r="BO8" s="28">
        <f t="shared" si="30"/>
        <v>1.6771548634450737</v>
      </c>
      <c r="BP8" s="28">
        <f t="shared" si="1"/>
        <v>-0.63475243254292579</v>
      </c>
      <c r="BQ8" s="28">
        <f t="shared" si="2"/>
        <v>0.41234391110694313</v>
      </c>
      <c r="BR8" s="28">
        <f t="shared" si="3"/>
        <v>0.61238935073455947</v>
      </c>
      <c r="BS8" s="28">
        <f t="shared" si="4"/>
        <v>1.0985732553404544</v>
      </c>
      <c r="BT8" s="28">
        <f t="shared" si="5"/>
        <v>0.93529397334733977</v>
      </c>
      <c r="BU8" s="28">
        <f t="shared" si="6"/>
        <v>0.35663719689132056</v>
      </c>
      <c r="BV8" s="28">
        <f t="shared" si="7"/>
        <v>-0.49570575628042124</v>
      </c>
      <c r="BW8" s="28">
        <f t="shared" si="8"/>
        <v>-0.1308385566419934</v>
      </c>
      <c r="BX8" s="28">
        <f t="shared" si="9"/>
        <v>-0.33407079091490649</v>
      </c>
      <c r="BY8" s="28">
        <f t="shared" si="10"/>
        <v>-0.74058656727762828</v>
      </c>
      <c r="BZ8" s="28">
        <f t="shared" si="11"/>
        <v>-1.3753226624086379</v>
      </c>
      <c r="CA8" s="28">
        <f t="shared" si="12"/>
        <v>1.4332422204691799</v>
      </c>
      <c r="CB8" s="28">
        <f t="shared" si="13"/>
        <v>-0.24264248983551967</v>
      </c>
      <c r="CC8" s="28">
        <f t="shared" si="14"/>
        <v>-0.8772647185190694</v>
      </c>
      <c r="CD8" s="28">
        <f t="shared" si="15"/>
        <v>0.85531425548326612</v>
      </c>
      <c r="CE8" s="28">
        <f t="shared" si="16"/>
        <v>0.36650373143918802</v>
      </c>
      <c r="CF8" s="28">
        <f t="shared" si="17"/>
        <v>0.16520703543957449</v>
      </c>
      <c r="CG8" s="28">
        <f t="shared" si="18"/>
        <v>1.0397941084385849</v>
      </c>
      <c r="CH8" s="28">
        <f t="shared" si="19"/>
        <v>1.2429624292459425</v>
      </c>
      <c r="CI8" s="28">
        <f t="shared" si="20"/>
        <v>2.3115879728596123</v>
      </c>
      <c r="CJ8" s="28">
        <f t="shared" si="21"/>
        <v>1.7320104259798337</v>
      </c>
      <c r="CK8" s="28">
        <f t="shared" si="22"/>
        <v>-0.68543132112248173</v>
      </c>
      <c r="CL8" s="28">
        <f t="shared" si="23"/>
        <v>-0.48342661599216985</v>
      </c>
      <c r="CM8" s="28">
        <f t="shared" si="24"/>
        <v>-0.21138590122668222</v>
      </c>
      <c r="CN8" s="28">
        <f t="shared" si="25"/>
        <v>-0.58129901325704825</v>
      </c>
      <c r="CO8" s="28">
        <f t="shared" si="26"/>
        <v>-1.0600171723224519</v>
      </c>
      <c r="CP8" s="28">
        <f t="shared" si="27"/>
        <v>-1.2615974730069295</v>
      </c>
      <c r="CU8" s="21">
        <v>7</v>
      </c>
      <c r="CV8" s="29">
        <f t="shared" si="31"/>
        <v>-1.7845931632849268</v>
      </c>
      <c r="CW8" s="29">
        <f>CN8+CO8+CP8-CI8-CA8-BT8-BO8</f>
        <v>-9.2601926887076349</v>
      </c>
      <c r="CX8" s="29">
        <f t="shared" si="33"/>
        <v>-4.630094057552478</v>
      </c>
      <c r="CY8" s="29">
        <f t="shared" si="34"/>
        <v>-1.2423856836819269</v>
      </c>
      <c r="CZ8" s="29">
        <f t="shared" si="35"/>
        <v>2.1960657907570411</v>
      </c>
      <c r="DA8" s="29">
        <f t="shared" si="36"/>
        <v>4.1489380051972526</v>
      </c>
      <c r="DB8" s="29">
        <f t="shared" si="37"/>
        <v>9.2136947499946071</v>
      </c>
      <c r="DC8" s="29">
        <f t="shared" si="38"/>
        <v>0.87514043128589747</v>
      </c>
      <c r="DF8" s="30">
        <v>7</v>
      </c>
      <c r="DG8" s="31">
        <f t="shared" si="60"/>
        <v>-0.58129901325704825</v>
      </c>
      <c r="DH8" s="31">
        <f t="shared" si="39"/>
        <v>0.35663719689132056</v>
      </c>
      <c r="DI8" s="31">
        <f t="shared" si="40"/>
        <v>-1.0600171723224519</v>
      </c>
      <c r="DJ8" s="31">
        <f t="shared" si="41"/>
        <v>-0.1308385566419934</v>
      </c>
      <c r="DK8" s="31">
        <f t="shared" si="42"/>
        <v>-1.4332422204691799</v>
      </c>
      <c r="DL8" s="31">
        <f t="shared" si="43"/>
        <v>-0.49570575628042124</v>
      </c>
      <c r="DM8" s="31">
        <f t="shared" si="44"/>
        <v>-1.6771548634450737</v>
      </c>
      <c r="DN8" s="31">
        <f t="shared" si="45"/>
        <v>-0.74058656727762828</v>
      </c>
      <c r="DO8" s="31">
        <f t="shared" si="46"/>
        <v>-2.3115879728596123</v>
      </c>
      <c r="DP8" s="31">
        <f t="shared" si="47"/>
        <v>-1.3753226624086379</v>
      </c>
      <c r="DQ8" s="31">
        <f t="shared" si="48"/>
        <v>-1.2615974730069295</v>
      </c>
      <c r="DR8" s="31">
        <f t="shared" si="49"/>
        <v>-0.33407079091490649</v>
      </c>
      <c r="DS8" s="49">
        <f t="shared" si="50"/>
        <v>-0.93529397334733977</v>
      </c>
      <c r="DT8" s="49">
        <f t="shared" si="51"/>
        <v>0.93529397334733977</v>
      </c>
      <c r="DX8">
        <v>7</v>
      </c>
      <c r="DY8" s="19">
        <f t="shared" si="52"/>
        <v>18.473887438702242</v>
      </c>
      <c r="EM8" s="21">
        <v>7</v>
      </c>
      <c r="EN8" s="16">
        <f t="shared" si="53"/>
        <v>-1.7845931632849268</v>
      </c>
      <c r="EO8" s="16">
        <f t="shared" si="28"/>
        <v>-9.2601926887076349</v>
      </c>
      <c r="EP8" s="16">
        <f t="shared" si="54"/>
        <v>-4.630094057552478</v>
      </c>
      <c r="EQ8" s="16">
        <f t="shared" si="55"/>
        <v>-1.2423856836819269</v>
      </c>
      <c r="ER8" s="16">
        <f t="shared" si="56"/>
        <v>2.1960657907570411</v>
      </c>
      <c r="ES8" s="16">
        <f t="shared" si="57"/>
        <v>4.1489380051972526</v>
      </c>
      <c r="ET8" s="16">
        <f t="shared" si="58"/>
        <v>9.2136947499946071</v>
      </c>
      <c r="EU8" s="16">
        <f t="shared" si="59"/>
        <v>0.87514043128589747</v>
      </c>
      <c r="EW8" s="20">
        <f>LARGE($EN$2:$EU$2,7)</f>
        <v>-3.2531731805971296</v>
      </c>
      <c r="EX8" s="39" t="str">
        <f>INDEX(EN1:EU1,MATCH(EW8,EN2:EU2,0))</f>
        <v>CAD</v>
      </c>
      <c r="FK8" s="20"/>
      <c r="FL8" s="20"/>
    </row>
    <row r="9" spans="1:170" ht="14.4" thickBot="1" x14ac:dyDescent="0.35">
      <c r="A9" s="37" t="s">
        <v>51</v>
      </c>
      <c r="B9" s="38">
        <v>7</v>
      </c>
      <c r="C9" s="34">
        <f>RTD("fxbluelabs.excelrtd", , "21422436","@bh,AUDUSD,h4,close,7")</f>
        <v>0.67415999999999998</v>
      </c>
      <c r="D9" s="34">
        <f>RTD("fxbluelabs.excelrtd", , "21422436","@bh,AUDNZD,h4,close,7")</f>
        <v>1.09714</v>
      </c>
      <c r="E9" s="35">
        <f>RTD("fxbluelabs.excelrtd", , "21422436","@bh,AUDJPY,h4,close,7")</f>
        <v>98.542000000000002</v>
      </c>
      <c r="F9" s="34">
        <f>RTD("fxbluelabs.excelrtd", , "21422436","@bh,AUDCHF,h4,close,7")</f>
        <v>0.57916999999999996</v>
      </c>
      <c r="G9" s="34">
        <f>RTD("fxbluelabs.excelrtd", , "21422436","@bh,AUDCAD,h4,close,7")</f>
        <v>0.91822999999999999</v>
      </c>
      <c r="H9" s="34">
        <f>RTD("fxbluelabs.excelrtd", , "21422436","@bh,EURUSD,h4,close,7")</f>
        <v>1.1098399999999999</v>
      </c>
      <c r="I9" s="34">
        <f>RTD("fxbluelabs.excelrtd", , "21422436","@bh,EURCAD,h4,close,7")</f>
        <v>1.5116099999999999</v>
      </c>
      <c r="J9" s="34">
        <f>RTD("fxbluelabs.excelrtd", , "21422436","@bh,EURGBP,h4,close,7")</f>
        <v>0.85192000000000001</v>
      </c>
      <c r="K9" s="34">
        <f>RTD("fxbluelabs.excelrtd", , "21422436","@bh,EURCHF,h4,close,7")</f>
        <v>0.95345999999999997</v>
      </c>
      <c r="L9" s="35">
        <f>RTD("fxbluelabs.excelrtd", , "21422436","@bh,EURJPY,h4,close,7")</f>
        <v>162.221</v>
      </c>
      <c r="M9" s="34">
        <f>RTD("fxbluelabs.excelrtd", , "21422436","@bh,EURAUD,h4,close,7")</f>
        <v>1.6462300000000001</v>
      </c>
      <c r="N9" s="34">
        <f>RTD("fxbluelabs.excelrtd", , "21422436","@bh,EURNZD,h4,close,7")</f>
        <v>1.80616</v>
      </c>
      <c r="O9" s="34">
        <f>RTD("fxbluelabs.excelrtd", , "21422436","@bh,GBPUSD,h4,close,7")</f>
        <v>1.3027200000000001</v>
      </c>
      <c r="P9" s="34">
        <f>RTD("fxbluelabs.excelrtd", , "21422436","@bh,GBPAUD,h4,close,7")</f>
        <v>1.93232</v>
      </c>
      <c r="Q9" s="34">
        <f>RTD("fxbluelabs.excelrtd", , "21422436","@bh,GBPNZD,h4,close,7")</f>
        <v>2.1200399999999999</v>
      </c>
      <c r="R9" s="34">
        <f>RTD("fxbluelabs.excelrtd", , "21422436","@bh,GBPCAD,h4,close,7")</f>
        <v>1.7743</v>
      </c>
      <c r="S9" s="34">
        <f>RTD("fxbluelabs.excelrtd", , "21422436","@bh,GBPCHF,h4,close,7")</f>
        <v>1.1191599999999999</v>
      </c>
      <c r="T9" s="35">
        <f>RTD("fxbluelabs.excelrtd", , "21422436","@bh,GBPJPY,h4,close,7")</f>
        <v>190.41499999999999</v>
      </c>
      <c r="U9" s="35">
        <f>RTD("fxbluelabs.excelrtd", , "21422436","@bh,NZDJPY,h4,close,7")</f>
        <v>89.811999999999998</v>
      </c>
      <c r="V9" s="34">
        <f>RTD("fxbluelabs.excelrtd", , "21422436","@bh,NZDCHF,h4,close,7")</f>
        <v>0.52786</v>
      </c>
      <c r="W9" s="34">
        <f>RTD("fxbluelabs.excelrtd", , "21422436","@bh,NZDUSD,h4,close,7")</f>
        <v>0.61443000000000003</v>
      </c>
      <c r="X9" s="34">
        <f>RTD("fxbluelabs.excelrtd", , "21422436","@bh,NZDCAD,h4,close,7")</f>
        <v>0.83686000000000005</v>
      </c>
      <c r="Y9" s="35">
        <f>RTD("fxbluelabs.excelrtd", , "21422436","@bh,CADJPY,h4,close,7")</f>
        <v>107.31699999999999</v>
      </c>
      <c r="Z9" s="34">
        <f>RTD("fxbluelabs.excelrtd", , "21422436","@bh,CADCHF,h4,close,7")</f>
        <v>0.63073999999999997</v>
      </c>
      <c r="AA9" s="35">
        <f>RTD("fxbluelabs.excelrtd", , "21422436","@bh,CHFJPY,h4,close,7")</f>
        <v>170.136</v>
      </c>
      <c r="AB9" s="34">
        <f>RTD("fxbluelabs.excelrtd", , "21422436","@bh,USDCAD,h4,close,7")</f>
        <v>1.3620699999999999</v>
      </c>
      <c r="AC9" s="34">
        <f>RTD("fxbluelabs.excelrtd", , "21422436","@bh,USDCHF,h4,close,7")</f>
        <v>0.85912999999999995</v>
      </c>
      <c r="AD9" s="35">
        <f>RTD("fxbluelabs.excelrtd", , "21422436","@bh,USDJPY,h4,close,7")</f>
        <v>146.17099999999999</v>
      </c>
      <c r="AH9" s="21">
        <v>8</v>
      </c>
      <c r="AI9" s="22">
        <f t="shared" si="29"/>
        <v>0.19916173716595939</v>
      </c>
      <c r="AJ9" s="22">
        <f t="shared" si="29"/>
        <v>6.2017766265984528E-2</v>
      </c>
      <c r="AK9" s="22">
        <f t="shared" si="29"/>
        <v>-4.0575358584723421E-2</v>
      </c>
      <c r="AL9" s="22">
        <f t="shared" si="29"/>
        <v>8.4675468307180216E-2</v>
      </c>
      <c r="AM9" s="22">
        <f t="shared" si="29"/>
        <v>0.2303191721608463</v>
      </c>
      <c r="AN9" s="22">
        <f t="shared" si="29"/>
        <v>0.16787306630083332</v>
      </c>
      <c r="AO9" s="22">
        <f t="shared" si="29"/>
        <v>0.19686605154310619</v>
      </c>
      <c r="AP9" s="22">
        <f t="shared" si="29"/>
        <v>-3.5202177841398577E-2</v>
      </c>
      <c r="AQ9" s="22">
        <f t="shared" si="29"/>
        <v>5.876797145555724E-2</v>
      </c>
      <c r="AR9" s="22">
        <f t="shared" si="29"/>
        <v>-7.0225151692490412E-2</v>
      </c>
      <c r="AS9" s="22">
        <f t="shared" si="29"/>
        <v>-3.0363204654068665E-2</v>
      </c>
      <c r="AT9" s="22">
        <f t="shared" si="29"/>
        <v>2.9906624871234532E-2</v>
      </c>
      <c r="AU9" s="22">
        <f t="shared" si="29"/>
        <v>0.20229368736011602</v>
      </c>
      <c r="AV9" s="22">
        <f t="shared" si="29"/>
        <v>3.6227196273781598E-3</v>
      </c>
      <c r="AW9" s="22">
        <f t="shared" si="29"/>
        <v>6.41909113221453E-2</v>
      </c>
      <c r="AX9" s="22">
        <f t="shared" si="29"/>
        <v>0.23047982736609482</v>
      </c>
      <c r="AY9" s="22">
        <f t="shared" si="0"/>
        <v>8.8537521128256372E-2</v>
      </c>
      <c r="AZ9" s="22">
        <f t="shared" si="0"/>
        <v>-3.8847387513196184E-2</v>
      </c>
      <c r="BA9" s="22">
        <f t="shared" si="0"/>
        <v>-0.10455364491803472</v>
      </c>
      <c r="BB9" s="22">
        <f t="shared" si="0"/>
        <v>2.084320227379317E-2</v>
      </c>
      <c r="BC9" s="22">
        <f t="shared" si="0"/>
        <v>0.13526727509778314</v>
      </c>
      <c r="BD9" s="22">
        <f t="shared" si="0"/>
        <v>0.16277678037103863</v>
      </c>
      <c r="BE9" s="22">
        <f t="shared" si="0"/>
        <v>-0.26764555550393654</v>
      </c>
      <c r="BF9" s="22">
        <f t="shared" si="0"/>
        <v>-0.14248622633145652</v>
      </c>
      <c r="BG9" s="22">
        <f t="shared" si="0"/>
        <v>-0.1291413275728468</v>
      </c>
      <c r="BH9" s="22">
        <f t="shared" si="0"/>
        <v>2.7906498542239783E-2</v>
      </c>
      <c r="BI9" s="22">
        <f t="shared" si="0"/>
        <v>-0.11277758400186332</v>
      </c>
      <c r="BJ9" s="22">
        <f t="shared" si="0"/>
        <v>-0.2395544696359585</v>
      </c>
      <c r="BN9">
        <v>8</v>
      </c>
      <c r="BO9" s="23">
        <f t="shared" si="30"/>
        <v>1.7542878882463027</v>
      </c>
      <c r="BP9" s="23">
        <f t="shared" si="1"/>
        <v>-0.54816366538467753</v>
      </c>
      <c r="BQ9" s="23">
        <f t="shared" si="2"/>
        <v>1.019191752636442</v>
      </c>
      <c r="BR9" s="23">
        <f>AL9+SUM(AL10:AL44)</f>
        <v>1.031955281290343</v>
      </c>
      <c r="BS9" s="23">
        <f t="shared" si="4"/>
        <v>1.100751358865717</v>
      </c>
      <c r="BT9" s="23">
        <f t="shared" si="5"/>
        <v>0.78572286399824498</v>
      </c>
      <c r="BU9" s="23">
        <f t="shared" si="6"/>
        <v>0.13237300176162409</v>
      </c>
      <c r="BV9" s="23">
        <f t="shared" si="7"/>
        <v>-0.66356189300687929</v>
      </c>
      <c r="BW9" s="23">
        <f t="shared" si="8"/>
        <v>6.2142795486040493E-2</v>
      </c>
      <c r="BX9" s="23">
        <f t="shared" si="9"/>
        <v>4.7507426455224142E-2</v>
      </c>
      <c r="BY9" s="23">
        <f t="shared" si="10"/>
        <v>-0.96534252482911342</v>
      </c>
      <c r="BZ9" s="23">
        <f t="shared" si="11"/>
        <v>-1.5148451853301992</v>
      </c>
      <c r="CA9" s="23">
        <f t="shared" si="12"/>
        <v>1.448594713714098</v>
      </c>
      <c r="CB9" s="23">
        <f t="shared" si="13"/>
        <v>-0.30267395460326257</v>
      </c>
      <c r="CC9" s="23">
        <f t="shared" si="14"/>
        <v>-0.85179350099487272</v>
      </c>
      <c r="CD9" s="23">
        <f t="shared" si="15"/>
        <v>0.79500878290253552</v>
      </c>
      <c r="CE9" s="23">
        <f t="shared" si="16"/>
        <v>0.72480817405685194</v>
      </c>
      <c r="CF9" s="23">
        <f t="shared" si="17"/>
        <v>0.71085732559528048</v>
      </c>
      <c r="CG9" s="23">
        <f t="shared" si="18"/>
        <v>1.5653363522367347</v>
      </c>
      <c r="CH9" s="23">
        <f t="shared" si="19"/>
        <v>1.5801730532750415</v>
      </c>
      <c r="CI9" s="23">
        <f t="shared" si="20"/>
        <v>2.3050778740688744</v>
      </c>
      <c r="CJ9" s="23">
        <f t="shared" si="21"/>
        <v>1.6519492448981776</v>
      </c>
      <c r="CK9" s="23">
        <f t="shared" si="22"/>
        <v>-8.0680908792667538E-2</v>
      </c>
      <c r="CL9" s="23">
        <f t="shared" si="23"/>
        <v>-6.8041512780076766E-2</v>
      </c>
      <c r="CM9" s="23">
        <f t="shared" si="24"/>
        <v>-2.0362249559787132E-2</v>
      </c>
      <c r="CN9" s="23">
        <f t="shared" si="25"/>
        <v>-0.65618503233095948</v>
      </c>
      <c r="CO9" s="23">
        <f t="shared" si="26"/>
        <v>-0.71664655320777793</v>
      </c>
      <c r="CP9" s="23">
        <f t="shared" si="27"/>
        <v>-0.73208067418910616</v>
      </c>
      <c r="CU9" s="21">
        <v>8</v>
      </c>
      <c r="CV9" s="24">
        <f t="shared" si="31"/>
        <v>-2.1160035154650583</v>
      </c>
      <c r="CW9" s="24">
        <f t="shared" si="32"/>
        <v>-8.3985955997553638</v>
      </c>
      <c r="CX9" s="24">
        <f t="shared" si="33"/>
        <v>-3.1726197776698388</v>
      </c>
      <c r="CY9" s="24">
        <f t="shared" si="34"/>
        <v>-2.7027950004602861</v>
      </c>
      <c r="CZ9" s="24">
        <f t="shared" si="35"/>
        <v>3.1883634336775097</v>
      </c>
      <c r="DA9" s="24">
        <f t="shared" si="36"/>
        <v>5.6260390950865027</v>
      </c>
      <c r="DB9" s="24">
        <f t="shared" si="37"/>
        <v>10.017338876188578</v>
      </c>
      <c r="DC9" s="24">
        <f t="shared" si="38"/>
        <v>-2.5097690243821207</v>
      </c>
      <c r="DF9" s="25">
        <v>8</v>
      </c>
      <c r="DG9" s="26">
        <f t="shared" si="60"/>
        <v>-0.65618503233095948</v>
      </c>
      <c r="DH9" s="26">
        <f t="shared" si="39"/>
        <v>0.13237300176162409</v>
      </c>
      <c r="DI9" s="26">
        <f t="shared" si="40"/>
        <v>-0.71664655320777793</v>
      </c>
      <c r="DJ9" s="26">
        <f t="shared" si="41"/>
        <v>6.2142795486040493E-2</v>
      </c>
      <c r="DK9" s="26">
        <f t="shared" si="42"/>
        <v>-1.448594713714098</v>
      </c>
      <c r="DL9" s="26">
        <f t="shared" si="43"/>
        <v>-0.66356189300687929</v>
      </c>
      <c r="DM9" s="26">
        <f t="shared" si="44"/>
        <v>-1.7542878882463027</v>
      </c>
      <c r="DN9" s="26">
        <f t="shared" si="45"/>
        <v>-0.96534252482911342</v>
      </c>
      <c r="DO9" s="26">
        <f t="shared" si="46"/>
        <v>-2.3050778740688744</v>
      </c>
      <c r="DP9" s="26">
        <f t="shared" si="47"/>
        <v>-1.5148451853301992</v>
      </c>
      <c r="DQ9" s="26">
        <f t="shared" si="48"/>
        <v>-0.73208067418910616</v>
      </c>
      <c r="DR9" s="26">
        <f t="shared" si="49"/>
        <v>4.7507426455224142E-2</v>
      </c>
      <c r="DS9" s="47">
        <f t="shared" si="50"/>
        <v>-0.78572286399824498</v>
      </c>
      <c r="DT9" s="47">
        <f t="shared" si="51"/>
        <v>0.78572286399824498</v>
      </c>
      <c r="DX9">
        <v>8</v>
      </c>
      <c r="DY9" s="19">
        <f t="shared" si="52"/>
        <v>18.415934475943942</v>
      </c>
      <c r="EM9" s="21">
        <v>8</v>
      </c>
      <c r="EN9" s="16">
        <f t="shared" si="53"/>
        <v>-2.1160035154650583</v>
      </c>
      <c r="EO9" s="16">
        <f t="shared" si="28"/>
        <v>-8.3985955997553638</v>
      </c>
      <c r="EP9" s="16">
        <f t="shared" si="54"/>
        <v>-3.1726197776698388</v>
      </c>
      <c r="EQ9" s="16">
        <f t="shared" si="55"/>
        <v>-2.7027950004602861</v>
      </c>
      <c r="ER9" s="16">
        <f t="shared" si="56"/>
        <v>3.1883634336775097</v>
      </c>
      <c r="ES9" s="16">
        <f t="shared" si="57"/>
        <v>5.6260390950865027</v>
      </c>
      <c r="ET9" s="16">
        <f t="shared" si="58"/>
        <v>10.017338876188578</v>
      </c>
      <c r="EU9" s="16">
        <f t="shared" si="59"/>
        <v>-2.5097690243821207</v>
      </c>
      <c r="EW9" s="20">
        <f>LARGE($EN$2:$EU$2,8)</f>
        <v>-9.5463651807000094</v>
      </c>
      <c r="EX9" s="39" t="str">
        <f>INDEX(EN1:EU1,MATCH(EW9,EN2:EU2,0))</f>
        <v>USD</v>
      </c>
      <c r="FK9" s="20"/>
      <c r="FL9" s="20"/>
    </row>
    <row r="10" spans="1:170" ht="14.4" thickBot="1" x14ac:dyDescent="0.35">
      <c r="A10" s="37" t="s">
        <v>51</v>
      </c>
      <c r="B10" s="38">
        <v>8</v>
      </c>
      <c r="C10" s="34">
        <f>RTD("fxbluelabs.excelrtd", , "21422436","@bh,AUDUSD,h4,close,8")</f>
        <v>0.67281999999999997</v>
      </c>
      <c r="D10" s="34">
        <f>RTD("fxbluelabs.excelrtd", , "21422436","@bh,AUDNZD,h4,close,8")</f>
        <v>1.09646</v>
      </c>
      <c r="E10" s="35">
        <f>RTD("fxbluelabs.excelrtd", , "21422436","@bh,AUDJPY,h4,close,8")</f>
        <v>98.581999999999994</v>
      </c>
      <c r="F10" s="34">
        <f>RTD("fxbluelabs.excelrtd", , "21422436","@bh,AUDCHF,h4,close,8")</f>
        <v>0.57867999999999997</v>
      </c>
      <c r="G10" s="34">
        <f>RTD("fxbluelabs.excelrtd", , "21422436","@bh,AUDCAD,h4,close,8")</f>
        <v>0.91612000000000005</v>
      </c>
      <c r="H10" s="34">
        <f>RTD("fxbluelabs.excelrtd", , "21422436","@bh,EURUSD,h4,close,8")</f>
        <v>1.10798</v>
      </c>
      <c r="I10" s="34">
        <f>RTD("fxbluelabs.excelrtd", , "21422436","@bh,EURCAD,h4,close,8")</f>
        <v>1.50864</v>
      </c>
      <c r="J10" s="34">
        <f>RTD("fxbluelabs.excelrtd", , "21422436","@bh,EURGBP,h4,close,8")</f>
        <v>0.85221999999999998</v>
      </c>
      <c r="K10" s="34">
        <f>RTD("fxbluelabs.excelrtd", , "21422436","@bh,EURCHF,h4,close,8")</f>
        <v>0.95289999999999997</v>
      </c>
      <c r="L10" s="35">
        <f>RTD("fxbluelabs.excelrtd", , "21422436","@bh,EURJPY,h4,close,8")</f>
        <v>162.33500000000001</v>
      </c>
      <c r="M10" s="34">
        <f>RTD("fxbluelabs.excelrtd", , "21422436","@bh,EURAUD,h4,close,8")</f>
        <v>1.64673</v>
      </c>
      <c r="N10" s="34">
        <f>RTD("fxbluelabs.excelrtd", , "21422436","@bh,EURNZD,h4,close,8")</f>
        <v>1.80562</v>
      </c>
      <c r="O10" s="34">
        <f>RTD("fxbluelabs.excelrtd", , "21422436","@bh,GBPUSD,h4,close,8")</f>
        <v>1.30009</v>
      </c>
      <c r="P10" s="34">
        <f>RTD("fxbluelabs.excelrtd", , "21422436","@bh,GBPAUD,h4,close,8")</f>
        <v>1.93225</v>
      </c>
      <c r="Q10" s="34">
        <f>RTD("fxbluelabs.excelrtd", , "21422436","@bh,GBPNZD,h4,close,8")</f>
        <v>2.1186799999999999</v>
      </c>
      <c r="R10" s="34">
        <f>RTD("fxbluelabs.excelrtd", , "21422436","@bh,GBPCAD,h4,close,8")</f>
        <v>1.7702199999999999</v>
      </c>
      <c r="S10" s="34">
        <f>RTD("fxbluelabs.excelrtd", , "21422436","@bh,GBPCHF,h4,close,8")</f>
        <v>1.1181700000000001</v>
      </c>
      <c r="T10" s="35">
        <f>RTD("fxbluelabs.excelrtd", , "21422436","@bh,GBPJPY,h4,close,8")</f>
        <v>190.489</v>
      </c>
      <c r="U10" s="35">
        <f>RTD("fxbluelabs.excelrtd", , "21422436","@bh,NZDJPY,h4,close,8")</f>
        <v>89.906000000000006</v>
      </c>
      <c r="V10" s="34">
        <f>RTD("fxbluelabs.excelrtd", , "21422436","@bh,NZDCHF,h4,close,8")</f>
        <v>0.52775000000000005</v>
      </c>
      <c r="W10" s="34">
        <f>RTD("fxbluelabs.excelrtd", , "21422436","@bh,NZDUSD,h4,close,8")</f>
        <v>0.61360000000000003</v>
      </c>
      <c r="X10" s="34">
        <f>RTD("fxbluelabs.excelrtd", , "21422436","@bh,NZDCAD,h4,close,8")</f>
        <v>0.83550000000000002</v>
      </c>
      <c r="Y10" s="35">
        <f>RTD("fxbluelabs.excelrtd", , "21422436","@bh,CADJPY,h4,close,8")</f>
        <v>107.605</v>
      </c>
      <c r="Z10" s="34">
        <f>RTD("fxbluelabs.excelrtd", , "21422436","@bh,CADCHF,h4,close,8")</f>
        <v>0.63163999999999998</v>
      </c>
      <c r="AA10" s="35">
        <f>RTD("fxbluelabs.excelrtd", , "21422436","@bh,CHFJPY,h4,close,8")</f>
        <v>170.35599999999999</v>
      </c>
      <c r="AB10" s="34">
        <f>RTD("fxbluelabs.excelrtd", , "21422436","@bh,USDCAD,h4,close,8")</f>
        <v>1.3616900000000001</v>
      </c>
      <c r="AC10" s="34">
        <f>RTD("fxbluelabs.excelrtd", , "21422436","@bh,USDCHF,h4,close,8")</f>
        <v>0.86009999999999998</v>
      </c>
      <c r="AD10" s="35">
        <f>RTD("fxbluelabs.excelrtd", , "21422436","@bh,USDJPY,h4,close,8")</f>
        <v>146.52199999999999</v>
      </c>
      <c r="AH10" s="13">
        <v>9</v>
      </c>
      <c r="AI10" s="27">
        <f t="shared" si="29"/>
        <v>0.14884939418296581</v>
      </c>
      <c r="AJ10" s="27">
        <f t="shared" si="29"/>
        <v>-0.1338883171058339</v>
      </c>
      <c r="AK10" s="27">
        <f t="shared" si="29"/>
        <v>-0.12967277884712808</v>
      </c>
      <c r="AL10" s="27">
        <f t="shared" si="29"/>
        <v>-7.7702761038119489E-2</v>
      </c>
      <c r="AM10" s="27">
        <f t="shared" si="29"/>
        <v>0</v>
      </c>
      <c r="AN10" s="27">
        <f t="shared" si="29"/>
        <v>2.3471635431329844E-2</v>
      </c>
      <c r="AO10" s="27">
        <f t="shared" si="29"/>
        <v>-0.12379924661207395</v>
      </c>
      <c r="AP10" s="27">
        <f t="shared" si="29"/>
        <v>-0.13710027068515032</v>
      </c>
      <c r="AQ10" s="27">
        <f t="shared" si="29"/>
        <v>-0.20317540111432833</v>
      </c>
      <c r="AR10" s="27">
        <f t="shared" si="29"/>
        <v>-0.2574437494623682</v>
      </c>
      <c r="AS10" s="27">
        <f t="shared" si="29"/>
        <v>-0.12675731735422455</v>
      </c>
      <c r="AT10" s="27">
        <f t="shared" si="29"/>
        <v>-0.25796971755906245</v>
      </c>
      <c r="AU10" s="27">
        <f t="shared" si="29"/>
        <v>0.16256028598283923</v>
      </c>
      <c r="AV10" s="27">
        <f t="shared" si="29"/>
        <v>1.138698674451789E-2</v>
      </c>
      <c r="AW10" s="27">
        <f t="shared" si="29"/>
        <v>-0.12021327248814481</v>
      </c>
      <c r="AX10" s="27">
        <f t="shared" si="29"/>
        <v>1.4124533184170434E-2</v>
      </c>
      <c r="AY10" s="27">
        <f t="shared" si="0"/>
        <v>-6.6135792869843224E-2</v>
      </c>
      <c r="AZ10" s="27">
        <f t="shared" si="0"/>
        <v>-0.11640649988726838</v>
      </c>
      <c r="BA10" s="27">
        <f t="shared" si="0"/>
        <v>7.7865159790487127E-3</v>
      </c>
      <c r="BB10" s="27">
        <f t="shared" si="0"/>
        <v>5.8774457758234581E-2</v>
      </c>
      <c r="BC10" s="27">
        <f t="shared" si="0"/>
        <v>0.28601781482389954</v>
      </c>
      <c r="BD10" s="27">
        <f t="shared" si="0"/>
        <v>0.14023228219050068</v>
      </c>
      <c r="BE10" s="27">
        <f t="shared" si="0"/>
        <v>-0.13271708059546411</v>
      </c>
      <c r="BF10" s="27">
        <f t="shared" si="0"/>
        <v>-8.2257656289558959E-2</v>
      </c>
      <c r="BG10" s="27">
        <f t="shared" si="0"/>
        <v>-5.1043457343521004E-2</v>
      </c>
      <c r="BH10" s="27">
        <f t="shared" si="0"/>
        <v>-0.14592866361609294</v>
      </c>
      <c r="BI10" s="27">
        <f t="shared" si="0"/>
        <v>-0.22504756159807582</v>
      </c>
      <c r="BJ10" s="27">
        <f t="shared" si="0"/>
        <v>-0.27768325052747256</v>
      </c>
      <c r="BN10">
        <v>9</v>
      </c>
      <c r="BO10" s="28">
        <f t="shared" si="30"/>
        <v>1.5551261510803434</v>
      </c>
      <c r="BP10" s="28">
        <f t="shared" si="1"/>
        <v>-0.61018143165066197</v>
      </c>
      <c r="BQ10" s="28">
        <f t="shared" si="2"/>
        <v>1.0597671112211657</v>
      </c>
      <c r="BR10" s="28">
        <f t="shared" si="3"/>
        <v>0.94727981298316288</v>
      </c>
      <c r="BS10" s="28">
        <f t="shared" si="4"/>
        <v>0.87043218670487066</v>
      </c>
      <c r="BT10" s="28">
        <f t="shared" si="5"/>
        <v>0.61784979769741166</v>
      </c>
      <c r="BU10" s="28">
        <f t="shared" si="6"/>
        <v>-6.4493049781482029E-2</v>
      </c>
      <c r="BV10" s="28">
        <f t="shared" si="7"/>
        <v>-0.62835971516548073</v>
      </c>
      <c r="BW10" s="28">
        <f t="shared" si="8"/>
        <v>3.3748240304833366E-3</v>
      </c>
      <c r="BX10" s="28">
        <f t="shared" si="9"/>
        <v>0.11773257814771459</v>
      </c>
      <c r="BY10" s="28">
        <f t="shared" si="10"/>
        <v>-0.93497932017504481</v>
      </c>
      <c r="BZ10" s="28">
        <f t="shared" si="11"/>
        <v>-1.5447518102014337</v>
      </c>
      <c r="CA10" s="28">
        <f t="shared" si="12"/>
        <v>1.2463010263539815</v>
      </c>
      <c r="CB10" s="28">
        <f t="shared" si="13"/>
        <v>-0.30629667423064072</v>
      </c>
      <c r="CC10" s="28">
        <f t="shared" si="14"/>
        <v>-0.91598441231701777</v>
      </c>
      <c r="CD10" s="28">
        <f t="shared" si="15"/>
        <v>0.56452895553644056</v>
      </c>
      <c r="CE10" s="28">
        <f t="shared" si="16"/>
        <v>0.63627065292859553</v>
      </c>
      <c r="CF10" s="28">
        <f t="shared" si="17"/>
        <v>0.74970471310847653</v>
      </c>
      <c r="CG10" s="28">
        <f t="shared" si="18"/>
        <v>1.6698899971547694</v>
      </c>
      <c r="CH10" s="28">
        <f t="shared" si="19"/>
        <v>1.5593298510012483</v>
      </c>
      <c r="CI10" s="28">
        <f t="shared" si="20"/>
        <v>2.1698105989710914</v>
      </c>
      <c r="CJ10" s="28">
        <f t="shared" si="21"/>
        <v>1.4891724645271387</v>
      </c>
      <c r="CK10" s="28">
        <f t="shared" si="22"/>
        <v>0.18696464671126906</v>
      </c>
      <c r="CL10" s="28">
        <f t="shared" si="23"/>
        <v>7.4444713551379646E-2</v>
      </c>
      <c r="CM10" s="28">
        <f t="shared" si="24"/>
        <v>0.10877907801305972</v>
      </c>
      <c r="CN10" s="28">
        <f t="shared" si="25"/>
        <v>-0.68409153087319918</v>
      </c>
      <c r="CO10" s="28">
        <f t="shared" si="26"/>
        <v>-0.6038689692059146</v>
      </c>
      <c r="CP10" s="28">
        <f t="shared" si="27"/>
        <v>-0.49252620455314755</v>
      </c>
      <c r="CU10" s="21">
        <v>9</v>
      </c>
      <c r="CV10" s="29">
        <f t="shared" si="31"/>
        <v>-2.4336266954478316</v>
      </c>
      <c r="CW10" s="29">
        <f t="shared" si="32"/>
        <v>-7.3695742787350893</v>
      </c>
      <c r="CX10" s="29">
        <f t="shared" si="33"/>
        <v>-1.9141396658511201</v>
      </c>
      <c r="CY10" s="29">
        <f t="shared" si="34"/>
        <v>-2.433607093724516</v>
      </c>
      <c r="CZ10" s="29">
        <f t="shared" si="35"/>
        <v>2.6028839765453164</v>
      </c>
      <c r="DA10" s="29">
        <f t="shared" si="36"/>
        <v>5.0636998247445666</v>
      </c>
      <c r="DB10" s="29">
        <f t="shared" si="37"/>
        <v>9.9591205658233619</v>
      </c>
      <c r="DC10" s="29">
        <f t="shared" si="38"/>
        <v>-3.4003119198033076</v>
      </c>
      <c r="DF10" s="30">
        <v>9</v>
      </c>
      <c r="DG10" s="31">
        <f t="shared" si="60"/>
        <v>-0.68409153087319918</v>
      </c>
      <c r="DH10" s="31">
        <f t="shared" si="39"/>
        <v>-6.4493049781482029E-2</v>
      </c>
      <c r="DI10" s="31">
        <f t="shared" si="40"/>
        <v>-0.6038689692059146</v>
      </c>
      <c r="DJ10" s="31">
        <f t="shared" si="41"/>
        <v>3.3748240304833366E-3</v>
      </c>
      <c r="DK10" s="31">
        <f t="shared" si="42"/>
        <v>-1.2463010263539815</v>
      </c>
      <c r="DL10" s="31">
        <f t="shared" si="43"/>
        <v>-0.62835971516548073</v>
      </c>
      <c r="DM10" s="31">
        <f t="shared" si="44"/>
        <v>-1.5551261510803434</v>
      </c>
      <c r="DN10" s="31">
        <f t="shared" si="45"/>
        <v>-0.93497932017504481</v>
      </c>
      <c r="DO10" s="31">
        <f t="shared" si="46"/>
        <v>-2.1698105989710914</v>
      </c>
      <c r="DP10" s="31">
        <f t="shared" si="47"/>
        <v>-1.5447518102014337</v>
      </c>
      <c r="DQ10" s="31">
        <f t="shared" si="48"/>
        <v>-0.49252620455314755</v>
      </c>
      <c r="DR10" s="31">
        <f t="shared" si="49"/>
        <v>0.11773257814771459</v>
      </c>
      <c r="DS10" s="49">
        <f t="shared" si="50"/>
        <v>-0.61784979769741166</v>
      </c>
      <c r="DT10" s="49">
        <f t="shared" si="51"/>
        <v>0.61784979769741166</v>
      </c>
      <c r="DX10">
        <v>9</v>
      </c>
      <c r="DY10" s="19">
        <f t="shared" si="52"/>
        <v>17.328694844558452</v>
      </c>
      <c r="EM10" s="21">
        <v>9</v>
      </c>
      <c r="EN10" s="16">
        <f t="shared" si="53"/>
        <v>-2.4336266954478316</v>
      </c>
      <c r="EO10" s="16">
        <f t="shared" si="28"/>
        <v>-7.3695742787350893</v>
      </c>
      <c r="EP10" s="16">
        <f t="shared" si="54"/>
        <v>-1.9141396658511201</v>
      </c>
      <c r="EQ10" s="16">
        <f t="shared" si="55"/>
        <v>-2.433607093724516</v>
      </c>
      <c r="ER10" s="16">
        <f t="shared" si="56"/>
        <v>2.6028839765453164</v>
      </c>
      <c r="ES10" s="16">
        <f t="shared" si="57"/>
        <v>5.0636998247445666</v>
      </c>
      <c r="ET10" s="16">
        <f t="shared" si="58"/>
        <v>9.9591205658233619</v>
      </c>
      <c r="EU10" s="16">
        <f t="shared" si="59"/>
        <v>-3.4003119198033076</v>
      </c>
      <c r="FK10" s="20"/>
      <c r="FL10" s="20"/>
      <c r="FN10" s="20"/>
    </row>
    <row r="11" spans="1:170" ht="14.4" thickBot="1" x14ac:dyDescent="0.35">
      <c r="A11" s="37" t="s">
        <v>51</v>
      </c>
      <c r="B11" s="38">
        <v>9</v>
      </c>
      <c r="C11" s="34">
        <f>RTD("fxbluelabs.excelrtd", , "21422436","@bh,AUDUSD,h4,close,9")</f>
        <v>0.67181999999999997</v>
      </c>
      <c r="D11" s="34">
        <f>RTD("fxbluelabs.excelrtd", , "21422436","@bh,AUDNZD,h4,close,9")</f>
        <v>1.0979300000000001</v>
      </c>
      <c r="E11" s="35">
        <f>RTD("fxbluelabs.excelrtd", , "21422436","@bh,AUDJPY,h4,close,9")</f>
        <v>98.71</v>
      </c>
      <c r="F11" s="34">
        <f>RTD("fxbluelabs.excelrtd", , "21422436","@bh,AUDCHF,h4,close,9")</f>
        <v>0.57913000000000003</v>
      </c>
      <c r="G11" s="34">
        <f>RTD("fxbluelabs.excelrtd", , "21422436","@bh,AUDCAD,h4,close,9")</f>
        <v>0.91612000000000005</v>
      </c>
      <c r="H11" s="34">
        <f>RTD("fxbluelabs.excelrtd", , "21422436","@bh,EURUSD,h4,close,9")</f>
        <v>1.10772</v>
      </c>
      <c r="I11" s="34">
        <f>RTD("fxbluelabs.excelrtd", , "21422436","@bh,EURCAD,h4,close,9")</f>
        <v>1.51051</v>
      </c>
      <c r="J11" s="34">
        <f>RTD("fxbluelabs.excelrtd", , "21422436","@bh,EURGBP,h4,close,9")</f>
        <v>0.85338999999999998</v>
      </c>
      <c r="K11" s="34">
        <f>RTD("fxbluelabs.excelrtd", , "21422436","@bh,EURCHF,h4,close,9")</f>
        <v>0.95484000000000002</v>
      </c>
      <c r="L11" s="35">
        <f>RTD("fxbluelabs.excelrtd", , "21422436","@bh,EURJPY,h4,close,9")</f>
        <v>162.75399999999999</v>
      </c>
      <c r="M11" s="34">
        <f>RTD("fxbluelabs.excelrtd", , "21422436","@bh,EURAUD,h4,close,9")</f>
        <v>1.64882</v>
      </c>
      <c r="N11" s="34">
        <f>RTD("fxbluelabs.excelrtd", , "21422436","@bh,EURNZD,h4,close,9")</f>
        <v>1.81029</v>
      </c>
      <c r="O11" s="34">
        <f>RTD("fxbluelabs.excelrtd", , "21422436","@bh,GBPUSD,h4,close,9")</f>
        <v>1.2979799999999999</v>
      </c>
      <c r="P11" s="34">
        <f>RTD("fxbluelabs.excelrtd", , "21422436","@bh,GBPAUD,h4,close,9")</f>
        <v>1.9320299999999999</v>
      </c>
      <c r="Q11" s="34">
        <f>RTD("fxbluelabs.excelrtd", , "21422436","@bh,GBPNZD,h4,close,9")</f>
        <v>2.1212300000000002</v>
      </c>
      <c r="R11" s="34">
        <f>RTD("fxbluelabs.excelrtd", , "21422436","@bh,GBPCAD,h4,close,9")</f>
        <v>1.76997</v>
      </c>
      <c r="S11" s="34">
        <f>RTD("fxbluelabs.excelrtd", , "21422436","@bh,GBPCHF,h4,close,9")</f>
        <v>1.1189100000000001</v>
      </c>
      <c r="T11" s="35">
        <f>RTD("fxbluelabs.excelrtd", , "21422436","@bh,GBPJPY,h4,close,9")</f>
        <v>190.71100000000001</v>
      </c>
      <c r="U11" s="35">
        <f>RTD("fxbluelabs.excelrtd", , "21422436","@bh,NZDJPY,h4,close,9")</f>
        <v>89.899000000000001</v>
      </c>
      <c r="V11" s="34">
        <f>RTD("fxbluelabs.excelrtd", , "21422436","@bh,NZDCHF,h4,close,9")</f>
        <v>0.52744000000000002</v>
      </c>
      <c r="W11" s="34">
        <f>RTD("fxbluelabs.excelrtd", , "21422436","@bh,NZDUSD,h4,close,9")</f>
        <v>0.61185</v>
      </c>
      <c r="X11" s="34">
        <f>RTD("fxbluelabs.excelrtd", , "21422436","@bh,NZDCAD,h4,close,9")</f>
        <v>0.83433000000000002</v>
      </c>
      <c r="Y11" s="35">
        <f>RTD("fxbluelabs.excelrtd", , "21422436","@bh,CADJPY,h4,close,9")</f>
        <v>107.748</v>
      </c>
      <c r="Z11" s="34">
        <f>RTD("fxbluelabs.excelrtd", , "21422436","@bh,CADCHF,h4,close,9")</f>
        <v>0.63216000000000006</v>
      </c>
      <c r="AA11" s="35">
        <f>RTD("fxbluelabs.excelrtd", , "21422436","@bh,CHFJPY,h4,close,9")</f>
        <v>170.44300000000001</v>
      </c>
      <c r="AB11" s="34">
        <f>RTD("fxbluelabs.excelrtd", , "21422436","@bh,USDCAD,h4,close,9")</f>
        <v>1.36368</v>
      </c>
      <c r="AC11" s="34">
        <f>RTD("fxbluelabs.excelrtd", , "21422436","@bh,USDCHF,h4,close,9")</f>
        <v>0.86204000000000003</v>
      </c>
      <c r="AD11" s="35">
        <f>RTD("fxbluelabs.excelrtd", , "21422436","@bh,USDJPY,h4,close,9")</f>
        <v>146.93</v>
      </c>
      <c r="AH11" s="21">
        <v>10</v>
      </c>
      <c r="AI11" s="22">
        <f t="shared" si="29"/>
        <v>-0.12190770694577231</v>
      </c>
      <c r="AJ11" s="22">
        <f t="shared" si="29"/>
        <v>-0.1500572946033876</v>
      </c>
      <c r="AK11" s="22">
        <f t="shared" si="29"/>
        <v>0.33849375362127165</v>
      </c>
      <c r="AL11" s="22">
        <f t="shared" si="29"/>
        <v>-0.10694264769296316</v>
      </c>
      <c r="AM11" s="22">
        <f t="shared" si="29"/>
        <v>-0.10685857594591439</v>
      </c>
      <c r="AN11" s="22">
        <f t="shared" si="29"/>
        <v>-5.3234203426827192E-2</v>
      </c>
      <c r="AO11" s="22">
        <f t="shared" si="29"/>
        <v>-4.0367409603472883E-2</v>
      </c>
      <c r="AP11" s="22">
        <f t="shared" si="29"/>
        <v>-1.1716598905668372E-2</v>
      </c>
      <c r="AQ11" s="22">
        <f t="shared" si="29"/>
        <v>-4.1874293371294752E-2</v>
      </c>
      <c r="AR11" s="22">
        <f t="shared" si="29"/>
        <v>0.40469345704449</v>
      </c>
      <c r="AS11" s="22">
        <f t="shared" si="29"/>
        <v>6.7366223425235294E-2</v>
      </c>
      <c r="AT11" s="22">
        <f t="shared" si="29"/>
        <v>-8.3342532288338794E-2</v>
      </c>
      <c r="AU11" s="22">
        <f t="shared" si="29"/>
        <v>-4.1585805378429673E-2</v>
      </c>
      <c r="AV11" s="22">
        <f t="shared" si="29"/>
        <v>7.9772492994000216E-2</v>
      </c>
      <c r="AW11" s="22">
        <f t="shared" si="29"/>
        <v>-7.0663720774644584E-2</v>
      </c>
      <c r="AX11" s="22">
        <f t="shared" si="29"/>
        <v>-2.7676423076481788E-2</v>
      </c>
      <c r="AY11" s="22">
        <f t="shared" si="0"/>
        <v>-2.5911365260891838E-2</v>
      </c>
      <c r="AZ11" s="22">
        <f t="shared" si="0"/>
        <v>0.41754862624922667</v>
      </c>
      <c r="BA11" s="22">
        <f t="shared" si="0"/>
        <v>0.48847555386644342</v>
      </c>
      <c r="BB11" s="22">
        <f t="shared" si="0"/>
        <v>4.552352048558763E-2</v>
      </c>
      <c r="BC11" s="22">
        <f t="shared" si="0"/>
        <v>2.9427632546954723E-2</v>
      </c>
      <c r="BD11" s="22">
        <f t="shared" si="0"/>
        <v>4.3167020396420369E-2</v>
      </c>
      <c r="BE11" s="22">
        <f t="shared" si="0"/>
        <v>0.44654093913432508</v>
      </c>
      <c r="BF11" s="22">
        <f t="shared" si="0"/>
        <v>1.5819030293546645E-3</v>
      </c>
      <c r="BG11" s="22">
        <f t="shared" si="0"/>
        <v>0.44552617466276156</v>
      </c>
      <c r="BH11" s="22">
        <f t="shared" si="0"/>
        <v>1.3934829004973446E-2</v>
      </c>
      <c r="BI11" s="22">
        <f t="shared" si="0"/>
        <v>1.5082781264873885E-2</v>
      </c>
      <c r="BJ11" s="22">
        <f t="shared" si="0"/>
        <v>0.46014891594932333</v>
      </c>
      <c r="BN11">
        <v>10</v>
      </c>
      <c r="BO11" s="23">
        <f t="shared" si="30"/>
        <v>1.4062767568973775</v>
      </c>
      <c r="BP11" s="23">
        <f t="shared" si="1"/>
        <v>-0.47629311454482814</v>
      </c>
      <c r="BQ11" s="23">
        <f t="shared" si="2"/>
        <v>1.1894398900682936</v>
      </c>
      <c r="BR11" s="23">
        <f t="shared" si="3"/>
        <v>1.0249825740212826</v>
      </c>
      <c r="BS11" s="23">
        <f t="shared" si="4"/>
        <v>0.87043218670487077</v>
      </c>
      <c r="BT11" s="23">
        <f t="shared" si="5"/>
        <v>0.59437816226608187</v>
      </c>
      <c r="BU11" s="23">
        <f t="shared" si="6"/>
        <v>5.930619683059183E-2</v>
      </c>
      <c r="BV11" s="23">
        <f t="shared" si="7"/>
        <v>-0.49125944448033043</v>
      </c>
      <c r="BW11" s="23">
        <f t="shared" si="8"/>
        <v>0.20655022514481169</v>
      </c>
      <c r="BX11" s="23">
        <f t="shared" si="9"/>
        <v>0.37517632761008279</v>
      </c>
      <c r="BY11" s="23">
        <f t="shared" si="10"/>
        <v>-0.80822200282082024</v>
      </c>
      <c r="BZ11" s="23">
        <f t="shared" si="11"/>
        <v>-1.2867820926423712</v>
      </c>
      <c r="CA11" s="23">
        <f t="shared" si="12"/>
        <v>1.0837407403711425</v>
      </c>
      <c r="CB11" s="23">
        <f t="shared" si="13"/>
        <v>-0.31768366097515854</v>
      </c>
      <c r="CC11" s="23">
        <f t="shared" si="14"/>
        <v>-0.79577113982887293</v>
      </c>
      <c r="CD11" s="23">
        <f t="shared" si="15"/>
        <v>0.55040442235227027</v>
      </c>
      <c r="CE11" s="23">
        <f t="shared" si="16"/>
        <v>0.70240644579843869</v>
      </c>
      <c r="CF11" s="23">
        <f t="shared" si="17"/>
        <v>0.86611121299574489</v>
      </c>
      <c r="CG11" s="23">
        <f t="shared" si="18"/>
        <v>1.6621034811757207</v>
      </c>
      <c r="CH11" s="23">
        <f t="shared" si="19"/>
        <v>1.5005553932430138</v>
      </c>
      <c r="CI11" s="23">
        <f t="shared" si="20"/>
        <v>1.8837927841471918</v>
      </c>
      <c r="CJ11" s="23">
        <f t="shared" si="21"/>
        <v>1.3489401823366378</v>
      </c>
      <c r="CK11" s="23">
        <f t="shared" si="22"/>
        <v>0.31968172730673344</v>
      </c>
      <c r="CL11" s="23">
        <f t="shared" si="23"/>
        <v>0.15670236984093869</v>
      </c>
      <c r="CM11" s="23">
        <f t="shared" si="24"/>
        <v>0.15982253535658053</v>
      </c>
      <c r="CN11" s="23">
        <f t="shared" si="25"/>
        <v>-0.53816286725710627</v>
      </c>
      <c r="CO11" s="23">
        <f t="shared" si="26"/>
        <v>-0.37882140760783883</v>
      </c>
      <c r="CP11" s="23">
        <f t="shared" si="27"/>
        <v>-0.21484295402567494</v>
      </c>
      <c r="CU11" s="21">
        <v>10</v>
      </c>
      <c r="CV11" s="24">
        <f t="shared" si="31"/>
        <v>-1.3508526280919537</v>
      </c>
      <c r="CW11" s="24">
        <f t="shared" si="32"/>
        <v>-6.1000156725724146</v>
      </c>
      <c r="CX11" s="24">
        <f t="shared" si="33"/>
        <v>-1.8145360238195922</v>
      </c>
      <c r="CY11" s="24">
        <f t="shared" si="34"/>
        <v>-2.8958506952431273</v>
      </c>
      <c r="CZ11" s="24">
        <f t="shared" si="35"/>
        <v>2.5804674651938955</v>
      </c>
      <c r="DA11" s="24">
        <f t="shared" si="36"/>
        <v>5.1407439569429743</v>
      </c>
      <c r="DB11" s="24">
        <f t="shared" si="37"/>
        <v>8.9542381879186372</v>
      </c>
      <c r="DC11" s="24">
        <f t="shared" si="38"/>
        <v>-4.3574922204874804</v>
      </c>
      <c r="DF11" s="17">
        <v>10</v>
      </c>
      <c r="DG11" s="26">
        <f t="shared" si="60"/>
        <v>-0.53816286725710627</v>
      </c>
      <c r="DH11" s="26">
        <f t="shared" si="39"/>
        <v>5.930619683059183E-2</v>
      </c>
      <c r="DI11" s="26">
        <f t="shared" si="40"/>
        <v>-0.37882140760783883</v>
      </c>
      <c r="DJ11" s="26">
        <f t="shared" si="41"/>
        <v>0.20655022514481169</v>
      </c>
      <c r="DK11" s="26">
        <f t="shared" si="42"/>
        <v>-1.0837407403711425</v>
      </c>
      <c r="DL11" s="26">
        <f t="shared" si="43"/>
        <v>-0.49125944448033043</v>
      </c>
      <c r="DM11" s="26">
        <f t="shared" si="44"/>
        <v>-1.4062767568973775</v>
      </c>
      <c r="DN11" s="26">
        <f t="shared" si="45"/>
        <v>-0.80822200282082024</v>
      </c>
      <c r="DO11" s="26">
        <f t="shared" si="46"/>
        <v>-1.8837927841471918</v>
      </c>
      <c r="DP11" s="26">
        <f t="shared" si="47"/>
        <v>-1.2867820926423712</v>
      </c>
      <c r="DQ11" s="26">
        <f t="shared" si="48"/>
        <v>-0.21484295402567494</v>
      </c>
      <c r="DR11" s="26">
        <f t="shared" si="49"/>
        <v>0.37517632761008279</v>
      </c>
      <c r="DS11" s="47">
        <f t="shared" si="50"/>
        <v>-0.59437816226608187</v>
      </c>
      <c r="DT11" s="47">
        <f t="shared" si="51"/>
        <v>0.59437816226608187</v>
      </c>
      <c r="DX11">
        <v>10</v>
      </c>
      <c r="DY11" s="19">
        <f t="shared" si="52"/>
        <v>15.054253860491052</v>
      </c>
      <c r="EM11" s="21">
        <v>10</v>
      </c>
      <c r="EN11" s="16">
        <f t="shared" si="53"/>
        <v>-1.3508526280919537</v>
      </c>
      <c r="EO11" s="16">
        <f t="shared" si="28"/>
        <v>-6.1000156725724146</v>
      </c>
      <c r="EP11" s="16">
        <f t="shared" si="54"/>
        <v>-1.8145360238195922</v>
      </c>
      <c r="EQ11" s="16">
        <f t="shared" si="55"/>
        <v>-2.8958506952431273</v>
      </c>
      <c r="ER11" s="16">
        <f t="shared" si="56"/>
        <v>2.5804674651938955</v>
      </c>
      <c r="ES11" s="16">
        <f t="shared" si="57"/>
        <v>5.1407439569429743</v>
      </c>
      <c r="ET11" s="16">
        <f t="shared" si="58"/>
        <v>8.9542381879186372</v>
      </c>
      <c r="EU11" s="16">
        <f t="shared" si="59"/>
        <v>-4.3574922204874804</v>
      </c>
      <c r="FK11" s="20"/>
      <c r="FL11" s="20"/>
    </row>
    <row r="12" spans="1:170" ht="14.4" thickBot="1" x14ac:dyDescent="0.35">
      <c r="A12" s="37" t="s">
        <v>51</v>
      </c>
      <c r="B12" s="38">
        <v>10</v>
      </c>
      <c r="C12" s="34">
        <f>RTD("fxbluelabs.excelrtd", , "21422436","@bh,AUDUSD,h4,close,10")</f>
        <v>0.67264000000000002</v>
      </c>
      <c r="D12" s="34">
        <f>RTD("fxbluelabs.excelrtd", , "21422436","@bh,AUDNZD,h4,close,10")</f>
        <v>1.09958</v>
      </c>
      <c r="E12" s="35">
        <f>RTD("fxbluelabs.excelrtd", , "21422436","@bh,AUDJPY,h4,close,10")</f>
        <v>98.376999999999995</v>
      </c>
      <c r="F12" s="34">
        <f>RTD("fxbluelabs.excelrtd", , "21422436","@bh,AUDCHF,h4,close,10")</f>
        <v>0.57974999999999999</v>
      </c>
      <c r="G12" s="34">
        <f>RTD("fxbluelabs.excelrtd", , "21422436","@bh,AUDCAD,h4,close,10")</f>
        <v>0.91710000000000003</v>
      </c>
      <c r="H12" s="34">
        <f>RTD("fxbluelabs.excelrtd", , "21422436","@bh,EURUSD,h4,close,10")</f>
        <v>1.1083099999999999</v>
      </c>
      <c r="I12" s="34">
        <f>RTD("fxbluelabs.excelrtd", , "21422436","@bh,EURCAD,h4,close,10")</f>
        <v>1.51112</v>
      </c>
      <c r="J12" s="34">
        <f>RTD("fxbluelabs.excelrtd", , "21422436","@bh,EURGBP,h4,close,10")</f>
        <v>0.85348999999999997</v>
      </c>
      <c r="K12" s="34">
        <f>RTD("fxbluelabs.excelrtd", , "21422436","@bh,EURCHF,h4,close,10")</f>
        <v>0.95523999999999998</v>
      </c>
      <c r="L12" s="35">
        <f>RTD("fxbluelabs.excelrtd", , "21422436","@bh,EURJPY,h4,close,10")</f>
        <v>162.09800000000001</v>
      </c>
      <c r="M12" s="34">
        <f>RTD("fxbluelabs.excelrtd", , "21422436","@bh,EURAUD,h4,close,10")</f>
        <v>1.64771</v>
      </c>
      <c r="N12" s="34">
        <f>RTD("fxbluelabs.excelrtd", , "21422436","@bh,EURNZD,h4,close,10")</f>
        <v>1.8118000000000001</v>
      </c>
      <c r="O12" s="34">
        <f>RTD("fxbluelabs.excelrtd", , "21422436","@bh,GBPUSD,h4,close,10")</f>
        <v>1.2985199999999999</v>
      </c>
      <c r="P12" s="34">
        <f>RTD("fxbluelabs.excelrtd", , "21422436","@bh,GBPAUD,h4,close,10")</f>
        <v>1.93049</v>
      </c>
      <c r="Q12" s="34">
        <f>RTD("fxbluelabs.excelrtd", , "21422436","@bh,GBPNZD,h4,close,10")</f>
        <v>2.1227299999999998</v>
      </c>
      <c r="R12" s="34">
        <f>RTD("fxbluelabs.excelrtd", , "21422436","@bh,GBPCAD,h4,close,10")</f>
        <v>1.7704599999999999</v>
      </c>
      <c r="S12" s="34">
        <f>RTD("fxbluelabs.excelrtd", , "21422436","@bh,GBPCHF,h4,close,10")</f>
        <v>1.1192</v>
      </c>
      <c r="T12" s="35">
        <f>RTD("fxbluelabs.excelrtd", , "21422436","@bh,GBPJPY,h4,close,10")</f>
        <v>189.91800000000001</v>
      </c>
      <c r="U12" s="35">
        <f>RTD("fxbluelabs.excelrtd", , "21422436","@bh,NZDJPY,h4,close,10")</f>
        <v>89.462000000000003</v>
      </c>
      <c r="V12" s="34">
        <f>RTD("fxbluelabs.excelrtd", , "21422436","@bh,NZDCHF,h4,close,10")</f>
        <v>0.5272</v>
      </c>
      <c r="W12" s="34">
        <f>RTD("fxbluelabs.excelrtd", , "21422436","@bh,NZDUSD,h4,close,10")</f>
        <v>0.61167000000000005</v>
      </c>
      <c r="X12" s="34">
        <f>RTD("fxbluelabs.excelrtd", , "21422436","@bh,NZDCAD,h4,close,10")</f>
        <v>0.83396999999999999</v>
      </c>
      <c r="Y12" s="35">
        <f>RTD("fxbluelabs.excelrtd", , "21422436","@bh,CADJPY,h4,close,10")</f>
        <v>107.26900000000001</v>
      </c>
      <c r="Z12" s="34">
        <f>RTD("fxbluelabs.excelrtd", , "21422436","@bh,CADCHF,h4,close,10")</f>
        <v>0.63214999999999999</v>
      </c>
      <c r="AA12" s="35">
        <f>RTD("fxbluelabs.excelrtd", , "21422436","@bh,CHFJPY,h4,close,10")</f>
        <v>169.68700000000001</v>
      </c>
      <c r="AB12" s="34">
        <f>RTD("fxbluelabs.excelrtd", , "21422436","@bh,USDCAD,h4,close,10")</f>
        <v>1.3634900000000001</v>
      </c>
      <c r="AC12" s="34">
        <f>RTD("fxbluelabs.excelrtd", , "21422436","@bh,USDCHF,h4,close,10")</f>
        <v>0.86190999999999995</v>
      </c>
      <c r="AD12" s="35">
        <f>RTD("fxbluelabs.excelrtd", , "21422436","@bh,USDJPY,h4,close,10")</f>
        <v>146.25700000000001</v>
      </c>
      <c r="AH12" s="21">
        <v>11</v>
      </c>
      <c r="AI12" s="27">
        <f t="shared" si="29"/>
        <v>-8.3184789067142745E-2</v>
      </c>
      <c r="AJ12" s="27">
        <f t="shared" si="29"/>
        <v>-0.1199018984467243</v>
      </c>
      <c r="AK12" s="27">
        <f t="shared" si="29"/>
        <v>-0.31816477693002115</v>
      </c>
      <c r="AL12" s="27">
        <f t="shared" si="29"/>
        <v>-0.19281422693546058</v>
      </c>
      <c r="AM12" s="27">
        <f t="shared" si="29"/>
        <v>-7.0825388177600479E-2</v>
      </c>
      <c r="AN12" s="27">
        <f t="shared" si="29"/>
        <v>-1.8042236876545995E-2</v>
      </c>
      <c r="AO12" s="27">
        <f t="shared" si="29"/>
        <v>-6.6171702333206938E-3</v>
      </c>
      <c r="AP12" s="27">
        <f t="shared" si="29"/>
        <v>3.0472440022025357E-2</v>
      </c>
      <c r="AQ12" s="27">
        <f t="shared" si="29"/>
        <v>-0.13173026659697218</v>
      </c>
      <c r="AR12" s="27">
        <f t="shared" si="29"/>
        <v>-0.25229527161739518</v>
      </c>
      <c r="AS12" s="27">
        <f t="shared" si="29"/>
        <v>7.2881427990117889E-2</v>
      </c>
      <c r="AT12" s="27">
        <f t="shared" si="29"/>
        <v>-5.6265928222328794E-2</v>
      </c>
      <c r="AU12" s="27">
        <f t="shared" si="29"/>
        <v>-4.2337980247411644E-2</v>
      </c>
      <c r="AV12" s="27">
        <f t="shared" si="29"/>
        <v>4.8716021870381224E-2</v>
      </c>
      <c r="AW12" s="27">
        <f t="shared" si="29"/>
        <v>-7.7669720106579396E-2</v>
      </c>
      <c r="AX12" s="27">
        <f t="shared" si="29"/>
        <v>-3.1055725264117675E-2</v>
      </c>
      <c r="AY12" s="27">
        <f t="shared" si="0"/>
        <v>-0.15255462079918103</v>
      </c>
      <c r="AZ12" s="27">
        <f t="shared" si="0"/>
        <v>-0.27672031295123883</v>
      </c>
      <c r="BA12" s="27">
        <f t="shared" si="0"/>
        <v>-0.17629993305065972</v>
      </c>
      <c r="BB12" s="27">
        <f t="shared" si="0"/>
        <v>-5.6872037914685682E-2</v>
      </c>
      <c r="BC12" s="27">
        <f t="shared" si="0"/>
        <v>4.252465612273891E-2</v>
      </c>
      <c r="BD12" s="27">
        <f t="shared" si="0"/>
        <v>5.5188300080384875E-2</v>
      </c>
      <c r="BE12" s="27">
        <f t="shared" si="0"/>
        <v>-0.23715635579033095</v>
      </c>
      <c r="BF12" s="27">
        <f t="shared" si="0"/>
        <v>-0.11218910975571034</v>
      </c>
      <c r="BG12" s="27">
        <f t="shared" si="0"/>
        <v>-0.11831324166509312</v>
      </c>
      <c r="BH12" s="27">
        <f t="shared" si="0"/>
        <v>1.1002391186358099E-2</v>
      </c>
      <c r="BI12" s="27">
        <f t="shared" si="0"/>
        <v>-0.11241424068236909</v>
      </c>
      <c r="BJ12" s="27">
        <f t="shared" si="0"/>
        <v>-0.23533103231879432</v>
      </c>
      <c r="BN12">
        <v>11</v>
      </c>
      <c r="BO12" s="28">
        <f t="shared" si="30"/>
        <v>1.5281844638431499</v>
      </c>
      <c r="BP12" s="28">
        <f t="shared" si="1"/>
        <v>-0.32623581994144057</v>
      </c>
      <c r="BQ12" s="28">
        <f t="shared" si="2"/>
        <v>0.85094613644702211</v>
      </c>
      <c r="BR12" s="28">
        <f t="shared" si="3"/>
        <v>1.1319252217142459</v>
      </c>
      <c r="BS12" s="28">
        <f t="shared" si="4"/>
        <v>0.97729076265078541</v>
      </c>
      <c r="BT12" s="28">
        <f t="shared" si="5"/>
        <v>0.64761236569290903</v>
      </c>
      <c r="BU12" s="28">
        <f t="shared" si="6"/>
        <v>9.9673606434064671E-2</v>
      </c>
      <c r="BV12" s="28">
        <f t="shared" si="7"/>
        <v>-0.47954284557466192</v>
      </c>
      <c r="BW12" s="28">
        <f t="shared" si="8"/>
        <v>0.24842451851610647</v>
      </c>
      <c r="BX12" s="28">
        <f t="shared" si="9"/>
        <v>-2.9517129434407208E-2</v>
      </c>
      <c r="BY12" s="28">
        <f t="shared" si="10"/>
        <v>-0.87558822624605559</v>
      </c>
      <c r="BZ12" s="28">
        <f t="shared" si="11"/>
        <v>-1.2034395603540327</v>
      </c>
      <c r="CA12" s="28">
        <f t="shared" si="12"/>
        <v>1.1253265457495725</v>
      </c>
      <c r="CB12" s="28">
        <f t="shared" si="13"/>
        <v>-0.39745615396915884</v>
      </c>
      <c r="CC12" s="28">
        <f t="shared" si="14"/>
        <v>-0.72510741905422849</v>
      </c>
      <c r="CD12" s="28">
        <f t="shared" si="15"/>
        <v>0.57808084542875182</v>
      </c>
      <c r="CE12" s="28">
        <f t="shared" si="16"/>
        <v>0.72831781105933069</v>
      </c>
      <c r="CF12" s="28">
        <f t="shared" si="17"/>
        <v>0.44856258674651833</v>
      </c>
      <c r="CG12" s="28">
        <f t="shared" si="18"/>
        <v>1.1736279273092776</v>
      </c>
      <c r="CH12" s="28">
        <f t="shared" si="19"/>
        <v>1.4550318727574263</v>
      </c>
      <c r="CI12" s="28">
        <f t="shared" si="20"/>
        <v>1.8543651516002373</v>
      </c>
      <c r="CJ12" s="28">
        <f t="shared" si="21"/>
        <v>1.3057731619402175</v>
      </c>
      <c r="CK12" s="28">
        <f t="shared" si="22"/>
        <v>-0.12685921182759191</v>
      </c>
      <c r="CL12" s="28">
        <f t="shared" si="23"/>
        <v>0.15512046681158398</v>
      </c>
      <c r="CM12" s="28">
        <f t="shared" si="24"/>
        <v>-0.28570363930618103</v>
      </c>
      <c r="CN12" s="28">
        <f t="shared" si="25"/>
        <v>-0.55209769626207972</v>
      </c>
      <c r="CO12" s="28">
        <f t="shared" si="26"/>
        <v>-0.39390418887271267</v>
      </c>
      <c r="CP12" s="28">
        <f t="shared" si="27"/>
        <v>-0.67499186997499838</v>
      </c>
      <c r="CU12" s="13">
        <v>11</v>
      </c>
      <c r="CV12" s="29">
        <f t="shared" si="31"/>
        <v>-1.5923772709660771</v>
      </c>
      <c r="CW12" s="29">
        <f t="shared" si="32"/>
        <v>-6.7764822819956603</v>
      </c>
      <c r="CX12" s="29">
        <f t="shared" si="33"/>
        <v>-2.3804594252077473</v>
      </c>
      <c r="CY12" s="29">
        <f t="shared" si="34"/>
        <v>-3.4554988744805777</v>
      </c>
      <c r="CZ12" s="29">
        <f t="shared" si="35"/>
        <v>2.237267061535448</v>
      </c>
      <c r="DA12" s="29">
        <f t="shared" si="36"/>
        <v>5.4351551449289772</v>
      </c>
      <c r="DB12" s="29">
        <f t="shared" si="37"/>
        <v>8.0435809129568607</v>
      </c>
      <c r="DC12" s="29">
        <f t="shared" si="38"/>
        <v>-1.3560647999596391</v>
      </c>
      <c r="DF12" s="25">
        <v>11</v>
      </c>
      <c r="DG12" s="31">
        <f t="shared" si="60"/>
        <v>-0.55209769626207972</v>
      </c>
      <c r="DH12" s="31">
        <f t="shared" si="39"/>
        <v>9.9673606434064671E-2</v>
      </c>
      <c r="DI12" s="31">
        <f t="shared" si="40"/>
        <v>-0.39390418887271267</v>
      </c>
      <c r="DJ12" s="31">
        <f t="shared" si="41"/>
        <v>0.24842451851610647</v>
      </c>
      <c r="DK12" s="31">
        <f t="shared" si="42"/>
        <v>-1.1253265457495725</v>
      </c>
      <c r="DL12" s="31">
        <f t="shared" si="43"/>
        <v>-0.47954284557466192</v>
      </c>
      <c r="DM12" s="31">
        <f t="shared" si="44"/>
        <v>-1.5281844638431499</v>
      </c>
      <c r="DN12" s="31">
        <f t="shared" si="45"/>
        <v>-0.87558822624605559</v>
      </c>
      <c r="DO12" s="31">
        <f t="shared" si="46"/>
        <v>-1.8543651516002373</v>
      </c>
      <c r="DP12" s="31">
        <f t="shared" si="47"/>
        <v>-1.2034395603540327</v>
      </c>
      <c r="DQ12" s="31">
        <f t="shared" si="48"/>
        <v>-0.67499186997499838</v>
      </c>
      <c r="DR12" s="31">
        <f t="shared" si="49"/>
        <v>-2.9517129434407208E-2</v>
      </c>
      <c r="DS12" s="49">
        <f t="shared" si="50"/>
        <v>-0.64761236569290903</v>
      </c>
      <c r="DT12" s="49">
        <f t="shared" si="51"/>
        <v>0.64761236569290903</v>
      </c>
      <c r="DX12">
        <v>11</v>
      </c>
      <c r="DY12" s="19">
        <f t="shared" si="52"/>
        <v>14.820063194952521</v>
      </c>
      <c r="EM12" s="13">
        <v>11</v>
      </c>
      <c r="EN12" s="16">
        <f t="shared" si="53"/>
        <v>-1.5923772709660771</v>
      </c>
      <c r="EO12" s="16">
        <f t="shared" si="28"/>
        <v>-6.7764822819956603</v>
      </c>
      <c r="EP12" s="16">
        <f t="shared" si="54"/>
        <v>-2.3804594252077473</v>
      </c>
      <c r="EQ12" s="16">
        <f t="shared" si="55"/>
        <v>-3.4554988744805777</v>
      </c>
      <c r="ER12" s="16">
        <f t="shared" si="56"/>
        <v>2.237267061535448</v>
      </c>
      <c r="ES12" s="16">
        <f t="shared" si="57"/>
        <v>5.4351551449289772</v>
      </c>
      <c r="ET12" s="16">
        <f t="shared" si="58"/>
        <v>8.0435809129568607</v>
      </c>
      <c r="EU12" s="16">
        <f t="shared" si="59"/>
        <v>-1.3560647999596391</v>
      </c>
      <c r="FK12" s="20"/>
      <c r="FL12" s="20"/>
    </row>
    <row r="13" spans="1:170" ht="14.4" thickBot="1" x14ac:dyDescent="0.35">
      <c r="A13" s="37" t="s">
        <v>51</v>
      </c>
      <c r="B13" s="38">
        <v>11</v>
      </c>
      <c r="C13" s="34">
        <f>RTD("fxbluelabs.excelrtd", , "21422436","@bh,AUDUSD,h4,close,11")</f>
        <v>0.67320000000000002</v>
      </c>
      <c r="D13" s="34">
        <f>RTD("fxbluelabs.excelrtd", , "21422436","@bh,AUDNZD,h4,close,11")</f>
        <v>1.1009</v>
      </c>
      <c r="E13" s="35">
        <f>RTD("fxbluelabs.excelrtd", , "21422436","@bh,AUDJPY,h4,close,11")</f>
        <v>98.691000000000003</v>
      </c>
      <c r="F13" s="34">
        <f>RTD("fxbluelabs.excelrtd", , "21422436","@bh,AUDCHF,h4,close,11")</f>
        <v>0.58087</v>
      </c>
      <c r="G13" s="34">
        <f>RTD("fxbluelabs.excelrtd", , "21422436","@bh,AUDCAD,h4,close,11")</f>
        <v>0.91774999999999995</v>
      </c>
      <c r="H13" s="34">
        <f>RTD("fxbluelabs.excelrtd", , "21422436","@bh,EURUSD,h4,close,11")</f>
        <v>1.1085100000000001</v>
      </c>
      <c r="I13" s="34">
        <f>RTD("fxbluelabs.excelrtd", , "21422436","@bh,EURCAD,h4,close,11")</f>
        <v>1.51122</v>
      </c>
      <c r="J13" s="34">
        <f>RTD("fxbluelabs.excelrtd", , "21422436","@bh,EURGBP,h4,close,11")</f>
        <v>0.85323000000000004</v>
      </c>
      <c r="K13" s="34">
        <f>RTD("fxbluelabs.excelrtd", , "21422436","@bh,EURCHF,h4,close,11")</f>
        <v>0.95650000000000002</v>
      </c>
      <c r="L13" s="35">
        <f>RTD("fxbluelabs.excelrtd", , "21422436","@bh,EURJPY,h4,close,11")</f>
        <v>162.50800000000001</v>
      </c>
      <c r="M13" s="34">
        <f>RTD("fxbluelabs.excelrtd", , "21422436","@bh,EURAUD,h4,close,11")</f>
        <v>1.6465099999999999</v>
      </c>
      <c r="N13" s="34">
        <f>RTD("fxbluelabs.excelrtd", , "21422436","@bh,EURNZD,h4,close,11")</f>
        <v>1.8128200000000001</v>
      </c>
      <c r="O13" s="34">
        <f>RTD("fxbluelabs.excelrtd", , "21422436","@bh,GBPUSD,h4,close,11")</f>
        <v>1.2990699999999999</v>
      </c>
      <c r="P13" s="34">
        <f>RTD("fxbluelabs.excelrtd", , "21422436","@bh,GBPAUD,h4,close,11")</f>
        <v>1.9295500000000001</v>
      </c>
      <c r="Q13" s="34">
        <f>RTD("fxbluelabs.excelrtd", , "21422436","@bh,GBPNZD,h4,close,11")</f>
        <v>2.1243799999999999</v>
      </c>
      <c r="R13" s="34">
        <f>RTD("fxbluelabs.excelrtd", , "21422436","@bh,GBPCAD,h4,close,11")</f>
        <v>1.77101</v>
      </c>
      <c r="S13" s="34">
        <f>RTD("fxbluelabs.excelrtd", , "21422436","@bh,GBPCHF,h4,close,11")</f>
        <v>1.1209100000000001</v>
      </c>
      <c r="T13" s="35">
        <f>RTD("fxbluelabs.excelrtd", , "21422436","@bh,GBPJPY,h4,close,11")</f>
        <v>190.44499999999999</v>
      </c>
      <c r="U13" s="35">
        <f>RTD("fxbluelabs.excelrtd", , "21422436","@bh,NZDJPY,h4,close,11")</f>
        <v>89.62</v>
      </c>
      <c r="V13" s="34">
        <f>RTD("fxbluelabs.excelrtd", , "21422436","@bh,NZDCHF,h4,close,11")</f>
        <v>0.52749999999999997</v>
      </c>
      <c r="W13" s="34">
        <f>RTD("fxbluelabs.excelrtd", , "21422436","@bh,NZDUSD,h4,close,11")</f>
        <v>0.61141000000000001</v>
      </c>
      <c r="X13" s="34">
        <f>RTD("fxbluelabs.excelrtd", , "21422436","@bh,NZDCAD,h4,close,11")</f>
        <v>0.83350999999999997</v>
      </c>
      <c r="Y13" s="35">
        <f>RTD("fxbluelabs.excelrtd", , "21422436","@bh,CADJPY,h4,close,11")</f>
        <v>107.524</v>
      </c>
      <c r="Z13" s="34">
        <f>RTD("fxbluelabs.excelrtd", , "21422436","@bh,CADCHF,h4,close,11")</f>
        <v>0.63285999999999998</v>
      </c>
      <c r="AA13" s="35">
        <f>RTD("fxbluelabs.excelrtd", , "21422436","@bh,CHFJPY,h4,close,11")</f>
        <v>169.88800000000001</v>
      </c>
      <c r="AB13" s="34">
        <f>RTD("fxbluelabs.excelrtd", , "21422436","@bh,USDCAD,h4,close,11")</f>
        <v>1.36334</v>
      </c>
      <c r="AC13" s="34">
        <f>RTD("fxbluelabs.excelrtd", , "21422436","@bh,USDCHF,h4,close,11")</f>
        <v>0.86287999999999998</v>
      </c>
      <c r="AD13" s="35">
        <f>RTD("fxbluelabs.excelrtd", , "21422436","@bh,USDJPY,h4,close,11")</f>
        <v>146.602</v>
      </c>
      <c r="AH13" s="21">
        <v>12</v>
      </c>
      <c r="AI13" s="22">
        <f t="shared" si="29"/>
        <v>0.17857142857142541</v>
      </c>
      <c r="AJ13" s="22">
        <f t="shared" si="29"/>
        <v>-0.16051946638613993</v>
      </c>
      <c r="AK13" s="22">
        <f t="shared" si="29"/>
        <v>0.2458125526922614</v>
      </c>
      <c r="AL13" s="22">
        <f t="shared" si="29"/>
        <v>0.1569073729222647</v>
      </c>
      <c r="AM13" s="22">
        <f t="shared" si="29"/>
        <v>5.7783301716046252E-2</v>
      </c>
      <c r="AN13" s="22">
        <f t="shared" si="29"/>
        <v>0.10294662127384172</v>
      </c>
      <c r="AO13" s="22">
        <f t="shared" si="29"/>
        <v>-1.389412675413638E-2</v>
      </c>
      <c r="AP13" s="22">
        <f t="shared" si="29"/>
        <v>2.8136320472692291E-2</v>
      </c>
      <c r="AQ13" s="22">
        <f t="shared" si="29"/>
        <v>8.8944697326428859E-2</v>
      </c>
      <c r="AR13" s="22">
        <f t="shared" si="29"/>
        <v>0.1744490676529607</v>
      </c>
      <c r="AS13" s="22">
        <f t="shared" si="29"/>
        <v>-8.0105350673309011E-2</v>
      </c>
      <c r="AT13" s="22">
        <f t="shared" si="29"/>
        <v>-0.23114770338246038</v>
      </c>
      <c r="AU13" s="22">
        <f t="shared" si="29"/>
        <v>6.8557518988126259E-2</v>
      </c>
      <c r="AV13" s="22">
        <f t="shared" si="29"/>
        <v>-0.11543757570737631</v>
      </c>
      <c r="AW13" s="22">
        <f t="shared" si="29"/>
        <v>-0.26993657664085863</v>
      </c>
      <c r="AX13" s="22">
        <f t="shared" si="29"/>
        <v>-4.9100390545630992E-2</v>
      </c>
      <c r="AY13" s="22">
        <f t="shared" si="0"/>
        <v>4.9091363490311186E-2</v>
      </c>
      <c r="AZ13" s="22">
        <f t="shared" si="0"/>
        <v>0.13776205023582574</v>
      </c>
      <c r="BA13" s="22">
        <f t="shared" si="0"/>
        <v>0.38757084929543162</v>
      </c>
      <c r="BB13" s="22">
        <f t="shared" si="0"/>
        <v>0.30233309881918585</v>
      </c>
      <c r="BC13" s="22">
        <f t="shared" si="0"/>
        <v>0.33312547179099677</v>
      </c>
      <c r="BD13" s="22">
        <f t="shared" si="0"/>
        <v>0.21401175862359226</v>
      </c>
      <c r="BE13" s="22">
        <f t="shared" si="0"/>
        <v>0.17795086320144085</v>
      </c>
      <c r="BF13" s="22">
        <f t="shared" si="0"/>
        <v>9.0148507804956493E-2</v>
      </c>
      <c r="BG13" s="22">
        <f t="shared" si="0"/>
        <v>8.0706446501051812E-2</v>
      </c>
      <c r="BH13" s="22">
        <f t="shared" si="0"/>
        <v>-0.11722126979940846</v>
      </c>
      <c r="BI13" s="22">
        <f t="shared" si="0"/>
        <v>-1.8539117538010866E-2</v>
      </c>
      <c r="BJ13" s="22">
        <f t="shared" si="0"/>
        <v>6.9624573378842231E-2</v>
      </c>
      <c r="BN13">
        <v>12</v>
      </c>
      <c r="BO13" s="23">
        <f t="shared" si="30"/>
        <v>1.6113692529102928</v>
      </c>
      <c r="BP13" s="23">
        <f t="shared" si="1"/>
        <v>-0.20633392149471624</v>
      </c>
      <c r="BQ13" s="23">
        <f t="shared" si="2"/>
        <v>1.1691109133770432</v>
      </c>
      <c r="BR13" s="23">
        <f t="shared" si="3"/>
        <v>1.3247394486497064</v>
      </c>
      <c r="BS13" s="23">
        <f t="shared" si="4"/>
        <v>1.0481161508283856</v>
      </c>
      <c r="BT13" s="23">
        <f t="shared" si="5"/>
        <v>0.66565460256945508</v>
      </c>
      <c r="BU13" s="23">
        <f t="shared" si="6"/>
        <v>0.10629077666738534</v>
      </c>
      <c r="BV13" s="23">
        <f t="shared" si="7"/>
        <v>-0.5100152855966873</v>
      </c>
      <c r="BW13" s="23">
        <f t="shared" si="8"/>
        <v>0.38015478511307854</v>
      </c>
      <c r="BX13" s="23">
        <f t="shared" si="9"/>
        <v>0.22277814218298803</v>
      </c>
      <c r="BY13" s="23">
        <f t="shared" si="10"/>
        <v>-0.94846965423617335</v>
      </c>
      <c r="BZ13" s="23">
        <f t="shared" si="11"/>
        <v>-1.1471736321317034</v>
      </c>
      <c r="CA13" s="23">
        <f t="shared" si="12"/>
        <v>1.167664525996984</v>
      </c>
      <c r="CB13" s="23">
        <f t="shared" si="13"/>
        <v>-0.44617217583953994</v>
      </c>
      <c r="CC13" s="23">
        <f t="shared" si="14"/>
        <v>-0.64743769894764935</v>
      </c>
      <c r="CD13" s="23">
        <f t="shared" si="15"/>
        <v>0.60913657069286964</v>
      </c>
      <c r="CE13" s="23">
        <f t="shared" si="16"/>
        <v>0.88087243185851161</v>
      </c>
      <c r="CF13" s="23">
        <f t="shared" si="17"/>
        <v>0.72528289969775706</v>
      </c>
      <c r="CG13" s="23">
        <f t="shared" si="18"/>
        <v>1.3499278603599372</v>
      </c>
      <c r="CH13" s="23">
        <f t="shared" si="19"/>
        <v>1.5119039106721122</v>
      </c>
      <c r="CI13" s="23">
        <f t="shared" si="20"/>
        <v>1.8118404954774987</v>
      </c>
      <c r="CJ13" s="23">
        <f t="shared" si="21"/>
        <v>1.2505848618598325</v>
      </c>
      <c r="CK13" s="23">
        <f t="shared" si="22"/>
        <v>0.11029714396273883</v>
      </c>
      <c r="CL13" s="23">
        <f t="shared" si="23"/>
        <v>0.26730957656729426</v>
      </c>
      <c r="CM13" s="23">
        <f t="shared" si="24"/>
        <v>-0.16739039764108787</v>
      </c>
      <c r="CN13" s="23">
        <f t="shared" si="25"/>
        <v>-0.56310008744843776</v>
      </c>
      <c r="CO13" s="23">
        <f t="shared" si="26"/>
        <v>-0.28148994819034345</v>
      </c>
      <c r="CP13" s="23">
        <f t="shared" si="27"/>
        <v>-0.43966083765620412</v>
      </c>
      <c r="CU13" s="21">
        <v>12</v>
      </c>
      <c r="CV13" s="24">
        <f t="shared" si="31"/>
        <v>-1.2307802654316569</v>
      </c>
      <c r="CW13" s="24">
        <f t="shared" si="32"/>
        <v>-6.5407797502492153</v>
      </c>
      <c r="CX13" s="24">
        <f t="shared" si="33"/>
        <v>-2.0734215520700023</v>
      </c>
      <c r="CY13" s="24">
        <f t="shared" si="34"/>
        <v>-3.9835710257441534</v>
      </c>
      <c r="CZ13" s="24">
        <f t="shared" si="35"/>
        <v>2.7993618390556203</v>
      </c>
      <c r="DA13" s="24">
        <f t="shared" si="36"/>
        <v>6.3416436743464253</v>
      </c>
      <c r="DB13" s="24">
        <f t="shared" si="37"/>
        <v>7.9252023809434498</v>
      </c>
      <c r="DC13" s="24">
        <f t="shared" si="38"/>
        <v>-2.9703457242831721</v>
      </c>
      <c r="DF13" s="30">
        <v>12</v>
      </c>
      <c r="DG13" s="26">
        <f t="shared" si="60"/>
        <v>-0.56310008744843776</v>
      </c>
      <c r="DH13" s="26">
        <f t="shared" si="39"/>
        <v>0.10629077666738534</v>
      </c>
      <c r="DI13" s="26">
        <f t="shared" si="40"/>
        <v>-0.28148994819034345</v>
      </c>
      <c r="DJ13" s="26">
        <f t="shared" si="41"/>
        <v>0.38015478511307854</v>
      </c>
      <c r="DK13" s="26">
        <f t="shared" si="42"/>
        <v>-1.167664525996984</v>
      </c>
      <c r="DL13" s="26">
        <f t="shared" si="43"/>
        <v>-0.5100152855966873</v>
      </c>
      <c r="DM13" s="26">
        <f t="shared" si="44"/>
        <v>-1.6113692529102928</v>
      </c>
      <c r="DN13" s="26">
        <f t="shared" si="45"/>
        <v>-0.94846965423617335</v>
      </c>
      <c r="DO13" s="26">
        <f t="shared" si="46"/>
        <v>-1.8118404954774987</v>
      </c>
      <c r="DP13" s="26">
        <f t="shared" si="47"/>
        <v>-1.1471736321317034</v>
      </c>
      <c r="DQ13" s="26">
        <f t="shared" si="48"/>
        <v>-0.43966083765620412</v>
      </c>
      <c r="DR13" s="26">
        <f t="shared" si="49"/>
        <v>0.22277814218298803</v>
      </c>
      <c r="DS13" s="47">
        <f t="shared" si="50"/>
        <v>-0.66565460256945508</v>
      </c>
      <c r="DT13" s="47">
        <f t="shared" si="51"/>
        <v>0.66565460256945508</v>
      </c>
      <c r="DX13">
        <v>12</v>
      </c>
      <c r="DY13" s="19">
        <f t="shared" si="52"/>
        <v>14.465982131192664</v>
      </c>
      <c r="EM13" s="21">
        <v>12</v>
      </c>
      <c r="EN13" s="16">
        <f t="shared" si="53"/>
        <v>-1.2307802654316569</v>
      </c>
      <c r="EO13" s="16">
        <f t="shared" si="28"/>
        <v>-6.5407797502492153</v>
      </c>
      <c r="EP13" s="16">
        <f t="shared" si="54"/>
        <v>-2.0734215520700023</v>
      </c>
      <c r="EQ13" s="16">
        <f t="shared" si="55"/>
        <v>-3.9835710257441534</v>
      </c>
      <c r="ER13" s="16">
        <f t="shared" si="56"/>
        <v>2.7993618390556203</v>
      </c>
      <c r="ES13" s="16">
        <f t="shared" si="57"/>
        <v>6.3416436743464253</v>
      </c>
      <c r="ET13" s="16">
        <f t="shared" si="58"/>
        <v>7.9252023809434498</v>
      </c>
      <c r="EU13" s="16">
        <f t="shared" si="59"/>
        <v>-2.9703457242831721</v>
      </c>
      <c r="FK13" s="20"/>
      <c r="FL13" s="20"/>
    </row>
    <row r="14" spans="1:170" ht="14.4" thickBot="1" x14ac:dyDescent="0.35">
      <c r="A14" s="37" t="s">
        <v>51</v>
      </c>
      <c r="B14" s="38">
        <v>12</v>
      </c>
      <c r="C14" s="34">
        <f>RTD("fxbluelabs.excelrtd", , "21422436","@bh,AUDUSD,h4,close,12")</f>
        <v>0.67200000000000004</v>
      </c>
      <c r="D14" s="34">
        <f>RTD("fxbluelabs.excelrtd", , "21422436","@bh,AUDNZD,h4,close,12")</f>
        <v>1.10267</v>
      </c>
      <c r="E14" s="35">
        <f>RTD("fxbluelabs.excelrtd", , "21422436","@bh,AUDJPY,h4,close,12")</f>
        <v>98.448999999999998</v>
      </c>
      <c r="F14" s="34">
        <f>RTD("fxbluelabs.excelrtd", , "21422436","@bh,AUDCHF,h4,close,12")</f>
        <v>0.57996000000000003</v>
      </c>
      <c r="G14" s="34">
        <f>RTD("fxbluelabs.excelrtd", , "21422436","@bh,AUDCAD,h4,close,12")</f>
        <v>0.91722000000000004</v>
      </c>
      <c r="H14" s="34">
        <f>RTD("fxbluelabs.excelrtd", , "21422436","@bh,EURUSD,h4,close,12")</f>
        <v>1.10737</v>
      </c>
      <c r="I14" s="34">
        <f>RTD("fxbluelabs.excelrtd", , "21422436","@bh,EURCAD,h4,close,12")</f>
        <v>1.5114300000000001</v>
      </c>
      <c r="J14" s="34">
        <f>RTD("fxbluelabs.excelrtd", , "21422436","@bh,EURGBP,h4,close,12")</f>
        <v>0.85299000000000003</v>
      </c>
      <c r="K14" s="34">
        <f>RTD("fxbluelabs.excelrtd", , "21422436","@bh,EURCHF,h4,close,12")</f>
        <v>0.95565</v>
      </c>
      <c r="L14" s="35">
        <f>RTD("fxbluelabs.excelrtd", , "21422436","@bh,EURJPY,h4,close,12")</f>
        <v>162.22499999999999</v>
      </c>
      <c r="M14" s="34">
        <f>RTD("fxbluelabs.excelrtd", , "21422436","@bh,EURAUD,h4,close,12")</f>
        <v>1.6478299999999999</v>
      </c>
      <c r="N14" s="34">
        <f>RTD("fxbluelabs.excelrtd", , "21422436","@bh,EURNZD,h4,close,12")</f>
        <v>1.8170200000000001</v>
      </c>
      <c r="O14" s="34">
        <f>RTD("fxbluelabs.excelrtd", , "21422436","@bh,GBPUSD,h4,close,12")</f>
        <v>1.2981799999999999</v>
      </c>
      <c r="P14" s="34">
        <f>RTD("fxbluelabs.excelrtd", , "21422436","@bh,GBPAUD,h4,close,12")</f>
        <v>1.9317800000000001</v>
      </c>
      <c r="Q14" s="34">
        <f>RTD("fxbluelabs.excelrtd", , "21422436","@bh,GBPNZD,h4,close,12")</f>
        <v>2.1301299999999999</v>
      </c>
      <c r="R14" s="34">
        <f>RTD("fxbluelabs.excelrtd", , "21422436","@bh,GBPCAD,h4,close,12")</f>
        <v>1.7718799999999999</v>
      </c>
      <c r="S14" s="34">
        <f>RTD("fxbluelabs.excelrtd", , "21422436","@bh,GBPCHF,h4,close,12")</f>
        <v>1.12036</v>
      </c>
      <c r="T14" s="35">
        <f>RTD("fxbluelabs.excelrtd", , "21422436","@bh,GBPJPY,h4,close,12")</f>
        <v>190.18299999999999</v>
      </c>
      <c r="U14" s="35">
        <f>RTD("fxbluelabs.excelrtd", , "21422436","@bh,NZDJPY,h4,close,12")</f>
        <v>89.274000000000001</v>
      </c>
      <c r="V14" s="34">
        <f>RTD("fxbluelabs.excelrtd", , "21422436","@bh,NZDCHF,h4,close,12")</f>
        <v>0.52590999999999999</v>
      </c>
      <c r="W14" s="34">
        <f>RTD("fxbluelabs.excelrtd", , "21422436","@bh,NZDUSD,h4,close,12")</f>
        <v>0.60938000000000003</v>
      </c>
      <c r="X14" s="34">
        <f>RTD("fxbluelabs.excelrtd", , "21422436","@bh,NZDCAD,h4,close,12")</f>
        <v>0.83172999999999997</v>
      </c>
      <c r="Y14" s="35">
        <f>RTD("fxbluelabs.excelrtd", , "21422436","@bh,CADJPY,h4,close,12")</f>
        <v>107.333</v>
      </c>
      <c r="Z14" s="34">
        <f>RTD("fxbluelabs.excelrtd", , "21422436","@bh,CADCHF,h4,close,12")</f>
        <v>0.63229000000000002</v>
      </c>
      <c r="AA14" s="35">
        <f>RTD("fxbluelabs.excelrtd", , "21422436","@bh,CHFJPY,h4,close,12")</f>
        <v>169.751</v>
      </c>
      <c r="AB14" s="34">
        <f>RTD("fxbluelabs.excelrtd", , "21422436","@bh,USDCAD,h4,close,12")</f>
        <v>1.36494</v>
      </c>
      <c r="AC14" s="34">
        <f>RTD("fxbluelabs.excelrtd", , "21422436","@bh,USDCHF,h4,close,12")</f>
        <v>0.86304000000000003</v>
      </c>
      <c r="AD14" s="35">
        <f>RTD("fxbluelabs.excelrtd", , "21422436","@bh,USDJPY,h4,close,12")</f>
        <v>146.5</v>
      </c>
      <c r="AH14" s="13">
        <v>13</v>
      </c>
      <c r="AI14" s="27">
        <f t="shared" si="29"/>
        <v>0.34643411778759836</v>
      </c>
      <c r="AJ14" s="27">
        <f t="shared" si="29"/>
        <v>7.2556435302406162E-3</v>
      </c>
      <c r="AK14" s="27">
        <f t="shared" si="29"/>
        <v>0.54229048795930435</v>
      </c>
      <c r="AL14" s="27">
        <f t="shared" si="29"/>
        <v>7.5924903368304097E-2</v>
      </c>
      <c r="AM14" s="27">
        <f t="shared" si="29"/>
        <v>0.17802728295416292</v>
      </c>
      <c r="AN14" s="27">
        <f t="shared" si="29"/>
        <v>0.31434006703504502</v>
      </c>
      <c r="AO14" s="27">
        <f t="shared" si="29"/>
        <v>0.14510614613978801</v>
      </c>
      <c r="AP14" s="27">
        <f t="shared" si="29"/>
        <v>7.3912431367030296E-2</v>
      </c>
      <c r="AQ14" s="27">
        <f t="shared" si="29"/>
        <v>4.0826581244896833E-2</v>
      </c>
      <c r="AR14" s="27">
        <f t="shared" si="29"/>
        <v>0.50617069785884672</v>
      </c>
      <c r="AS14" s="27">
        <f t="shared" si="29"/>
        <v>-3.3366092769874088E-2</v>
      </c>
      <c r="AT14" s="27">
        <f t="shared" si="29"/>
        <v>-2.6409903713882472E-2</v>
      </c>
      <c r="AU14" s="27">
        <f t="shared" si="29"/>
        <v>0.23936745220371564</v>
      </c>
      <c r="AV14" s="27">
        <f t="shared" si="29"/>
        <v>-0.10807344857720143</v>
      </c>
      <c r="AW14" s="27">
        <f t="shared" si="29"/>
        <v>-0.10036252444579029</v>
      </c>
      <c r="AX14" s="27">
        <f t="shared" si="29"/>
        <v>7.0596341415200992E-2</v>
      </c>
      <c r="AY14" s="27">
        <f t="shared" si="0"/>
        <v>-3.2122207152537295E-2</v>
      </c>
      <c r="AZ14" s="27">
        <f t="shared" si="0"/>
        <v>0.43356111574655842</v>
      </c>
      <c r="BA14" s="27">
        <f t="shared" si="0"/>
        <v>0.52925543894419036</v>
      </c>
      <c r="BB14" s="27">
        <f t="shared" si="0"/>
        <v>6.2787777312671988E-2</v>
      </c>
      <c r="BC14" s="27">
        <f t="shared" si="0"/>
        <v>0.33589093423783084</v>
      </c>
      <c r="BD14" s="27">
        <f t="shared" si="0"/>
        <v>0.1661949780213087</v>
      </c>
      <c r="BE14" s="27">
        <f t="shared" si="0"/>
        <v>0.36280331011267963</v>
      </c>
      <c r="BF14" s="27">
        <f t="shared" si="0"/>
        <v>-0.10427363930800125</v>
      </c>
      <c r="BG14" s="27">
        <f t="shared" si="0"/>
        <v>0.46637429496399269</v>
      </c>
      <c r="BH14" s="27">
        <f t="shared" si="0"/>
        <v>-0.16895227646736399</v>
      </c>
      <c r="BI14" s="27">
        <f t="shared" si="0"/>
        <v>-0.26924899176074318</v>
      </c>
      <c r="BJ14" s="27">
        <f t="shared" si="0"/>
        <v>0.19286271184123069</v>
      </c>
      <c r="BN14">
        <v>13</v>
      </c>
      <c r="BO14" s="28">
        <f t="shared" si="30"/>
        <v>1.4327978243388673</v>
      </c>
      <c r="BP14" s="28">
        <f t="shared" si="1"/>
        <v>-4.5814455108576367E-2</v>
      </c>
      <c r="BQ14" s="28">
        <f t="shared" si="2"/>
        <v>0.92329836068478188</v>
      </c>
      <c r="BR14" s="28">
        <f t="shared" si="3"/>
        <v>1.1678320757274414</v>
      </c>
      <c r="BS14" s="28">
        <f t="shared" si="4"/>
        <v>0.99033284911233921</v>
      </c>
      <c r="BT14" s="28">
        <f t="shared" si="5"/>
        <v>0.56270798129561317</v>
      </c>
      <c r="BU14" s="28">
        <f t="shared" si="6"/>
        <v>0.12018490342152184</v>
      </c>
      <c r="BV14" s="28">
        <f t="shared" si="7"/>
        <v>-0.53815160606937962</v>
      </c>
      <c r="BW14" s="28">
        <f t="shared" si="8"/>
        <v>0.29121008778664975</v>
      </c>
      <c r="BX14" s="28">
        <f t="shared" si="9"/>
        <v>4.8329074530027327E-2</v>
      </c>
      <c r="BY14" s="28">
        <f t="shared" si="10"/>
        <v>-0.86836430356286443</v>
      </c>
      <c r="BZ14" s="28">
        <f t="shared" si="11"/>
        <v>-0.91602592874924316</v>
      </c>
      <c r="CA14" s="28">
        <f t="shared" si="12"/>
        <v>1.0991070070088576</v>
      </c>
      <c r="CB14" s="28">
        <f t="shared" si="13"/>
        <v>-0.33073460013216371</v>
      </c>
      <c r="CC14" s="28">
        <f t="shared" si="14"/>
        <v>-0.37750112230679056</v>
      </c>
      <c r="CD14" s="28">
        <f t="shared" si="15"/>
        <v>0.65823696123850073</v>
      </c>
      <c r="CE14" s="28">
        <f t="shared" si="16"/>
        <v>0.83178106836820043</v>
      </c>
      <c r="CF14" s="28">
        <f t="shared" si="17"/>
        <v>0.58752084946193128</v>
      </c>
      <c r="CG14" s="28">
        <f t="shared" si="18"/>
        <v>0.96235701106450544</v>
      </c>
      <c r="CH14" s="28">
        <f t="shared" si="19"/>
        <v>1.209570811852926</v>
      </c>
      <c r="CI14" s="28">
        <f t="shared" si="20"/>
        <v>1.4787150236865021</v>
      </c>
      <c r="CJ14" s="28">
        <f t="shared" si="21"/>
        <v>1.0365731032362409</v>
      </c>
      <c r="CK14" s="28">
        <f t="shared" si="22"/>
        <v>-6.7653719238701893E-2</v>
      </c>
      <c r="CL14" s="28">
        <f t="shared" si="23"/>
        <v>0.17716106876233789</v>
      </c>
      <c r="CM14" s="28">
        <f t="shared" si="24"/>
        <v>-0.24809684414213989</v>
      </c>
      <c r="CN14" s="28">
        <f t="shared" si="25"/>
        <v>-0.44587881764902931</v>
      </c>
      <c r="CO14" s="28">
        <f t="shared" si="26"/>
        <v>-0.2629508306523326</v>
      </c>
      <c r="CP14" s="28">
        <f t="shared" si="27"/>
        <v>-0.50928541103504632</v>
      </c>
      <c r="CU14" s="21">
        <v>13</v>
      </c>
      <c r="CV14" s="29">
        <f t="shared" si="31"/>
        <v>-1.3001097913476751</v>
      </c>
      <c r="CW14" s="29">
        <f t="shared" si="32"/>
        <v>-5.7914428956662487</v>
      </c>
      <c r="CX14" s="29">
        <f t="shared" si="33"/>
        <v>-2.2499416498359373</v>
      </c>
      <c r="CY14" s="29">
        <f t="shared" si="34"/>
        <v>-3.485540057225025</v>
      </c>
      <c r="CZ14" s="29">
        <f t="shared" si="35"/>
        <v>3.0065617697079157</v>
      </c>
      <c r="DA14" s="29">
        <f t="shared" si="36"/>
        <v>5.6675455584498815</v>
      </c>
      <c r="DB14" s="29">
        <f t="shared" si="37"/>
        <v>6.0265574560047837</v>
      </c>
      <c r="DC14" s="29">
        <f t="shared" si="38"/>
        <v>-1.6964693213253579</v>
      </c>
      <c r="DF14" s="25">
        <v>13</v>
      </c>
      <c r="DG14" s="31">
        <f t="shared" si="60"/>
        <v>-0.44587881764902931</v>
      </c>
      <c r="DH14" s="31">
        <f t="shared" si="39"/>
        <v>0.12018490342152184</v>
      </c>
      <c r="DI14" s="31">
        <f t="shared" si="40"/>
        <v>-0.2629508306523326</v>
      </c>
      <c r="DJ14" s="31">
        <f t="shared" si="41"/>
        <v>0.29121008778664975</v>
      </c>
      <c r="DK14" s="31">
        <f t="shared" si="42"/>
        <v>-1.0991070070088576</v>
      </c>
      <c r="DL14" s="31">
        <f t="shared" si="43"/>
        <v>-0.53815160606937962</v>
      </c>
      <c r="DM14" s="31">
        <f t="shared" si="44"/>
        <v>-1.4327978243388673</v>
      </c>
      <c r="DN14" s="31">
        <f t="shared" si="45"/>
        <v>-0.86836430356286443</v>
      </c>
      <c r="DO14" s="31">
        <f t="shared" si="46"/>
        <v>-1.4787150236865021</v>
      </c>
      <c r="DP14" s="31">
        <f t="shared" si="47"/>
        <v>-0.91602592874924316</v>
      </c>
      <c r="DQ14" s="31">
        <f t="shared" si="48"/>
        <v>-0.50928541103504632</v>
      </c>
      <c r="DR14" s="31">
        <f t="shared" si="49"/>
        <v>4.8329074530027327E-2</v>
      </c>
      <c r="DS14" s="49">
        <f t="shared" si="50"/>
        <v>-0.56270798129561317</v>
      </c>
      <c r="DT14" s="49">
        <f t="shared" si="51"/>
        <v>0.56270798129561317</v>
      </c>
      <c r="DX14">
        <v>13</v>
      </c>
      <c r="DY14" s="19">
        <f t="shared" si="52"/>
        <v>11.818000351671031</v>
      </c>
      <c r="EM14" s="21">
        <v>13</v>
      </c>
      <c r="EN14" s="16">
        <f t="shared" si="53"/>
        <v>-1.3001097913476751</v>
      </c>
      <c r="EO14" s="16">
        <f t="shared" si="28"/>
        <v>-5.7914428956662487</v>
      </c>
      <c r="EP14" s="16">
        <f t="shared" si="54"/>
        <v>-2.2499416498359373</v>
      </c>
      <c r="EQ14" s="16">
        <f t="shared" si="55"/>
        <v>-3.485540057225025</v>
      </c>
      <c r="ER14" s="16">
        <f t="shared" si="56"/>
        <v>3.0065617697079157</v>
      </c>
      <c r="ES14" s="16">
        <f t="shared" si="57"/>
        <v>5.6675455584498815</v>
      </c>
      <c r="ET14" s="16">
        <f t="shared" si="58"/>
        <v>6.0265574560047837</v>
      </c>
      <c r="EU14" s="16">
        <f t="shared" si="59"/>
        <v>-1.6964693213253579</v>
      </c>
      <c r="FK14" s="20"/>
      <c r="FL14" s="20"/>
    </row>
    <row r="15" spans="1:170" ht="14.4" thickBot="1" x14ac:dyDescent="0.35">
      <c r="A15" s="37" t="s">
        <v>51</v>
      </c>
      <c r="B15" s="38">
        <v>13</v>
      </c>
      <c r="C15" s="34">
        <f>RTD("fxbluelabs.excelrtd", , "21422436","@bh,AUDUSD,h4,close,13")</f>
        <v>0.66968000000000005</v>
      </c>
      <c r="D15" s="34">
        <f>RTD("fxbluelabs.excelrtd", , "21422436","@bh,AUDNZD,h4,close,13")</f>
        <v>1.10259</v>
      </c>
      <c r="E15" s="35">
        <f>RTD("fxbluelabs.excelrtd", , "21422436","@bh,AUDJPY,h4,close,13")</f>
        <v>97.918000000000006</v>
      </c>
      <c r="F15" s="34">
        <f>RTD("fxbluelabs.excelrtd", , "21422436","@bh,AUDCHF,h4,close,13")</f>
        <v>0.57952000000000004</v>
      </c>
      <c r="G15" s="34">
        <f>RTD("fxbluelabs.excelrtd", , "21422436","@bh,AUDCAD,h4,close,13")</f>
        <v>0.91559000000000001</v>
      </c>
      <c r="H15" s="34">
        <f>RTD("fxbluelabs.excelrtd", , "21422436","@bh,EURUSD,h4,close,13")</f>
        <v>1.1039000000000001</v>
      </c>
      <c r="I15" s="34">
        <f>RTD("fxbluelabs.excelrtd", , "21422436","@bh,EURCAD,h4,close,13")</f>
        <v>1.5092399999999999</v>
      </c>
      <c r="J15" s="34">
        <f>RTD("fxbluelabs.excelrtd", , "21422436","@bh,EURGBP,h4,close,13")</f>
        <v>0.85236000000000001</v>
      </c>
      <c r="K15" s="34">
        <f>RTD("fxbluelabs.excelrtd", , "21422436","@bh,EURCHF,h4,close,13")</f>
        <v>0.95526</v>
      </c>
      <c r="L15" s="35">
        <f>RTD("fxbluelabs.excelrtd", , "21422436","@bh,EURJPY,h4,close,13")</f>
        <v>161.40799999999999</v>
      </c>
      <c r="M15" s="34">
        <f>RTD("fxbluelabs.excelrtd", , "21422436","@bh,EURAUD,h4,close,13")</f>
        <v>1.64838</v>
      </c>
      <c r="N15" s="34">
        <f>RTD("fxbluelabs.excelrtd", , "21422436","@bh,EURNZD,h4,close,13")</f>
        <v>1.8174999999999999</v>
      </c>
      <c r="O15" s="34">
        <f>RTD("fxbluelabs.excelrtd", , "21422436","@bh,GBPUSD,h4,close,13")</f>
        <v>1.29508</v>
      </c>
      <c r="P15" s="34">
        <f>RTD("fxbluelabs.excelrtd", , "21422436","@bh,GBPAUD,h4,close,13")</f>
        <v>1.93387</v>
      </c>
      <c r="Q15" s="34">
        <f>RTD("fxbluelabs.excelrtd", , "21422436","@bh,GBPNZD,h4,close,13")</f>
        <v>2.1322700000000001</v>
      </c>
      <c r="R15" s="34">
        <f>RTD("fxbluelabs.excelrtd", , "21422436","@bh,GBPCAD,h4,close,13")</f>
        <v>1.7706299999999999</v>
      </c>
      <c r="S15" s="34">
        <f>RTD("fxbluelabs.excelrtd", , "21422436","@bh,GBPCHF,h4,close,13")</f>
        <v>1.1207199999999999</v>
      </c>
      <c r="T15" s="35">
        <f>RTD("fxbluelabs.excelrtd", , "21422436","@bh,GBPJPY,h4,close,13")</f>
        <v>189.36199999999999</v>
      </c>
      <c r="U15" s="35">
        <f>RTD("fxbluelabs.excelrtd", , "21422436","@bh,NZDJPY,h4,close,13")</f>
        <v>88.804000000000002</v>
      </c>
      <c r="V15" s="34">
        <f>RTD("fxbluelabs.excelrtd", , "21422436","@bh,NZDCHF,h4,close,13")</f>
        <v>0.52558000000000005</v>
      </c>
      <c r="W15" s="34">
        <f>RTD("fxbluelabs.excelrtd", , "21422436","@bh,NZDUSD,h4,close,13")</f>
        <v>0.60733999999999999</v>
      </c>
      <c r="X15" s="34">
        <f>RTD("fxbluelabs.excelrtd", , "21422436","@bh,NZDCAD,h4,close,13")</f>
        <v>0.83035000000000003</v>
      </c>
      <c r="Y15" s="35">
        <f>RTD("fxbluelabs.excelrtd", , "21422436","@bh,CADJPY,h4,close,13")</f>
        <v>106.94499999999999</v>
      </c>
      <c r="Z15" s="34">
        <f>RTD("fxbluelabs.excelrtd", , "21422436","@bh,CADCHF,h4,close,13")</f>
        <v>0.63295000000000001</v>
      </c>
      <c r="AA15" s="35">
        <f>RTD("fxbluelabs.excelrtd", , "21422436","@bh,CHFJPY,h4,close,13")</f>
        <v>168.96299999999999</v>
      </c>
      <c r="AB15" s="34">
        <f>RTD("fxbluelabs.excelrtd", , "21422436","@bh,USDCAD,h4,close,13")</f>
        <v>1.3672500000000001</v>
      </c>
      <c r="AC15" s="34">
        <f>RTD("fxbluelabs.excelrtd", , "21422436","@bh,USDCHF,h4,close,13")</f>
        <v>0.86536999999999997</v>
      </c>
      <c r="AD15" s="35">
        <f>RTD("fxbluelabs.excelrtd", , "21422436","@bh,USDJPY,h4,close,13")</f>
        <v>146.21799999999999</v>
      </c>
      <c r="AH15" s="21">
        <v>14</v>
      </c>
      <c r="AI15" s="22">
        <f t="shared" si="29"/>
        <v>0.12708760073561554</v>
      </c>
      <c r="AJ15" s="22">
        <f t="shared" si="29"/>
        <v>9.8047226080559408E-2</v>
      </c>
      <c r="AK15" s="22">
        <f t="shared" si="29"/>
        <v>0.22210622204482347</v>
      </c>
      <c r="AL15" s="22">
        <f t="shared" si="29"/>
        <v>0.21789506450386312</v>
      </c>
      <c r="AM15" s="22">
        <f t="shared" si="29"/>
        <v>0.1148118179631285</v>
      </c>
      <c r="AN15" s="22">
        <f t="shared" si="29"/>
        <v>1.5402317595789139E-2</v>
      </c>
      <c r="AO15" s="22">
        <f t="shared" si="29"/>
        <v>1.9877949390723951E-3</v>
      </c>
      <c r="AP15" s="22">
        <f t="shared" si="29"/>
        <v>0.17864698415682922</v>
      </c>
      <c r="AQ15" s="22">
        <f t="shared" si="29"/>
        <v>0.10479324293169585</v>
      </c>
      <c r="AR15" s="22">
        <f t="shared" si="29"/>
        <v>0.10853857460940561</v>
      </c>
      <c r="AS15" s="22">
        <f t="shared" si="29"/>
        <v>-0.11331616421754512</v>
      </c>
      <c r="AT15" s="22">
        <f t="shared" si="29"/>
        <v>-1.5403404152320853E-2</v>
      </c>
      <c r="AU15" s="22">
        <f t="shared" si="29"/>
        <v>-0.16265928661183451</v>
      </c>
      <c r="AV15" s="22">
        <f t="shared" si="29"/>
        <v>-0.29079509773087475</v>
      </c>
      <c r="AW15" s="22">
        <f t="shared" si="29"/>
        <v>-0.19331585845347157</v>
      </c>
      <c r="AX15" s="22">
        <f t="shared" si="29"/>
        <v>-0.17589852008456727</v>
      </c>
      <c r="AY15" s="22">
        <f t="shared" si="0"/>
        <v>-7.311375430212412E-2</v>
      </c>
      <c r="AZ15" s="22">
        <f t="shared" si="0"/>
        <v>-6.9659197652698762E-2</v>
      </c>
      <c r="BA15" s="22">
        <f t="shared" si="0"/>
        <v>0.12176422837557961</v>
      </c>
      <c r="BB15" s="22">
        <f t="shared" si="0"/>
        <v>0.12001142965997132</v>
      </c>
      <c r="BC15" s="22">
        <f t="shared" si="0"/>
        <v>2.7998748291253435E-2</v>
      </c>
      <c r="BD15" s="22">
        <f t="shared" si="0"/>
        <v>1.5658500156593976E-2</v>
      </c>
      <c r="BE15" s="22">
        <f t="shared" si="0"/>
        <v>0.10671059898343188</v>
      </c>
      <c r="BF15" s="22">
        <f t="shared" si="0"/>
        <v>0.10438248272153504</v>
      </c>
      <c r="BG15" s="22">
        <f t="shared" si="0"/>
        <v>3.5511994176034302E-3</v>
      </c>
      <c r="BH15" s="22">
        <f t="shared" si="0"/>
        <v>-1.2432171534715264E-2</v>
      </c>
      <c r="BI15" s="22">
        <f t="shared" si="0"/>
        <v>8.9058524173020751E-2</v>
      </c>
      <c r="BJ15" s="22">
        <f t="shared" si="0"/>
        <v>9.3783585818826856E-2</v>
      </c>
      <c r="BN15">
        <v>14</v>
      </c>
      <c r="BO15" s="23">
        <f t="shared" si="30"/>
        <v>1.0863637065512688</v>
      </c>
      <c r="BP15" s="23">
        <f t="shared" si="1"/>
        <v>-5.3070098638816982E-2</v>
      </c>
      <c r="BQ15" s="23">
        <f t="shared" si="2"/>
        <v>0.38100787272547743</v>
      </c>
      <c r="BR15" s="23">
        <f t="shared" si="3"/>
        <v>1.0919071723591371</v>
      </c>
      <c r="BS15" s="23">
        <f t="shared" si="4"/>
        <v>0.8123055661581764</v>
      </c>
      <c r="BT15" s="23">
        <f t="shared" si="5"/>
        <v>0.24836791426056815</v>
      </c>
      <c r="BU15" s="23">
        <f t="shared" si="6"/>
        <v>-2.4921242718266189E-2</v>
      </c>
      <c r="BV15" s="23">
        <f t="shared" si="7"/>
        <v>-0.61206403743640991</v>
      </c>
      <c r="BW15" s="23">
        <f t="shared" si="8"/>
        <v>0.25038350654175295</v>
      </c>
      <c r="BX15" s="23">
        <f t="shared" si="9"/>
        <v>-0.45784162332881939</v>
      </c>
      <c r="BY15" s="23">
        <f t="shared" si="10"/>
        <v>-0.8349982107929903</v>
      </c>
      <c r="BZ15" s="23">
        <f t="shared" si="11"/>
        <v>-0.88961602503536075</v>
      </c>
      <c r="CA15" s="23">
        <f t="shared" si="12"/>
        <v>0.85973955480514197</v>
      </c>
      <c r="CB15" s="23">
        <f t="shared" si="13"/>
        <v>-0.22266115155496236</v>
      </c>
      <c r="CC15" s="23">
        <f t="shared" si="14"/>
        <v>-0.27713859786100037</v>
      </c>
      <c r="CD15" s="23">
        <f t="shared" si="15"/>
        <v>0.58764061982329951</v>
      </c>
      <c r="CE15" s="23">
        <f t="shared" si="16"/>
        <v>0.86390327552073787</v>
      </c>
      <c r="CF15" s="23">
        <f t="shared" si="17"/>
        <v>0.15395973371537294</v>
      </c>
      <c r="CG15" s="23">
        <f t="shared" si="18"/>
        <v>0.43310157212031514</v>
      </c>
      <c r="CH15" s="23">
        <f t="shared" si="19"/>
        <v>1.1467830345402541</v>
      </c>
      <c r="CI15" s="23">
        <f t="shared" si="20"/>
        <v>1.142824089448671</v>
      </c>
      <c r="CJ15" s="23">
        <f t="shared" si="21"/>
        <v>0.87037812521493207</v>
      </c>
      <c r="CK15" s="23">
        <f t="shared" si="22"/>
        <v>-0.43045702935138147</v>
      </c>
      <c r="CL15" s="23">
        <f t="shared" si="23"/>
        <v>0.28143470807033905</v>
      </c>
      <c r="CM15" s="23">
        <f t="shared" si="24"/>
        <v>-0.71447113910613258</v>
      </c>
      <c r="CN15" s="23">
        <f t="shared" si="25"/>
        <v>-0.27692654118166526</v>
      </c>
      <c r="CO15" s="23">
        <f t="shared" si="26"/>
        <v>6.2981611084107353E-3</v>
      </c>
      <c r="CP15" s="23">
        <f t="shared" si="27"/>
        <v>-0.70214812287627715</v>
      </c>
      <c r="CU15" s="21">
        <v>14</v>
      </c>
      <c r="CV15" s="24">
        <f t="shared" si="31"/>
        <v>-2.3206897185095254</v>
      </c>
      <c r="CW15" s="24">
        <f t="shared" si="32"/>
        <v>-4.3100717680151819</v>
      </c>
      <c r="CX15" s="24">
        <f t="shared" si="33"/>
        <v>-2.1174988485775188</v>
      </c>
      <c r="CY15" s="24">
        <f t="shared" si="34"/>
        <v>-4.0737462891764249</v>
      </c>
      <c r="CZ15" s="24">
        <f t="shared" si="35"/>
        <v>2.5775074718849993</v>
      </c>
      <c r="DA15" s="24">
        <f t="shared" si="36"/>
        <v>4.3761735815031955</v>
      </c>
      <c r="DB15" s="24">
        <f t="shared" si="37"/>
        <v>4.812911542859351</v>
      </c>
      <c r="DC15" s="24">
        <f t="shared" si="38"/>
        <v>1.3368487361014452</v>
      </c>
      <c r="DF15" s="30">
        <v>14</v>
      </c>
      <c r="DG15" s="26">
        <f t="shared" si="60"/>
        <v>-0.27692654118166526</v>
      </c>
      <c r="DH15" s="26">
        <f t="shared" si="39"/>
        <v>-2.4921242718266189E-2</v>
      </c>
      <c r="DI15" s="26">
        <f t="shared" si="40"/>
        <v>6.2981611084107353E-3</v>
      </c>
      <c r="DJ15" s="26">
        <f t="shared" si="41"/>
        <v>0.25038350654175295</v>
      </c>
      <c r="DK15" s="26">
        <f t="shared" si="42"/>
        <v>-0.85973955480514197</v>
      </c>
      <c r="DL15" s="26">
        <f t="shared" si="43"/>
        <v>-0.61206403743640991</v>
      </c>
      <c r="DM15" s="26">
        <f t="shared" si="44"/>
        <v>-1.0863637065512688</v>
      </c>
      <c r="DN15" s="26">
        <f t="shared" si="45"/>
        <v>-0.8349982107929903</v>
      </c>
      <c r="DO15" s="26">
        <f t="shared" si="46"/>
        <v>-1.142824089448671</v>
      </c>
      <c r="DP15" s="26">
        <f t="shared" si="47"/>
        <v>-0.88961602503536075</v>
      </c>
      <c r="DQ15" s="26">
        <f t="shared" si="48"/>
        <v>-0.70214812287627715</v>
      </c>
      <c r="DR15" s="26">
        <f t="shared" si="49"/>
        <v>-0.45784162332881939</v>
      </c>
      <c r="DS15" s="47">
        <f t="shared" si="50"/>
        <v>-0.24836791426056815</v>
      </c>
      <c r="DT15" s="47">
        <f t="shared" si="51"/>
        <v>0.24836791426056815</v>
      </c>
      <c r="DX15">
        <v>14</v>
      </c>
      <c r="DY15" s="19">
        <f t="shared" si="52"/>
        <v>9.1229833108745328</v>
      </c>
      <c r="EM15" s="21">
        <v>14</v>
      </c>
      <c r="EN15" s="16">
        <f t="shared" si="53"/>
        <v>-2.3206897185095254</v>
      </c>
      <c r="EO15" s="16">
        <f t="shared" si="28"/>
        <v>-4.3100717680151819</v>
      </c>
      <c r="EP15" s="16">
        <f t="shared" si="54"/>
        <v>-2.1174988485775188</v>
      </c>
      <c r="EQ15" s="16">
        <f t="shared" si="55"/>
        <v>-4.0737462891764249</v>
      </c>
      <c r="ER15" s="16">
        <f t="shared" si="56"/>
        <v>2.5775074718849993</v>
      </c>
      <c r="ES15" s="16">
        <f t="shared" si="57"/>
        <v>4.3761735815031955</v>
      </c>
      <c r="ET15" s="16">
        <f t="shared" si="58"/>
        <v>4.812911542859351</v>
      </c>
      <c r="EU15" s="16">
        <f t="shared" si="59"/>
        <v>1.3368487361014452</v>
      </c>
      <c r="FK15" s="20"/>
      <c r="FL15" s="20"/>
    </row>
    <row r="16" spans="1:170" ht="14.4" thickBot="1" x14ac:dyDescent="0.35">
      <c r="A16" s="37" t="s">
        <v>51</v>
      </c>
      <c r="B16" s="38">
        <v>14</v>
      </c>
      <c r="C16" s="34">
        <f>RTD("fxbluelabs.excelrtd", , "21422436","@bh,AUDUSD,h4,close,14")</f>
        <v>0.66883000000000004</v>
      </c>
      <c r="D16" s="34">
        <f>RTD("fxbluelabs.excelrtd", , "21422436","@bh,AUDNZD,h4,close,14")</f>
        <v>1.10151</v>
      </c>
      <c r="E16" s="35">
        <f>RTD("fxbluelabs.excelrtd", , "21422436","@bh,AUDJPY,h4,close,14")</f>
        <v>97.700999999999993</v>
      </c>
      <c r="F16" s="34">
        <f>RTD("fxbluelabs.excelrtd", , "21422436","@bh,AUDCHF,h4,close,14")</f>
        <v>0.57826</v>
      </c>
      <c r="G16" s="34">
        <f>RTD("fxbluelabs.excelrtd", , "21422436","@bh,AUDCAD,h4,close,14")</f>
        <v>0.91454000000000002</v>
      </c>
      <c r="H16" s="34">
        <f>RTD("fxbluelabs.excelrtd", , "21422436","@bh,EURUSD,h4,close,14")</f>
        <v>1.1037300000000001</v>
      </c>
      <c r="I16" s="34">
        <f>RTD("fxbluelabs.excelrtd", , "21422436","@bh,EURCAD,h4,close,14")</f>
        <v>1.5092099999999999</v>
      </c>
      <c r="J16" s="34">
        <f>RTD("fxbluelabs.excelrtd", , "21422436","@bh,EURGBP,h4,close,14")</f>
        <v>0.85084000000000004</v>
      </c>
      <c r="K16" s="34">
        <f>RTD("fxbluelabs.excelrtd", , "21422436","@bh,EURCHF,h4,close,14")</f>
        <v>0.95426</v>
      </c>
      <c r="L16" s="35">
        <f>RTD("fxbluelabs.excelrtd", , "21422436","@bh,EURJPY,h4,close,14")</f>
        <v>161.233</v>
      </c>
      <c r="M16" s="34">
        <f>RTD("fxbluelabs.excelrtd", , "21422436","@bh,EURAUD,h4,close,14")</f>
        <v>1.65025</v>
      </c>
      <c r="N16" s="34">
        <f>RTD("fxbluelabs.excelrtd", , "21422436","@bh,EURNZD,h4,close,14")</f>
        <v>1.81778</v>
      </c>
      <c r="O16" s="34">
        <f>RTD("fxbluelabs.excelrtd", , "21422436","@bh,GBPUSD,h4,close,14")</f>
        <v>1.2971900000000001</v>
      </c>
      <c r="P16" s="34">
        <f>RTD("fxbluelabs.excelrtd", , "21422436","@bh,GBPAUD,h4,close,14")</f>
        <v>1.9395100000000001</v>
      </c>
      <c r="Q16" s="34">
        <f>RTD("fxbluelabs.excelrtd", , "21422436","@bh,GBPNZD,h4,close,14")</f>
        <v>2.1364000000000001</v>
      </c>
      <c r="R16" s="34">
        <f>RTD("fxbluelabs.excelrtd", , "21422436","@bh,GBPCAD,h4,close,14")</f>
        <v>1.7737499999999999</v>
      </c>
      <c r="S16" s="34">
        <f>RTD("fxbluelabs.excelrtd", , "21422436","@bh,GBPCHF,h4,close,14")</f>
        <v>1.12154</v>
      </c>
      <c r="T16" s="35">
        <f>RTD("fxbluelabs.excelrtd", , "21422436","@bh,GBPJPY,h4,close,14")</f>
        <v>189.494</v>
      </c>
      <c r="U16" s="35">
        <f>RTD("fxbluelabs.excelrtd", , "21422436","@bh,NZDJPY,h4,close,14")</f>
        <v>88.695999999999998</v>
      </c>
      <c r="V16" s="34">
        <f>RTD("fxbluelabs.excelrtd", , "21422436","@bh,NZDCHF,h4,close,14")</f>
        <v>0.52495000000000003</v>
      </c>
      <c r="W16" s="34">
        <f>RTD("fxbluelabs.excelrtd", , "21422436","@bh,NZDUSD,h4,close,14")</f>
        <v>0.60716999999999999</v>
      </c>
      <c r="X16" s="34">
        <f>RTD("fxbluelabs.excelrtd", , "21422436","@bh,NZDCAD,h4,close,14")</f>
        <v>0.83021999999999996</v>
      </c>
      <c r="Y16" s="35">
        <f>RTD("fxbluelabs.excelrtd", , "21422436","@bh,CADJPY,h4,close,14")</f>
        <v>106.831</v>
      </c>
      <c r="Z16" s="34">
        <f>RTD("fxbluelabs.excelrtd", , "21422436","@bh,CADCHF,h4,close,14")</f>
        <v>0.63229000000000002</v>
      </c>
      <c r="AA16" s="35">
        <f>RTD("fxbluelabs.excelrtd", , "21422436","@bh,CHFJPY,h4,close,14")</f>
        <v>168.95699999999999</v>
      </c>
      <c r="AB16" s="34">
        <f>RTD("fxbluelabs.excelrtd", , "21422436","@bh,USDCAD,h4,close,14")</f>
        <v>1.3674200000000001</v>
      </c>
      <c r="AC16" s="34">
        <f>RTD("fxbluelabs.excelrtd", , "21422436","@bh,USDCHF,h4,close,14")</f>
        <v>0.86460000000000004</v>
      </c>
      <c r="AD16" s="35">
        <f>RTD("fxbluelabs.excelrtd", , "21422436","@bh,USDJPY,h4,close,14")</f>
        <v>146.08099999999999</v>
      </c>
      <c r="AH16" s="21">
        <v>15</v>
      </c>
      <c r="AI16" s="27">
        <f t="shared" si="29"/>
        <v>1.6449336044989608E-2</v>
      </c>
      <c r="AJ16" s="27">
        <f t="shared" si="29"/>
        <v>0.1600363719027037</v>
      </c>
      <c r="AK16" s="27">
        <f t="shared" si="29"/>
        <v>-6.137416761285408E-2</v>
      </c>
      <c r="AL16" s="27">
        <f t="shared" si="29"/>
        <v>9.3470885550090865E-2</v>
      </c>
      <c r="AM16" s="27">
        <f t="shared" si="29"/>
        <v>8.0980520901737144E-2</v>
      </c>
      <c r="AN16" s="27">
        <f>IF(H16=0,0,(H16-H17)*100/H17)</f>
        <v>-2.2645337777845744E-2</v>
      </c>
      <c r="AO16" s="27">
        <f t="shared" si="29"/>
        <v>4.3087447632181648E-2</v>
      </c>
      <c r="AP16" s="27">
        <f t="shared" si="29"/>
        <v>-0.16661582146293114</v>
      </c>
      <c r="AQ16" s="27">
        <f t="shared" si="29"/>
        <v>5.6620391729227122E-2</v>
      </c>
      <c r="AR16" s="27">
        <f t="shared" si="29"/>
        <v>-9.6041837063475063E-2</v>
      </c>
      <c r="AS16" s="27">
        <f t="shared" si="29"/>
        <v>-3.6950437953551449E-2</v>
      </c>
      <c r="AT16" s="27">
        <f t="shared" si="29"/>
        <v>0.12282779323069892</v>
      </c>
      <c r="AU16" s="27">
        <f t="shared" si="29"/>
        <v>0.1428196458072884</v>
      </c>
      <c r="AV16" s="27">
        <f t="shared" si="29"/>
        <v>0.12906489899381876</v>
      </c>
      <c r="AW16" s="27">
        <f t="shared" si="29"/>
        <v>0.28964008581233053</v>
      </c>
      <c r="AX16" s="27">
        <f t="shared" si="29"/>
        <v>0.20903364311742814</v>
      </c>
      <c r="AY16" s="27">
        <f t="shared" si="0"/>
        <v>0.22161456937072524</v>
      </c>
      <c r="AZ16" s="27">
        <f t="shared" si="0"/>
        <v>6.8122409104106177E-2</v>
      </c>
      <c r="BA16" s="27">
        <f t="shared" si="0"/>
        <v>-0.21712472859408682</v>
      </c>
      <c r="BB16" s="27">
        <f t="shared" si="0"/>
        <v>-6.4726151268824264E-2</v>
      </c>
      <c r="BC16" s="27">
        <f t="shared" si="0"/>
        <v>-0.14144038945446311</v>
      </c>
      <c r="BD16" s="27">
        <f t="shared" si="0"/>
        <v>-7.7028620946980833E-2</v>
      </c>
      <c r="BE16" s="27">
        <f t="shared" si="0"/>
        <v>-0.14114523938606144</v>
      </c>
      <c r="BF16" s="27">
        <f t="shared" si="0"/>
        <v>1.2654023188492586E-2</v>
      </c>
      <c r="BG16" s="27">
        <f t="shared" si="0"/>
        <v>-0.15423891075417254</v>
      </c>
      <c r="BH16" s="27">
        <f t="shared" si="0"/>
        <v>6.5128464065922986E-2</v>
      </c>
      <c r="BI16" s="27">
        <f t="shared" si="0"/>
        <v>7.8710991758497773E-2</v>
      </c>
      <c r="BJ16" s="27">
        <f t="shared" si="0"/>
        <v>-7.592754733502409E-2</v>
      </c>
      <c r="BN16">
        <v>15</v>
      </c>
      <c r="BO16" s="28">
        <f t="shared" si="30"/>
        <v>0.95927610581565315</v>
      </c>
      <c r="BP16" s="28">
        <f t="shared" si="1"/>
        <v>-0.15111732471937633</v>
      </c>
      <c r="BQ16" s="28">
        <f t="shared" si="2"/>
        <v>0.15890165068065398</v>
      </c>
      <c r="BR16" s="28">
        <f t="shared" si="3"/>
        <v>0.87401210785527417</v>
      </c>
      <c r="BS16" s="28">
        <f t="shared" si="4"/>
        <v>0.69749374819504772</v>
      </c>
      <c r="BT16" s="28">
        <f t="shared" si="5"/>
        <v>0.23296559666477909</v>
      </c>
      <c r="BU16" s="28">
        <f t="shared" si="6"/>
        <v>-2.6909037657338576E-2</v>
      </c>
      <c r="BV16" s="28">
        <f t="shared" si="7"/>
        <v>-0.79071102159323914</v>
      </c>
      <c r="BW16" s="28">
        <f t="shared" si="8"/>
        <v>0.14559026361005703</v>
      </c>
      <c r="BX16" s="28">
        <f t="shared" si="9"/>
        <v>-0.56638019793822503</v>
      </c>
      <c r="BY16" s="28">
        <f t="shared" si="10"/>
        <v>-0.72168204657544521</v>
      </c>
      <c r="BZ16" s="28">
        <f t="shared" si="11"/>
        <v>-0.87421262088303997</v>
      </c>
      <c r="CA16" s="28">
        <f t="shared" si="12"/>
        <v>1.0223988414169767</v>
      </c>
      <c r="CB16" s="28">
        <f t="shared" si="13"/>
        <v>6.8133946175912369E-2</v>
      </c>
      <c r="CC16" s="28">
        <f t="shared" si="14"/>
        <v>-8.3822739407528712E-2</v>
      </c>
      <c r="CD16" s="28">
        <f t="shared" si="15"/>
        <v>0.76353913990786693</v>
      </c>
      <c r="CE16" s="28">
        <f t="shared" si="16"/>
        <v>0.93701702982286184</v>
      </c>
      <c r="CF16" s="28">
        <f t="shared" si="17"/>
        <v>0.22361893136807171</v>
      </c>
      <c r="CG16" s="28">
        <f t="shared" si="18"/>
        <v>0.31133734374473543</v>
      </c>
      <c r="CH16" s="28">
        <f t="shared" si="19"/>
        <v>1.0267716048802829</v>
      </c>
      <c r="CI16" s="28">
        <f t="shared" si="20"/>
        <v>1.1148253411574176</v>
      </c>
      <c r="CJ16" s="28">
        <f t="shared" si="21"/>
        <v>0.85471962505833776</v>
      </c>
      <c r="CK16" s="28">
        <f t="shared" si="22"/>
        <v>-0.53716762833481324</v>
      </c>
      <c r="CL16" s="28">
        <f t="shared" si="23"/>
        <v>0.17705222534880408</v>
      </c>
      <c r="CM16" s="28">
        <f t="shared" si="24"/>
        <v>-0.71802233852373587</v>
      </c>
      <c r="CN16" s="28">
        <f t="shared" si="25"/>
        <v>-0.26449436964695</v>
      </c>
      <c r="CO16" s="28">
        <f t="shared" si="26"/>
        <v>-8.2760363064610293E-2</v>
      </c>
      <c r="CP16" s="28">
        <f t="shared" si="27"/>
        <v>-0.79593170869510355</v>
      </c>
      <c r="CU16" s="21">
        <v>15</v>
      </c>
      <c r="CV16" s="29">
        <f t="shared" si="31"/>
        <v>-2.6013390643724517</v>
      </c>
      <c r="CW16" s="29">
        <f t="shared" si="32"/>
        <v>-4.4726523264614899</v>
      </c>
      <c r="CX16" s="29">
        <f t="shared" si="33"/>
        <v>-2.384464508842973</v>
      </c>
      <c r="CY16" s="29">
        <f t="shared" si="34"/>
        <v>-3.6186529816276014</v>
      </c>
      <c r="CZ16" s="29">
        <f t="shared" si="35"/>
        <v>3.7215961708773997</v>
      </c>
      <c r="DA16" s="29">
        <f t="shared" si="36"/>
        <v>3.1921143882267855</v>
      </c>
      <c r="DB16" s="29">
        <f t="shared" si="37"/>
        <v>4.4168065998507178</v>
      </c>
      <c r="DC16" s="29">
        <f t="shared" si="38"/>
        <v>1.9236439476984164</v>
      </c>
      <c r="DF16" s="25">
        <v>15</v>
      </c>
      <c r="DG16" s="31">
        <f t="shared" si="60"/>
        <v>-0.26449436964695</v>
      </c>
      <c r="DH16" s="31">
        <f t="shared" si="39"/>
        <v>-2.6909037657338576E-2</v>
      </c>
      <c r="DI16" s="31">
        <f t="shared" si="40"/>
        <v>-8.2760363064610293E-2</v>
      </c>
      <c r="DJ16" s="31">
        <f t="shared" si="41"/>
        <v>0.14559026361005703</v>
      </c>
      <c r="DK16" s="31">
        <f t="shared" si="42"/>
        <v>-1.0223988414169767</v>
      </c>
      <c r="DL16" s="31">
        <f t="shared" si="43"/>
        <v>-0.79071102159323914</v>
      </c>
      <c r="DM16" s="31">
        <f t="shared" si="44"/>
        <v>-0.95927610581565315</v>
      </c>
      <c r="DN16" s="31">
        <f t="shared" si="45"/>
        <v>-0.72168204657544521</v>
      </c>
      <c r="DO16" s="31">
        <f t="shared" si="46"/>
        <v>-1.1148253411574176</v>
      </c>
      <c r="DP16" s="31">
        <f t="shared" si="47"/>
        <v>-0.87421262088303997</v>
      </c>
      <c r="DQ16" s="31">
        <f t="shared" si="48"/>
        <v>-0.79593170869510355</v>
      </c>
      <c r="DR16" s="31">
        <f t="shared" si="49"/>
        <v>-0.56638019793822503</v>
      </c>
      <c r="DS16" s="49">
        <f t="shared" si="50"/>
        <v>-0.23296559666477909</v>
      </c>
      <c r="DT16" s="49">
        <f t="shared" si="51"/>
        <v>0.23296559666477909</v>
      </c>
      <c r="DX16">
        <v>15</v>
      </c>
      <c r="DY16" s="19">
        <f t="shared" si="52"/>
        <v>8.8894589263122086</v>
      </c>
      <c r="EM16" s="21">
        <v>15</v>
      </c>
      <c r="EN16" s="16">
        <f t="shared" si="53"/>
        <v>-2.6013390643724517</v>
      </c>
      <c r="EO16" s="16">
        <f t="shared" si="28"/>
        <v>-4.4726523264614899</v>
      </c>
      <c r="EP16" s="16">
        <f t="shared" si="54"/>
        <v>-2.384464508842973</v>
      </c>
      <c r="EQ16" s="16">
        <f t="shared" si="55"/>
        <v>-3.6186529816276014</v>
      </c>
      <c r="ER16" s="16">
        <f t="shared" si="56"/>
        <v>3.7215961708773997</v>
      </c>
      <c r="ES16" s="16">
        <f t="shared" si="57"/>
        <v>3.1921143882267855</v>
      </c>
      <c r="ET16" s="16">
        <f t="shared" si="58"/>
        <v>4.4168065998507178</v>
      </c>
      <c r="EU16" s="16">
        <f t="shared" si="59"/>
        <v>1.9236439476984164</v>
      </c>
      <c r="FK16" s="20"/>
      <c r="FL16" s="20"/>
    </row>
    <row r="17" spans="1:168" ht="14.4" thickBot="1" x14ac:dyDescent="0.35">
      <c r="A17" s="37" t="s">
        <v>51</v>
      </c>
      <c r="B17" s="38">
        <v>15</v>
      </c>
      <c r="C17" s="34">
        <f>RTD("fxbluelabs.excelrtd", , "21422436","@bh,AUDUSD,h4,close,15")</f>
        <v>0.66871999999999998</v>
      </c>
      <c r="D17" s="34">
        <f>RTD("fxbluelabs.excelrtd", , "21422436","@bh,AUDNZD,h4,close,15")</f>
        <v>1.09975</v>
      </c>
      <c r="E17" s="35">
        <f>RTD("fxbluelabs.excelrtd", , "21422436","@bh,AUDJPY,h4,close,15")</f>
        <v>97.760999999999996</v>
      </c>
      <c r="F17" s="34">
        <f>RTD("fxbluelabs.excelrtd", , "21422436","@bh,AUDCHF,h4,close,15")</f>
        <v>0.57772000000000001</v>
      </c>
      <c r="G17" s="34">
        <f>RTD("fxbluelabs.excelrtd", , "21422436","@bh,AUDCAD,h4,close,15")</f>
        <v>0.91379999999999995</v>
      </c>
      <c r="H17" s="34">
        <f>RTD("fxbluelabs.excelrtd", , "21422436","@bh,EURUSD,h4,close,15")</f>
        <v>1.10398</v>
      </c>
      <c r="I17" s="34">
        <f>RTD("fxbluelabs.excelrtd", , "21422436","@bh,EURCAD,h4,close,15")</f>
        <v>1.5085599999999999</v>
      </c>
      <c r="J17" s="34">
        <f>RTD("fxbluelabs.excelrtd", , "21422436","@bh,EURGBP,h4,close,15")</f>
        <v>0.85226000000000002</v>
      </c>
      <c r="K17" s="34">
        <f>RTD("fxbluelabs.excelrtd", , "21422436","@bh,EURCHF,h4,close,15")</f>
        <v>0.95372000000000001</v>
      </c>
      <c r="L17" s="35">
        <f>RTD("fxbluelabs.excelrtd", , "21422436","@bh,EURJPY,h4,close,15")</f>
        <v>161.38800000000001</v>
      </c>
      <c r="M17" s="34">
        <f>RTD("fxbluelabs.excelrtd", , "21422436","@bh,EURAUD,h4,close,15")</f>
        <v>1.65086</v>
      </c>
      <c r="N17" s="34">
        <f>RTD("fxbluelabs.excelrtd", , "21422436","@bh,EURNZD,h4,close,15")</f>
        <v>1.81555</v>
      </c>
      <c r="O17" s="34">
        <f>RTD("fxbluelabs.excelrtd", , "21422436","@bh,GBPUSD,h4,close,15")</f>
        <v>1.2953399999999999</v>
      </c>
      <c r="P17" s="34">
        <f>RTD("fxbluelabs.excelrtd", , "21422436","@bh,GBPAUD,h4,close,15")</f>
        <v>1.9370099999999999</v>
      </c>
      <c r="Q17" s="34">
        <f>RTD("fxbluelabs.excelrtd", , "21422436","@bh,GBPNZD,h4,close,15")</f>
        <v>2.1302300000000001</v>
      </c>
      <c r="R17" s="34">
        <f>RTD("fxbluelabs.excelrtd", , "21422436","@bh,GBPCAD,h4,close,15")</f>
        <v>1.7700499999999999</v>
      </c>
      <c r="S17" s="34">
        <f>RTD("fxbluelabs.excelrtd", , "21422436","@bh,GBPCHF,h4,close,15")</f>
        <v>1.1190599999999999</v>
      </c>
      <c r="T17" s="35">
        <f>RTD("fxbluelabs.excelrtd", , "21422436","@bh,GBPJPY,h4,close,15")</f>
        <v>189.36500000000001</v>
      </c>
      <c r="U17" s="35">
        <f>RTD("fxbluelabs.excelrtd", , "21422436","@bh,NZDJPY,h4,close,15")</f>
        <v>88.888999999999996</v>
      </c>
      <c r="V17" s="34">
        <f>RTD("fxbluelabs.excelrtd", , "21422436","@bh,NZDCHF,h4,close,15")</f>
        <v>0.52529000000000003</v>
      </c>
      <c r="W17" s="34">
        <f>RTD("fxbluelabs.excelrtd", , "21422436","@bh,NZDUSD,h4,close,15")</f>
        <v>0.60802999999999996</v>
      </c>
      <c r="X17" s="34">
        <f>RTD("fxbluelabs.excelrtd", , "21422436","@bh,NZDCAD,h4,close,15")</f>
        <v>0.83086000000000004</v>
      </c>
      <c r="Y17" s="35">
        <f>RTD("fxbluelabs.excelrtd", , "21422436","@bh,CADJPY,h4,close,15")</f>
        <v>106.982</v>
      </c>
      <c r="Z17" s="34">
        <f>RTD("fxbluelabs.excelrtd", , "21422436","@bh,CADCHF,h4,close,15")</f>
        <v>0.63221000000000005</v>
      </c>
      <c r="AA17" s="35">
        <f>RTD("fxbluelabs.excelrtd", , "21422436","@bh,CHFJPY,h4,close,15")</f>
        <v>169.21799999999999</v>
      </c>
      <c r="AB17" s="34">
        <f>RTD("fxbluelabs.excelrtd", , "21422436","@bh,USDCAD,h4,close,15")</f>
        <v>1.36653</v>
      </c>
      <c r="AC17" s="34">
        <f>RTD("fxbluelabs.excelrtd", , "21422436","@bh,USDCHF,h4,close,15")</f>
        <v>0.86392000000000002</v>
      </c>
      <c r="AD17" s="35">
        <f>RTD("fxbluelabs.excelrtd", , "21422436","@bh,USDJPY,h4,close,15")</f>
        <v>146.19200000000001</v>
      </c>
      <c r="AH17" s="21">
        <v>16</v>
      </c>
      <c r="AI17" s="22">
        <f t="shared" si="29"/>
        <v>0.11527808967736168</v>
      </c>
      <c r="AJ17" s="22">
        <f t="shared" si="29"/>
        <v>-0.29555489070815683</v>
      </c>
      <c r="AK17" s="22">
        <f t="shared" si="29"/>
        <v>-0.96140208692128271</v>
      </c>
      <c r="AL17" s="22">
        <f t="shared" si="29"/>
        <v>-0.20728252608304756</v>
      </c>
      <c r="AM17" s="22">
        <f t="shared" si="29"/>
        <v>7.0086293749175826E-2</v>
      </c>
      <c r="AN17" s="22">
        <f t="shared" si="29"/>
        <v>7.5239088065982535E-2</v>
      </c>
      <c r="AO17" s="22">
        <f t="shared" si="29"/>
        <v>3.1828550209525616E-2</v>
      </c>
      <c r="AP17" s="22">
        <f t="shared" si="29"/>
        <v>2.6994354658880965E-2</v>
      </c>
      <c r="AQ17" s="22">
        <f t="shared" si="29"/>
        <v>-0.25205777457040601</v>
      </c>
      <c r="AR17" s="22">
        <f t="shared" si="29"/>
        <v>-1.0029259675015125</v>
      </c>
      <c r="AS17" s="22">
        <f t="shared" si="29"/>
        <v>-3.8752649106870964E-2</v>
      </c>
      <c r="AT17" s="22">
        <f t="shared" si="29"/>
        <v>-0.33431413451614639</v>
      </c>
      <c r="AU17" s="22">
        <f t="shared" si="29"/>
        <v>5.0977847807943497E-2</v>
      </c>
      <c r="AV17" s="22">
        <f t="shared" si="29"/>
        <v>-6.4490831983335328E-2</v>
      </c>
      <c r="AW17" s="22">
        <f t="shared" si="29"/>
        <v>-0.36016146459424858</v>
      </c>
      <c r="AX17" s="22">
        <f t="shared" si="29"/>
        <v>6.2148999401014978E-3</v>
      </c>
      <c r="AY17" s="22">
        <f t="shared" si="0"/>
        <v>-0.27358683931452932</v>
      </c>
      <c r="AZ17" s="22">
        <f t="shared" si="0"/>
        <v>-1.0265040845872808</v>
      </c>
      <c r="BA17" s="22">
        <f t="shared" si="0"/>
        <v>-0.669363490076886</v>
      </c>
      <c r="BB17" s="22">
        <f t="shared" si="0"/>
        <v>8.5740416126831323E-2</v>
      </c>
      <c r="BC17" s="22">
        <f t="shared" si="0"/>
        <v>0.40954504169761813</v>
      </c>
      <c r="BD17" s="22">
        <f t="shared" si="0"/>
        <v>0.3660171774398232</v>
      </c>
      <c r="BE17" s="22">
        <f t="shared" si="0"/>
        <v>-1.0323965290754682</v>
      </c>
      <c r="BF17" s="22">
        <f t="shared" si="0"/>
        <v>-0.28076152620703854</v>
      </c>
      <c r="BG17" s="22">
        <f t="shared" si="0"/>
        <v>-0.74783128926114606</v>
      </c>
      <c r="BH17" s="22">
        <f t="shared" si="0"/>
        <v>-4.3887560071093012E-2</v>
      </c>
      <c r="BI17" s="22">
        <f t="shared" si="0"/>
        <v>-0.32420707717512709</v>
      </c>
      <c r="BJ17" s="22">
        <f t="shared" si="0"/>
        <v>-1.0752397128182909</v>
      </c>
      <c r="BN17">
        <v>16</v>
      </c>
      <c r="BO17" s="23">
        <f t="shared" si="30"/>
        <v>0.9428267697706636</v>
      </c>
      <c r="BP17" s="23">
        <f t="shared" si="1"/>
        <v>-0.31115369662208003</v>
      </c>
      <c r="BQ17" s="23">
        <f t="shared" si="2"/>
        <v>0.22027581829350806</v>
      </c>
      <c r="BR17" s="23">
        <f t="shared" si="3"/>
        <v>0.7805412223051833</v>
      </c>
      <c r="BS17" s="23">
        <f t="shared" si="4"/>
        <v>0.6165132272933106</v>
      </c>
      <c r="BT17" s="23">
        <f t="shared" si="5"/>
        <v>0.25561093444262484</v>
      </c>
      <c r="BU17" s="23">
        <f t="shared" si="6"/>
        <v>-6.9996485289520238E-2</v>
      </c>
      <c r="BV17" s="23">
        <f t="shared" si="7"/>
        <v>-0.62409520013030806</v>
      </c>
      <c r="BW17" s="23">
        <f t="shared" si="8"/>
        <v>8.8969871880829943E-2</v>
      </c>
      <c r="BX17" s="23">
        <f t="shared" si="9"/>
        <v>-0.47033836087474989</v>
      </c>
      <c r="BY17" s="23">
        <f t="shared" si="10"/>
        <v>-0.68473160862189364</v>
      </c>
      <c r="BZ17" s="23">
        <f t="shared" si="11"/>
        <v>-0.99704041411373878</v>
      </c>
      <c r="CA17" s="23">
        <f t="shared" si="12"/>
        <v>0.87957919560968822</v>
      </c>
      <c r="CB17" s="23">
        <f t="shared" si="13"/>
        <v>-6.0930952817906336E-2</v>
      </c>
      <c r="CC17" s="23">
        <f t="shared" si="14"/>
        <v>-0.37346282521985924</v>
      </c>
      <c r="CD17" s="23">
        <f t="shared" si="15"/>
        <v>0.55450549679043881</v>
      </c>
      <c r="CE17" s="23">
        <f t="shared" si="16"/>
        <v>0.71540246045213673</v>
      </c>
      <c r="CF17" s="23">
        <f t="shared" si="17"/>
        <v>0.15549652226396549</v>
      </c>
      <c r="CG17" s="23">
        <f t="shared" si="18"/>
        <v>0.52846207233882236</v>
      </c>
      <c r="CH17" s="23">
        <f t="shared" si="19"/>
        <v>1.0914977561491073</v>
      </c>
      <c r="CI17" s="23">
        <f t="shared" si="20"/>
        <v>1.256265730611881</v>
      </c>
      <c r="CJ17" s="23">
        <f t="shared" si="21"/>
        <v>0.93174824600531903</v>
      </c>
      <c r="CK17" s="23">
        <f t="shared" si="22"/>
        <v>-0.39602238894875175</v>
      </c>
      <c r="CL17" s="23">
        <f t="shared" si="23"/>
        <v>0.16439820216031148</v>
      </c>
      <c r="CM17" s="23">
        <f t="shared" si="24"/>
        <v>-0.56378342776956314</v>
      </c>
      <c r="CN17" s="23">
        <f t="shared" si="25"/>
        <v>-0.32962283371287304</v>
      </c>
      <c r="CO17" s="23">
        <f t="shared" si="26"/>
        <v>-0.16147135482310784</v>
      </c>
      <c r="CP17" s="23">
        <f t="shared" si="27"/>
        <v>-0.72000416136008005</v>
      </c>
      <c r="CU17" s="13">
        <v>16</v>
      </c>
      <c r="CV17" s="24">
        <f t="shared" si="31"/>
        <v>-2.501621262706756</v>
      </c>
      <c r="CW17" s="24">
        <f t="shared" si="32"/>
        <v>-4.5453809803309184</v>
      </c>
      <c r="CX17" s="24">
        <f t="shared" si="33"/>
        <v>-1.9347718378751155</v>
      </c>
      <c r="CY17" s="24">
        <f t="shared" si="34"/>
        <v>-3.0787233837337125</v>
      </c>
      <c r="CZ17" s="24">
        <f t="shared" si="35"/>
        <v>2.4946850972087717</v>
      </c>
      <c r="DA17" s="24">
        <f t="shared" si="36"/>
        <v>2.9946659024803854</v>
      </c>
      <c r="DB17" s="24">
        <f t="shared" si="37"/>
        <v>5.4896307410608083</v>
      </c>
      <c r="DC17" s="24">
        <f t="shared" si="38"/>
        <v>1.2459139260568488</v>
      </c>
      <c r="DF17" s="30">
        <v>16</v>
      </c>
      <c r="DG17" s="26">
        <f t="shared" si="60"/>
        <v>-0.32962283371287304</v>
      </c>
      <c r="DH17" s="26">
        <f t="shared" si="39"/>
        <v>-6.9996485289520238E-2</v>
      </c>
      <c r="DI17" s="26">
        <f t="shared" si="40"/>
        <v>-0.16147135482310784</v>
      </c>
      <c r="DJ17" s="26">
        <f t="shared" si="41"/>
        <v>8.8969871880829943E-2</v>
      </c>
      <c r="DK17" s="26">
        <f t="shared" si="42"/>
        <v>-0.87957919560968822</v>
      </c>
      <c r="DL17" s="26">
        <f t="shared" si="43"/>
        <v>-0.62409520013030806</v>
      </c>
      <c r="DM17" s="26">
        <f t="shared" si="44"/>
        <v>-0.9428267697706636</v>
      </c>
      <c r="DN17" s="26">
        <f t="shared" si="45"/>
        <v>-0.68473160862189364</v>
      </c>
      <c r="DO17" s="26">
        <f t="shared" si="46"/>
        <v>-1.256265730611881</v>
      </c>
      <c r="DP17" s="26">
        <f t="shared" si="47"/>
        <v>-0.99704041411373878</v>
      </c>
      <c r="DQ17" s="26">
        <f t="shared" si="48"/>
        <v>-0.72000416136008005</v>
      </c>
      <c r="DR17" s="26">
        <f t="shared" si="49"/>
        <v>-0.47033836087474989</v>
      </c>
      <c r="DS17" s="47">
        <f t="shared" si="50"/>
        <v>-0.25561093444262484</v>
      </c>
      <c r="DT17" s="47">
        <f t="shared" si="51"/>
        <v>0.25561093444262484</v>
      </c>
      <c r="DX17">
        <v>16</v>
      </c>
      <c r="DY17" s="19">
        <f t="shared" si="52"/>
        <v>10.035011721391726</v>
      </c>
      <c r="EM17" s="13">
        <v>16</v>
      </c>
      <c r="EN17" s="16">
        <f t="shared" si="53"/>
        <v>-2.501621262706756</v>
      </c>
      <c r="EO17" s="16">
        <f t="shared" si="28"/>
        <v>-4.5453809803309184</v>
      </c>
      <c r="EP17" s="16">
        <f t="shared" si="54"/>
        <v>-1.9347718378751155</v>
      </c>
      <c r="EQ17" s="16">
        <f t="shared" si="55"/>
        <v>-3.0787233837337125</v>
      </c>
      <c r="ER17" s="16">
        <f t="shared" si="56"/>
        <v>2.4946850972087717</v>
      </c>
      <c r="ES17" s="16">
        <f t="shared" si="57"/>
        <v>2.9946659024803854</v>
      </c>
      <c r="ET17" s="16">
        <f t="shared" si="58"/>
        <v>5.4896307410608083</v>
      </c>
      <c r="EU17" s="16">
        <f t="shared" si="59"/>
        <v>1.2459139260568488</v>
      </c>
      <c r="FK17" s="20"/>
      <c r="FL17" s="20"/>
    </row>
    <row r="18" spans="1:168" ht="14.4" thickBot="1" x14ac:dyDescent="0.35">
      <c r="A18" s="37" t="s">
        <v>51</v>
      </c>
      <c r="B18" s="38">
        <v>16</v>
      </c>
      <c r="C18" s="34">
        <f>RTD("fxbluelabs.excelrtd", , "21422436","@bh,AUDUSD,h4,close,16")</f>
        <v>0.66795000000000004</v>
      </c>
      <c r="D18" s="34">
        <f>RTD("fxbluelabs.excelrtd", , "21422436","@bh,AUDNZD,h4,close,16")</f>
        <v>1.10301</v>
      </c>
      <c r="E18" s="35">
        <f>RTD("fxbluelabs.excelrtd", , "21422436","@bh,AUDJPY,h4,close,16")</f>
        <v>98.71</v>
      </c>
      <c r="F18" s="34">
        <f>RTD("fxbluelabs.excelrtd", , "21422436","@bh,AUDCHF,h4,close,16")</f>
        <v>0.57891999999999999</v>
      </c>
      <c r="G18" s="34">
        <f>RTD("fxbluelabs.excelrtd", , "21422436","@bh,AUDCAD,h4,close,16")</f>
        <v>0.91315999999999997</v>
      </c>
      <c r="H18" s="34">
        <f>RTD("fxbluelabs.excelrtd", , "21422436","@bh,EURUSD,h4,close,16")</f>
        <v>1.1031500000000001</v>
      </c>
      <c r="I18" s="34">
        <f>RTD("fxbluelabs.excelrtd", , "21422436","@bh,EURCAD,h4,close,16")</f>
        <v>1.5080800000000001</v>
      </c>
      <c r="J18" s="34">
        <f>RTD("fxbluelabs.excelrtd", , "21422436","@bh,EURGBP,h4,close,16")</f>
        <v>0.85202999999999995</v>
      </c>
      <c r="K18" s="34">
        <f>RTD("fxbluelabs.excelrtd", , "21422436","@bh,EURCHF,h4,close,16")</f>
        <v>0.95613000000000004</v>
      </c>
      <c r="L18" s="35">
        <f>RTD("fxbluelabs.excelrtd", , "21422436","@bh,EURJPY,h4,close,16")</f>
        <v>163.023</v>
      </c>
      <c r="M18" s="34">
        <f>RTD("fxbluelabs.excelrtd", , "21422436","@bh,EURAUD,h4,close,16")</f>
        <v>1.6515</v>
      </c>
      <c r="N18" s="34">
        <f>RTD("fxbluelabs.excelrtd", , "21422436","@bh,EURNZD,h4,close,16")</f>
        <v>1.8216399999999999</v>
      </c>
      <c r="O18" s="34">
        <f>RTD("fxbluelabs.excelrtd", , "21422436","@bh,GBPUSD,h4,close,16")</f>
        <v>1.2946800000000001</v>
      </c>
      <c r="P18" s="34">
        <f>RTD("fxbluelabs.excelrtd", , "21422436","@bh,GBPAUD,h4,close,16")</f>
        <v>1.9382600000000001</v>
      </c>
      <c r="Q18" s="34">
        <f>RTD("fxbluelabs.excelrtd", , "21422436","@bh,GBPNZD,h4,close,16")</f>
        <v>2.1379299999999999</v>
      </c>
      <c r="R18" s="34">
        <f>RTD("fxbluelabs.excelrtd", , "21422436","@bh,GBPCAD,h4,close,16")</f>
        <v>1.7699400000000001</v>
      </c>
      <c r="S18" s="34">
        <f>RTD("fxbluelabs.excelrtd", , "21422436","@bh,GBPCHF,h4,close,16")</f>
        <v>1.1221300000000001</v>
      </c>
      <c r="T18" s="35">
        <f>RTD("fxbluelabs.excelrtd", , "21422436","@bh,GBPJPY,h4,close,16")</f>
        <v>191.32900000000001</v>
      </c>
      <c r="U18" s="35">
        <f>RTD("fxbluelabs.excelrtd", , "21422436","@bh,NZDJPY,h4,close,16")</f>
        <v>89.488</v>
      </c>
      <c r="V18" s="34">
        <f>RTD("fxbluelabs.excelrtd", , "21422436","@bh,NZDCHF,h4,close,16")</f>
        <v>0.52483999999999997</v>
      </c>
      <c r="W18" s="34">
        <f>RTD("fxbluelabs.excelrtd", , "21422436","@bh,NZDUSD,h4,close,16")</f>
        <v>0.60555000000000003</v>
      </c>
      <c r="X18" s="34">
        <f>RTD("fxbluelabs.excelrtd", , "21422436","@bh,NZDCAD,h4,close,16")</f>
        <v>0.82782999999999995</v>
      </c>
      <c r="Y18" s="35">
        <f>RTD("fxbluelabs.excelrtd", , "21422436","@bh,CADJPY,h4,close,16")</f>
        <v>108.098</v>
      </c>
      <c r="Z18" s="34">
        <f>RTD("fxbluelabs.excelrtd", , "21422436","@bh,CADCHF,h4,close,16")</f>
        <v>0.63399000000000005</v>
      </c>
      <c r="AA18" s="35">
        <f>RTD("fxbluelabs.excelrtd", , "21422436","@bh,CHFJPY,h4,close,16")</f>
        <v>170.49299999999999</v>
      </c>
      <c r="AB18" s="34">
        <f>RTD("fxbluelabs.excelrtd", , "21422436","@bh,USDCAD,h4,close,16")</f>
        <v>1.36713</v>
      </c>
      <c r="AC18" s="34">
        <f>RTD("fxbluelabs.excelrtd", , "21422436","@bh,USDCHF,h4,close,16")</f>
        <v>0.86673</v>
      </c>
      <c r="AD18" s="35">
        <f>RTD("fxbluelabs.excelrtd", , "21422436","@bh,USDJPY,h4,close,16")</f>
        <v>147.78100000000001</v>
      </c>
      <c r="AH18" s="13">
        <v>17</v>
      </c>
      <c r="AI18" s="27">
        <f t="shared" si="29"/>
        <v>0.14092742237748337</v>
      </c>
      <c r="AJ18" s="27">
        <f t="shared" si="29"/>
        <v>0.14072231401956858</v>
      </c>
      <c r="AK18" s="27">
        <f t="shared" si="29"/>
        <v>0.27835344792554217</v>
      </c>
      <c r="AL18" s="27">
        <f t="shared" si="29"/>
        <v>0.23547337073204999</v>
      </c>
      <c r="AM18" s="27">
        <f t="shared" si="29"/>
        <v>9.5364412631940107E-2</v>
      </c>
      <c r="AN18" s="27">
        <f t="shared" si="29"/>
        <v>2.6295268665118283E-2</v>
      </c>
      <c r="AO18" s="27">
        <f t="shared" si="29"/>
        <v>-3.1155745583505381E-2</v>
      </c>
      <c r="AP18" s="27">
        <f t="shared" si="29"/>
        <v>3.5222429643192908E-2</v>
      </c>
      <c r="AQ18" s="27">
        <f t="shared" si="29"/>
        <v>0.11517962786509217</v>
      </c>
      <c r="AR18" s="27">
        <f t="shared" si="29"/>
        <v>0.15235754876362489</v>
      </c>
      <c r="AS18" s="27">
        <f t="shared" si="29"/>
        <v>-0.11310233039186862</v>
      </c>
      <c r="AT18" s="27">
        <f t="shared" si="29"/>
        <v>1.5373127772644393E-2</v>
      </c>
      <c r="AU18" s="27">
        <f t="shared" si="29"/>
        <v>1.3904982618777057E-2</v>
      </c>
      <c r="AV18" s="27">
        <f t="shared" si="29"/>
        <v>-0.12212528921020406</v>
      </c>
      <c r="AW18" s="27">
        <f t="shared" si="29"/>
        <v>4.6776404110601376E-3</v>
      </c>
      <c r="AX18" s="27">
        <f t="shared" si="29"/>
        <v>-4.0098268997260239E-2</v>
      </c>
      <c r="AY18" s="27">
        <f t="shared" ref="AX18:BJ28" si="61">IF(S18=0,0,(S18-S19)*100/S19)</f>
        <v>0.10258880622312479</v>
      </c>
      <c r="AZ18" s="27">
        <f t="shared" si="61"/>
        <v>0.14498670519021797</v>
      </c>
      <c r="BA18" s="27">
        <f t="shared" si="61"/>
        <v>0.15108614148378355</v>
      </c>
      <c r="BB18" s="27">
        <f t="shared" si="61"/>
        <v>0.10872260476471272</v>
      </c>
      <c r="BC18" s="27">
        <f t="shared" si="61"/>
        <v>2.3124824499104572E-2</v>
      </c>
      <c r="BD18" s="27">
        <f t="shared" si="61"/>
        <v>-3.3811933197287557E-2</v>
      </c>
      <c r="BE18" s="27">
        <f t="shared" si="61"/>
        <v>0.1890744619719294</v>
      </c>
      <c r="BF18" s="27">
        <f t="shared" si="61"/>
        <v>0.14848748124161629</v>
      </c>
      <c r="BG18" s="27">
        <f t="shared" si="61"/>
        <v>4.3422388348707514E-2</v>
      </c>
      <c r="BH18" s="27">
        <f t="shared" si="61"/>
        <v>-5.6290664522255826E-2</v>
      </c>
      <c r="BI18" s="27">
        <f t="shared" si="61"/>
        <v>8.5451333156267725E-2</v>
      </c>
      <c r="BJ18" s="27">
        <f t="shared" si="61"/>
        <v>0.12398541985663268</v>
      </c>
      <c r="BN18">
        <v>17</v>
      </c>
      <c r="BO18" s="28">
        <f t="shared" si="30"/>
        <v>0.82754868009330185</v>
      </c>
      <c r="BP18" s="28">
        <f t="shared" si="1"/>
        <v>-1.5598805913923264E-2</v>
      </c>
      <c r="BQ18" s="28">
        <f t="shared" si="2"/>
        <v>1.1816779052147908</v>
      </c>
      <c r="BR18" s="28">
        <f t="shared" si="3"/>
        <v>0.98782374838823084</v>
      </c>
      <c r="BS18" s="28">
        <f t="shared" si="4"/>
        <v>0.54642693354413474</v>
      </c>
      <c r="BT18" s="28">
        <f t="shared" si="5"/>
        <v>0.18037184637664233</v>
      </c>
      <c r="BU18" s="28">
        <f t="shared" si="6"/>
        <v>-0.10182503549904587</v>
      </c>
      <c r="BV18" s="28">
        <f t="shared" si="7"/>
        <v>-0.65108955478918906</v>
      </c>
      <c r="BW18" s="28">
        <f t="shared" si="8"/>
        <v>0.34102764645123596</v>
      </c>
      <c r="BX18" s="28">
        <f t="shared" si="9"/>
        <v>0.53258760662676252</v>
      </c>
      <c r="BY18" s="28">
        <f t="shared" si="10"/>
        <v>-0.64597895951502271</v>
      </c>
      <c r="BZ18" s="28">
        <f t="shared" si="11"/>
        <v>-0.66272627959759234</v>
      </c>
      <c r="CA18" s="28">
        <f t="shared" si="12"/>
        <v>0.82860134780174466</v>
      </c>
      <c r="CB18" s="28">
        <f t="shared" si="13"/>
        <v>3.5598791654289502E-3</v>
      </c>
      <c r="CC18" s="28">
        <f t="shared" si="14"/>
        <v>-1.3301360625610745E-2</v>
      </c>
      <c r="CD18" s="28">
        <f t="shared" si="15"/>
        <v>0.54829059685033732</v>
      </c>
      <c r="CE18" s="28">
        <f t="shared" si="16"/>
        <v>0.98898929976666605</v>
      </c>
      <c r="CF18" s="28">
        <f t="shared" si="17"/>
        <v>1.1820006068512465</v>
      </c>
      <c r="CG18" s="28">
        <f t="shared" si="18"/>
        <v>1.1978255624157084</v>
      </c>
      <c r="CH18" s="28">
        <f t="shared" si="19"/>
        <v>1.0057573400222757</v>
      </c>
      <c r="CI18" s="28">
        <f t="shared" si="20"/>
        <v>0.84672068891426289</v>
      </c>
      <c r="CJ18" s="28">
        <f t="shared" si="21"/>
        <v>0.56573106856549582</v>
      </c>
      <c r="CK18" s="28">
        <f t="shared" si="22"/>
        <v>0.63637414012671645</v>
      </c>
      <c r="CL18" s="28">
        <f t="shared" si="23"/>
        <v>0.44515972836735018</v>
      </c>
      <c r="CM18" s="28">
        <f t="shared" si="24"/>
        <v>0.18404786149158286</v>
      </c>
      <c r="CN18" s="28">
        <f t="shared" si="25"/>
        <v>-0.28573527364178003</v>
      </c>
      <c r="CO18" s="28">
        <f t="shared" si="26"/>
        <v>0.16273572235201911</v>
      </c>
      <c r="CP18" s="28">
        <f t="shared" si="27"/>
        <v>0.35523555145821095</v>
      </c>
      <c r="CU18" s="21">
        <v>17</v>
      </c>
      <c r="CV18" s="29">
        <f t="shared" si="31"/>
        <v>-1.0076327299462093</v>
      </c>
      <c r="CW18" s="29">
        <f t="shared" si="32"/>
        <v>-2.4510065630175015</v>
      </c>
      <c r="CX18" s="29">
        <f t="shared" si="33"/>
        <v>-0.1913544213250753</v>
      </c>
      <c r="CY18" s="29">
        <f t="shared" si="34"/>
        <v>-3.3022858954888452</v>
      </c>
      <c r="CZ18" s="29">
        <f t="shared" si="35"/>
        <v>4.1892299245990019</v>
      </c>
      <c r="DA18" s="29">
        <f t="shared" si="36"/>
        <v>4.1702975416761285</v>
      </c>
      <c r="DB18" s="29">
        <f t="shared" si="37"/>
        <v>4.3076611060548693</v>
      </c>
      <c r="DC18" s="29">
        <f t="shared" si="38"/>
        <v>-5.2697492341850181</v>
      </c>
      <c r="DF18" s="25">
        <v>17</v>
      </c>
      <c r="DG18" s="31">
        <f t="shared" si="60"/>
        <v>-0.28573527364178003</v>
      </c>
      <c r="DH18" s="31">
        <f t="shared" si="39"/>
        <v>-0.10182503549904587</v>
      </c>
      <c r="DI18" s="31">
        <f t="shared" si="40"/>
        <v>0.16273572235201911</v>
      </c>
      <c r="DJ18" s="31">
        <f t="shared" si="41"/>
        <v>0.34102764645123596</v>
      </c>
      <c r="DK18" s="31">
        <f t="shared" si="42"/>
        <v>-0.82860134780174466</v>
      </c>
      <c r="DL18" s="31">
        <f t="shared" si="43"/>
        <v>-0.65108955478918906</v>
      </c>
      <c r="DM18" s="31">
        <f t="shared" si="44"/>
        <v>-0.82754868009330185</v>
      </c>
      <c r="DN18" s="31">
        <f t="shared" si="45"/>
        <v>-0.64597895951502271</v>
      </c>
      <c r="DO18" s="31">
        <f t="shared" si="46"/>
        <v>-0.84672068891426289</v>
      </c>
      <c r="DP18" s="31">
        <f t="shared" si="47"/>
        <v>-0.66272627959759234</v>
      </c>
      <c r="DQ18" s="31">
        <f t="shared" si="48"/>
        <v>0.35523555145821095</v>
      </c>
      <c r="DR18" s="31">
        <f t="shared" si="49"/>
        <v>0.53258760662676252</v>
      </c>
      <c r="DS18" s="49">
        <f t="shared" si="50"/>
        <v>-0.18037184637664233</v>
      </c>
      <c r="DT18" s="49">
        <f t="shared" si="51"/>
        <v>0.18037184637664233</v>
      </c>
      <c r="DX18">
        <v>17</v>
      </c>
      <c r="DY18" s="19">
        <f t="shared" si="52"/>
        <v>6.7586676690723708</v>
      </c>
      <c r="EM18" s="21">
        <v>17</v>
      </c>
      <c r="EN18" s="16">
        <f t="shared" si="53"/>
        <v>-1.0076327299462093</v>
      </c>
      <c r="EO18" s="16">
        <f t="shared" si="28"/>
        <v>-2.4510065630175015</v>
      </c>
      <c r="EP18" s="16">
        <f t="shared" si="54"/>
        <v>-0.1913544213250753</v>
      </c>
      <c r="EQ18" s="16">
        <f t="shared" si="55"/>
        <v>-3.3022858954888452</v>
      </c>
      <c r="ER18" s="16">
        <f t="shared" si="56"/>
        <v>4.1892299245990019</v>
      </c>
      <c r="ES18" s="16">
        <f t="shared" si="57"/>
        <v>4.1702975416761285</v>
      </c>
      <c r="ET18" s="16">
        <f t="shared" si="58"/>
        <v>4.3076611060548693</v>
      </c>
      <c r="EU18" s="16">
        <f t="shared" si="59"/>
        <v>-5.2697492341850181</v>
      </c>
      <c r="FK18" s="20"/>
      <c r="FL18" s="20"/>
    </row>
    <row r="19" spans="1:168" ht="14.4" thickBot="1" x14ac:dyDescent="0.35">
      <c r="A19" s="37" t="s">
        <v>51</v>
      </c>
      <c r="B19" s="38">
        <v>17</v>
      </c>
      <c r="C19" s="34">
        <f>RTD("fxbluelabs.excelrtd", , "21422436","@bh,AUDUSD,h4,close,17")</f>
        <v>0.66700999999999999</v>
      </c>
      <c r="D19" s="34">
        <f>RTD("fxbluelabs.excelrtd", , "21422436","@bh,AUDNZD,h4,close,17")</f>
        <v>1.1014600000000001</v>
      </c>
      <c r="E19" s="35">
        <f>RTD("fxbluelabs.excelrtd", , "21422436","@bh,AUDJPY,h4,close,17")</f>
        <v>98.436000000000007</v>
      </c>
      <c r="F19" s="34">
        <f>RTD("fxbluelabs.excelrtd", , "21422436","@bh,AUDCHF,h4,close,17")</f>
        <v>0.57755999999999996</v>
      </c>
      <c r="G19" s="34">
        <f>RTD("fxbluelabs.excelrtd", , "21422436","@bh,AUDCAD,h4,close,17")</f>
        <v>0.91229000000000005</v>
      </c>
      <c r="H19" s="34">
        <f>RTD("fxbluelabs.excelrtd", , "21422436","@bh,EURUSD,h4,close,17")</f>
        <v>1.10286</v>
      </c>
      <c r="I19" s="34">
        <f>RTD("fxbluelabs.excelrtd", , "21422436","@bh,EURCAD,h4,close,17")</f>
        <v>1.5085500000000001</v>
      </c>
      <c r="J19" s="34">
        <f>RTD("fxbluelabs.excelrtd", , "21422436","@bh,EURGBP,h4,close,17")</f>
        <v>0.85172999999999999</v>
      </c>
      <c r="K19" s="34">
        <f>RTD("fxbluelabs.excelrtd", , "21422436","@bh,EURCHF,h4,close,17")</f>
        <v>0.95503000000000005</v>
      </c>
      <c r="L19" s="35">
        <f>RTD("fxbluelabs.excelrtd", , "21422436","@bh,EURJPY,h4,close,17")</f>
        <v>162.77500000000001</v>
      </c>
      <c r="M19" s="34">
        <f>RTD("fxbluelabs.excelrtd", , "21422436","@bh,EURAUD,h4,close,17")</f>
        <v>1.65337</v>
      </c>
      <c r="N19" s="34">
        <f>RTD("fxbluelabs.excelrtd", , "21422436","@bh,EURNZD,h4,close,17")</f>
        <v>1.8213600000000001</v>
      </c>
      <c r="O19" s="34">
        <f>RTD("fxbluelabs.excelrtd", , "21422436","@bh,GBPUSD,h4,close,17")</f>
        <v>1.2945</v>
      </c>
      <c r="P19" s="34">
        <f>RTD("fxbluelabs.excelrtd", , "21422436","@bh,GBPAUD,h4,close,17")</f>
        <v>1.9406300000000001</v>
      </c>
      <c r="Q19" s="34">
        <f>RTD("fxbluelabs.excelrtd", , "21422436","@bh,GBPNZD,h4,close,17")</f>
        <v>2.1378300000000001</v>
      </c>
      <c r="R19" s="34">
        <f>RTD("fxbluelabs.excelrtd", , "21422436","@bh,GBPCAD,h4,close,17")</f>
        <v>1.7706500000000001</v>
      </c>
      <c r="S19" s="34">
        <f>RTD("fxbluelabs.excelrtd", , "21422436","@bh,GBPCHF,h4,close,17")</f>
        <v>1.1209800000000001</v>
      </c>
      <c r="T19" s="35">
        <f>RTD("fxbluelabs.excelrtd", , "21422436","@bh,GBPJPY,h4,close,17")</f>
        <v>191.05199999999999</v>
      </c>
      <c r="U19" s="35">
        <f>RTD("fxbluelabs.excelrtd", , "21422436","@bh,NZDJPY,h4,close,17")</f>
        <v>89.352999999999994</v>
      </c>
      <c r="V19" s="34">
        <f>RTD("fxbluelabs.excelrtd", , "21422436","@bh,NZDCHF,h4,close,17")</f>
        <v>0.52427000000000001</v>
      </c>
      <c r="W19" s="34">
        <f>RTD("fxbluelabs.excelrtd", , "21422436","@bh,NZDUSD,h4,close,17")</f>
        <v>0.60541</v>
      </c>
      <c r="X19" s="34">
        <f>RTD("fxbluelabs.excelrtd", , "21422436","@bh,NZDCAD,h4,close,17")</f>
        <v>0.82811000000000001</v>
      </c>
      <c r="Y19" s="35">
        <f>RTD("fxbluelabs.excelrtd", , "21422436","@bh,CADJPY,h4,close,17")</f>
        <v>107.89400000000001</v>
      </c>
      <c r="Z19" s="34">
        <f>RTD("fxbluelabs.excelrtd", , "21422436","@bh,CADCHF,h4,close,17")</f>
        <v>0.63305</v>
      </c>
      <c r="AA19" s="35">
        <f>RTD("fxbluelabs.excelrtd", , "21422436","@bh,CHFJPY,h4,close,17")</f>
        <v>170.41900000000001</v>
      </c>
      <c r="AB19" s="34">
        <f>RTD("fxbluelabs.excelrtd", , "21422436","@bh,USDCAD,h4,close,17")</f>
        <v>1.3678999999999999</v>
      </c>
      <c r="AC19" s="34">
        <f>RTD("fxbluelabs.excelrtd", , "21422436","@bh,USDCHF,h4,close,17")</f>
        <v>0.86599000000000004</v>
      </c>
      <c r="AD19" s="35">
        <f>RTD("fxbluelabs.excelrtd", , "21422436","@bh,USDJPY,h4,close,17")</f>
        <v>147.59800000000001</v>
      </c>
      <c r="AH19" s="21">
        <v>18</v>
      </c>
      <c r="AI19" s="22">
        <f t="shared" ref="AI19:AX28" si="62">IF(C19=0,0,(C19-C20)*100/C20)</f>
        <v>0.21485020583551825</v>
      </c>
      <c r="AJ19" s="22">
        <f t="shared" si="62"/>
        <v>-2.3599462658382069E-2</v>
      </c>
      <c r="AK19" s="22">
        <f t="shared" si="62"/>
        <v>-7.3090510415386084E-2</v>
      </c>
      <c r="AL19" s="22">
        <f t="shared" si="62"/>
        <v>-7.7853324336959823E-2</v>
      </c>
      <c r="AM19" s="22">
        <f t="shared" si="62"/>
        <v>8.2278342146261091E-2</v>
      </c>
      <c r="AN19" s="22">
        <f t="shared" si="62"/>
        <v>0.22446587119112063</v>
      </c>
      <c r="AO19" s="22">
        <f t="shared" si="62"/>
        <v>0.10285335102854429</v>
      </c>
      <c r="AP19" s="22">
        <f t="shared" si="62"/>
        <v>1.4090957128263993E-2</v>
      </c>
      <c r="AQ19" s="22">
        <f t="shared" si="62"/>
        <v>-5.7556667155019926E-2</v>
      </c>
      <c r="AR19" s="22">
        <f t="shared" si="62"/>
        <v>-4.9737191138176588E-2</v>
      </c>
      <c r="AS19" s="22">
        <f t="shared" si="62"/>
        <v>7.863347124432235E-3</v>
      </c>
      <c r="AT19" s="22">
        <f t="shared" si="62"/>
        <v>-4.9411183397800361E-3</v>
      </c>
      <c r="AU19" s="22">
        <f t="shared" si="62"/>
        <v>0.1865195148944751</v>
      </c>
      <c r="AV19" s="22">
        <f t="shared" si="62"/>
        <v>-3.1423214028146927E-2</v>
      </c>
      <c r="AW19" s="22">
        <f t="shared" si="62"/>
        <v>-4.3015780245461599E-2</v>
      </c>
      <c r="AX19" s="22">
        <f t="shared" si="62"/>
        <v>6.3293642944737299E-2</v>
      </c>
      <c r="AY19" s="22">
        <f t="shared" si="61"/>
        <v>-9.8032225866237596E-2</v>
      </c>
      <c r="AZ19" s="22">
        <f t="shared" si="61"/>
        <v>-9.3081629451444478E-2</v>
      </c>
      <c r="BA19" s="22">
        <f t="shared" si="61"/>
        <v>-6.0397955417363348E-2</v>
      </c>
      <c r="BB19" s="22">
        <f t="shared" si="61"/>
        <v>-6.4810049370009518E-2</v>
      </c>
      <c r="BC19" s="22">
        <f t="shared" si="61"/>
        <v>0.21851048684798421</v>
      </c>
      <c r="BD19" s="22">
        <f t="shared" si="61"/>
        <v>9.6698939937873707E-2</v>
      </c>
      <c r="BE19" s="22">
        <f t="shared" si="61"/>
        <v>-0.16100973461153384</v>
      </c>
      <c r="BF19" s="22">
        <f t="shared" si="61"/>
        <v>-0.16716342590401506</v>
      </c>
      <c r="BG19" s="22">
        <f t="shared" si="61"/>
        <v>-2.9338590808779589E-3</v>
      </c>
      <c r="BH19" s="22">
        <f t="shared" si="61"/>
        <v>-0.1226653426598027</v>
      </c>
      <c r="BI19" s="22">
        <f t="shared" si="61"/>
        <v>-0.28096680216021991</v>
      </c>
      <c r="BJ19" s="22">
        <f t="shared" si="61"/>
        <v>-0.27364310182899859</v>
      </c>
      <c r="BN19">
        <v>18</v>
      </c>
      <c r="BO19" s="23">
        <f t="shared" si="30"/>
        <v>0.68662125771581861</v>
      </c>
      <c r="BP19" s="23">
        <f t="shared" si="1"/>
        <v>-0.15632111993349182</v>
      </c>
      <c r="BQ19" s="23">
        <f t="shared" si="2"/>
        <v>0.90332445728924859</v>
      </c>
      <c r="BR19" s="23">
        <f t="shared" si="3"/>
        <v>0.75235037765618085</v>
      </c>
      <c r="BS19" s="23">
        <f t="shared" si="4"/>
        <v>0.45106252091219468</v>
      </c>
      <c r="BT19" s="23">
        <f t="shared" si="5"/>
        <v>0.15407657771152397</v>
      </c>
      <c r="BU19" s="23">
        <f t="shared" si="6"/>
        <v>-7.0669289915540473E-2</v>
      </c>
      <c r="BV19" s="23">
        <f t="shared" si="7"/>
        <v>-0.68631198443238184</v>
      </c>
      <c r="BW19" s="23">
        <f t="shared" si="8"/>
        <v>0.22584801858614381</v>
      </c>
      <c r="BX19" s="23">
        <f t="shared" si="9"/>
        <v>0.38023005786313763</v>
      </c>
      <c r="BY19" s="23">
        <f t="shared" si="10"/>
        <v>-0.53287662912315414</v>
      </c>
      <c r="BZ19" s="23">
        <f t="shared" si="11"/>
        <v>-0.678099407370237</v>
      </c>
      <c r="CA19" s="23">
        <f t="shared" si="12"/>
        <v>0.81469636518296773</v>
      </c>
      <c r="CB19" s="23">
        <f t="shared" si="13"/>
        <v>0.12568516837563298</v>
      </c>
      <c r="CC19" s="23">
        <f t="shared" si="14"/>
        <v>-1.7979001036670855E-2</v>
      </c>
      <c r="CD19" s="23">
        <f t="shared" si="15"/>
        <v>0.58838886584759753</v>
      </c>
      <c r="CE19" s="23">
        <f t="shared" si="16"/>
        <v>0.88640049354354122</v>
      </c>
      <c r="CF19" s="23">
        <f t="shared" si="17"/>
        <v>1.0370139016610285</v>
      </c>
      <c r="CG19" s="23">
        <f t="shared" si="18"/>
        <v>1.046739420931925</v>
      </c>
      <c r="CH19" s="23">
        <f t="shared" si="19"/>
        <v>0.89703473525756294</v>
      </c>
      <c r="CI19" s="23">
        <f t="shared" si="20"/>
        <v>0.8235958644151582</v>
      </c>
      <c r="CJ19" s="23">
        <f t="shared" si="21"/>
        <v>0.59954300176278341</v>
      </c>
      <c r="CK19" s="23">
        <f t="shared" si="22"/>
        <v>0.44729967815478705</v>
      </c>
      <c r="CL19" s="23">
        <f t="shared" si="23"/>
        <v>0.29667224712573381</v>
      </c>
      <c r="CM19" s="23">
        <f t="shared" si="24"/>
        <v>0.14062547314287535</v>
      </c>
      <c r="CN19" s="23">
        <f t="shared" si="25"/>
        <v>-0.22944460911952422</v>
      </c>
      <c r="CO19" s="23">
        <f t="shared" si="26"/>
        <v>7.7284389195751479E-2</v>
      </c>
      <c r="CP19" s="23">
        <f t="shared" si="27"/>
        <v>0.23125013160157831</v>
      </c>
      <c r="CU19" s="21">
        <v>18</v>
      </c>
      <c r="CV19" s="24">
        <f t="shared" si="31"/>
        <v>-1.2078026566805082</v>
      </c>
      <c r="CW19" s="24">
        <f t="shared" si="32"/>
        <v>-2.3999001533476632</v>
      </c>
      <c r="CX19" s="24">
        <f t="shared" si="33"/>
        <v>-0.59490856420699012</v>
      </c>
      <c r="CY19" s="24">
        <f t="shared" si="34"/>
        <v>-2.698292541096305</v>
      </c>
      <c r="CZ19" s="24">
        <f t="shared" si="35"/>
        <v>4.1205177780064792</v>
      </c>
      <c r="DA19" s="24">
        <f t="shared" si="36"/>
        <v>3.0442289543874721</v>
      </c>
      <c r="DB19" s="24">
        <f t="shared" si="37"/>
        <v>4.2193125507078291</v>
      </c>
      <c r="DC19" s="24">
        <f t="shared" si="38"/>
        <v>-4.1864831206445805</v>
      </c>
      <c r="DF19" s="30">
        <v>18</v>
      </c>
      <c r="DG19" s="26">
        <f t="shared" si="60"/>
        <v>-0.22944460911952422</v>
      </c>
      <c r="DH19" s="26">
        <f t="shared" si="39"/>
        <v>-7.0669289915540473E-2</v>
      </c>
      <c r="DI19" s="26">
        <f t="shared" si="40"/>
        <v>7.7284389195751479E-2</v>
      </c>
      <c r="DJ19" s="26">
        <f t="shared" si="41"/>
        <v>0.22584801858614381</v>
      </c>
      <c r="DK19" s="26">
        <f t="shared" si="42"/>
        <v>-0.81469636518296773</v>
      </c>
      <c r="DL19" s="26">
        <f t="shared" si="43"/>
        <v>-0.68631198443238184</v>
      </c>
      <c r="DM19" s="26">
        <f t="shared" si="44"/>
        <v>-0.68662125771581861</v>
      </c>
      <c r="DN19" s="26">
        <f t="shared" si="45"/>
        <v>-0.53287662912315414</v>
      </c>
      <c r="DO19" s="26">
        <f t="shared" si="46"/>
        <v>-0.8235958644151582</v>
      </c>
      <c r="DP19" s="26">
        <f t="shared" si="47"/>
        <v>-0.678099407370237</v>
      </c>
      <c r="DQ19" s="26">
        <f t="shared" si="48"/>
        <v>0.23125013160157831</v>
      </c>
      <c r="DR19" s="26">
        <f t="shared" si="49"/>
        <v>0.38023005786313763</v>
      </c>
      <c r="DS19" s="47">
        <f t="shared" si="50"/>
        <v>-0.15407657771152397</v>
      </c>
      <c r="DT19" s="47">
        <f t="shared" si="51"/>
        <v>0.15407657771152397</v>
      </c>
      <c r="DX19">
        <v>18</v>
      </c>
      <c r="DY19" s="19">
        <f t="shared" si="52"/>
        <v>6.6192127040554922</v>
      </c>
      <c r="EM19" s="21">
        <v>18</v>
      </c>
      <c r="EN19" s="16">
        <f t="shared" si="53"/>
        <v>-1.2078026566805082</v>
      </c>
      <c r="EO19" s="16">
        <f t="shared" si="28"/>
        <v>-2.3999001533476632</v>
      </c>
      <c r="EP19" s="16">
        <f t="shared" si="54"/>
        <v>-0.59490856420699012</v>
      </c>
      <c r="EQ19" s="16">
        <f t="shared" si="55"/>
        <v>-2.698292541096305</v>
      </c>
      <c r="ER19" s="16">
        <f t="shared" si="56"/>
        <v>4.1205177780064792</v>
      </c>
      <c r="ES19" s="16">
        <f t="shared" si="57"/>
        <v>3.0442289543874721</v>
      </c>
      <c r="ET19" s="16">
        <f t="shared" si="58"/>
        <v>4.2193125507078291</v>
      </c>
      <c r="EU19" s="16">
        <f t="shared" si="59"/>
        <v>-4.1864831206445805</v>
      </c>
      <c r="FK19" s="20"/>
      <c r="FL19" s="20"/>
    </row>
    <row r="20" spans="1:168" ht="14.4" thickBot="1" x14ac:dyDescent="0.35">
      <c r="A20" s="37" t="s">
        <v>51</v>
      </c>
      <c r="B20" s="38">
        <v>18</v>
      </c>
      <c r="C20" s="34">
        <f>RTD("fxbluelabs.excelrtd", , "21422436","@bh,AUDUSD,h4,close,18")</f>
        <v>0.66557999999999995</v>
      </c>
      <c r="D20" s="34">
        <f>RTD("fxbluelabs.excelrtd", , "21422436","@bh,AUDNZD,h4,close,18")</f>
        <v>1.10172</v>
      </c>
      <c r="E20" s="35">
        <f>RTD("fxbluelabs.excelrtd", , "21422436","@bh,AUDJPY,h4,close,18")</f>
        <v>98.507999999999996</v>
      </c>
      <c r="F20" s="34">
        <f>RTD("fxbluelabs.excelrtd", , "21422436","@bh,AUDCHF,h4,close,18")</f>
        <v>0.57801000000000002</v>
      </c>
      <c r="G20" s="34">
        <f>RTD("fxbluelabs.excelrtd", , "21422436","@bh,AUDCAD,h4,close,18")</f>
        <v>0.91154000000000002</v>
      </c>
      <c r="H20" s="34">
        <f>RTD("fxbluelabs.excelrtd", , "21422436","@bh,EURUSD,h4,close,18")</f>
        <v>1.10039</v>
      </c>
      <c r="I20" s="34">
        <f>RTD("fxbluelabs.excelrtd", , "21422436","@bh,EURCAD,h4,close,18")</f>
        <v>1.5069999999999999</v>
      </c>
      <c r="J20" s="34">
        <f>RTD("fxbluelabs.excelrtd", , "21422436","@bh,EURGBP,h4,close,18")</f>
        <v>0.85160999999999998</v>
      </c>
      <c r="K20" s="34">
        <f>RTD("fxbluelabs.excelrtd", , "21422436","@bh,EURCHF,h4,close,18")</f>
        <v>0.95557999999999998</v>
      </c>
      <c r="L20" s="35">
        <f>RTD("fxbluelabs.excelrtd", , "21422436","@bh,EURJPY,h4,close,18")</f>
        <v>162.85599999999999</v>
      </c>
      <c r="M20" s="34">
        <f>RTD("fxbluelabs.excelrtd", , "21422436","@bh,EURAUD,h4,close,18")</f>
        <v>1.65324</v>
      </c>
      <c r="N20" s="34">
        <f>RTD("fxbluelabs.excelrtd", , "21422436","@bh,EURNZD,h4,close,18")</f>
        <v>1.82145</v>
      </c>
      <c r="O20" s="34">
        <f>RTD("fxbluelabs.excelrtd", , "21422436","@bh,GBPUSD,h4,close,18")</f>
        <v>1.29209</v>
      </c>
      <c r="P20" s="34">
        <f>RTD("fxbluelabs.excelrtd", , "21422436","@bh,GBPAUD,h4,close,18")</f>
        <v>1.9412400000000001</v>
      </c>
      <c r="Q20" s="34">
        <f>RTD("fxbluelabs.excelrtd", , "21422436","@bh,GBPNZD,h4,close,18")</f>
        <v>2.1387499999999999</v>
      </c>
      <c r="R20" s="34">
        <f>RTD("fxbluelabs.excelrtd", , "21422436","@bh,GBPCAD,h4,close,18")</f>
        <v>1.76953</v>
      </c>
      <c r="S20" s="34">
        <f>RTD("fxbluelabs.excelrtd", , "21422436","@bh,GBPCHF,h4,close,18")</f>
        <v>1.12208</v>
      </c>
      <c r="T20" s="35">
        <f>RTD("fxbluelabs.excelrtd", , "21422436","@bh,GBPJPY,h4,close,18")</f>
        <v>191.23</v>
      </c>
      <c r="U20" s="35">
        <f>RTD("fxbluelabs.excelrtd", , "21422436","@bh,NZDJPY,h4,close,18")</f>
        <v>89.406999999999996</v>
      </c>
      <c r="V20" s="34">
        <f>RTD("fxbluelabs.excelrtd", , "21422436","@bh,NZDCHF,h4,close,18")</f>
        <v>0.52461000000000002</v>
      </c>
      <c r="W20" s="34">
        <f>RTD("fxbluelabs.excelrtd", , "21422436","@bh,NZDUSD,h4,close,18")</f>
        <v>0.60409000000000002</v>
      </c>
      <c r="X20" s="34">
        <f>RTD("fxbluelabs.excelrtd", , "21422436","@bh,NZDCAD,h4,close,18")</f>
        <v>0.82730999999999999</v>
      </c>
      <c r="Y20" s="35">
        <f>RTD("fxbluelabs.excelrtd", , "21422436","@bh,CADJPY,h4,close,18")</f>
        <v>108.068</v>
      </c>
      <c r="Z20" s="34">
        <f>RTD("fxbluelabs.excelrtd", , "21422436","@bh,CADCHF,h4,close,18")</f>
        <v>0.63410999999999995</v>
      </c>
      <c r="AA20" s="35">
        <f>RTD("fxbluelabs.excelrtd", , "21422436","@bh,CHFJPY,h4,close,18")</f>
        <v>170.42400000000001</v>
      </c>
      <c r="AB20" s="34">
        <f>RTD("fxbluelabs.excelrtd", , "21422436","@bh,USDCAD,h4,close,18")</f>
        <v>1.36958</v>
      </c>
      <c r="AC20" s="34">
        <f>RTD("fxbluelabs.excelrtd", , "21422436","@bh,USDCHF,h4,close,18")</f>
        <v>0.86843000000000004</v>
      </c>
      <c r="AD20" s="35">
        <f>RTD("fxbluelabs.excelrtd", , "21422436","@bh,USDJPY,h4,close,18")</f>
        <v>148.00299999999999</v>
      </c>
      <c r="AH20" s="21">
        <v>19</v>
      </c>
      <c r="AI20" s="27">
        <f t="shared" si="62"/>
        <v>0.44064829626051405</v>
      </c>
      <c r="AJ20" s="27">
        <f t="shared" si="62"/>
        <v>0.15272171921022198</v>
      </c>
      <c r="AK20" s="27">
        <f t="shared" si="62"/>
        <v>0.65394204438631687</v>
      </c>
      <c r="AL20" s="27">
        <f t="shared" si="62"/>
        <v>0.62497823891925453</v>
      </c>
      <c r="AM20" s="27">
        <f t="shared" si="62"/>
        <v>0.21878951129680033</v>
      </c>
      <c r="AN20" s="27">
        <f t="shared" si="62"/>
        <v>9.0049117700568171E-2</v>
      </c>
      <c r="AO20" s="27">
        <f t="shared" si="62"/>
        <v>-0.1312144627496781</v>
      </c>
      <c r="AP20" s="27">
        <f t="shared" si="62"/>
        <v>-9.1507408580579652E-2</v>
      </c>
      <c r="AQ20" s="27">
        <f t="shared" si="62"/>
        <v>0.27388060484590293</v>
      </c>
      <c r="AR20" s="27">
        <f t="shared" si="62"/>
        <v>0.30302283757482584</v>
      </c>
      <c r="AS20" s="27">
        <f t="shared" si="62"/>
        <v>-0.34599573231743941</v>
      </c>
      <c r="AT20" s="27">
        <f t="shared" si="62"/>
        <v>-0.19506742428808652</v>
      </c>
      <c r="AU20" s="27">
        <f t="shared" si="62"/>
        <v>0.18220726658084979</v>
      </c>
      <c r="AV20" s="27">
        <f t="shared" si="62"/>
        <v>-0.25434310113606634</v>
      </c>
      <c r="AW20" s="27">
        <f t="shared" si="62"/>
        <v>-0.10369131748692831</v>
      </c>
      <c r="AX20" s="27">
        <f t="shared" si="62"/>
        <v>-3.9542884257973421E-2</v>
      </c>
      <c r="AY20" s="27">
        <f t="shared" si="61"/>
        <v>0.36673285747508833</v>
      </c>
      <c r="AZ20" s="27">
        <f t="shared" si="61"/>
        <v>0.39637747735923112</v>
      </c>
      <c r="BA20" s="27">
        <f t="shared" si="61"/>
        <v>0.50473257042649122</v>
      </c>
      <c r="BB20" s="27">
        <f t="shared" si="61"/>
        <v>0.47497749602590117</v>
      </c>
      <c r="BC20" s="27">
        <f t="shared" si="61"/>
        <v>0.29219862865870599</v>
      </c>
      <c r="BD20" s="27">
        <f t="shared" si="61"/>
        <v>6.8945496770442871E-2</v>
      </c>
      <c r="BE20" s="27">
        <f t="shared" si="61"/>
        <v>0.43681109314299416</v>
      </c>
      <c r="BF20" s="27">
        <f t="shared" si="61"/>
        <v>0.40853166120372991</v>
      </c>
      <c r="BG20" s="27">
        <f t="shared" si="61"/>
        <v>3.1108580685678473E-2</v>
      </c>
      <c r="BH20" s="27">
        <f t="shared" si="61"/>
        <v>-0.22147426090250263</v>
      </c>
      <c r="BI20" s="27">
        <f t="shared" si="61"/>
        <v>0.18342485349083801</v>
      </c>
      <c r="BJ20" s="27">
        <f t="shared" si="61"/>
        <v>0.21328747088456596</v>
      </c>
      <c r="BN20">
        <v>19</v>
      </c>
      <c r="BO20" s="28">
        <f t="shared" si="30"/>
        <v>0.47177105188030033</v>
      </c>
      <c r="BP20" s="28">
        <f t="shared" si="1"/>
        <v>-0.13272165727510971</v>
      </c>
      <c r="BQ20" s="28">
        <f t="shared" si="2"/>
        <v>0.97641496770463476</v>
      </c>
      <c r="BR20" s="28">
        <f t="shared" si="3"/>
        <v>0.83020370199314064</v>
      </c>
      <c r="BS20" s="28">
        <f t="shared" si="4"/>
        <v>0.36878417876593361</v>
      </c>
      <c r="BT20" s="28">
        <f t="shared" si="5"/>
        <v>-7.0389293479596715E-2</v>
      </c>
      <c r="BU20" s="28">
        <f t="shared" si="6"/>
        <v>-0.17352264094408476</v>
      </c>
      <c r="BV20" s="28">
        <f t="shared" si="7"/>
        <v>-0.70040294156064586</v>
      </c>
      <c r="BW20" s="28">
        <f t="shared" si="8"/>
        <v>0.28340468574116373</v>
      </c>
      <c r="BX20" s="28">
        <f t="shared" si="9"/>
        <v>0.42996724900131422</v>
      </c>
      <c r="BY20" s="28">
        <f t="shared" si="10"/>
        <v>-0.54073997624758641</v>
      </c>
      <c r="BZ20" s="28">
        <f t="shared" si="11"/>
        <v>-0.67315828903045682</v>
      </c>
      <c r="CA20" s="28">
        <f t="shared" si="12"/>
        <v>0.62817685028849257</v>
      </c>
      <c r="CB20" s="28">
        <f t="shared" si="13"/>
        <v>0.15710838240377994</v>
      </c>
      <c r="CC20" s="28">
        <f t="shared" si="14"/>
        <v>2.5036779208790771E-2</v>
      </c>
      <c r="CD20" s="28">
        <f t="shared" si="15"/>
        <v>0.52509522290286026</v>
      </c>
      <c r="CE20" s="28">
        <f t="shared" si="16"/>
        <v>0.98443271940977872</v>
      </c>
      <c r="CF20" s="28">
        <f t="shared" si="17"/>
        <v>1.130095531112473</v>
      </c>
      <c r="CG20" s="28">
        <f t="shared" si="18"/>
        <v>1.107137376349288</v>
      </c>
      <c r="CH20" s="28">
        <f t="shared" si="19"/>
        <v>0.96184478462757261</v>
      </c>
      <c r="CI20" s="28">
        <f t="shared" si="20"/>
        <v>0.60508537756717384</v>
      </c>
      <c r="CJ20" s="28">
        <f t="shared" si="21"/>
        <v>0.5028440618249097</v>
      </c>
      <c r="CK20" s="28">
        <f t="shared" si="22"/>
        <v>0.60830941276632067</v>
      </c>
      <c r="CL20" s="28">
        <f t="shared" si="23"/>
        <v>0.46383567302974893</v>
      </c>
      <c r="CM20" s="28">
        <f t="shared" si="24"/>
        <v>0.14355933222375333</v>
      </c>
      <c r="CN20" s="28">
        <f t="shared" si="25"/>
        <v>-0.10677926645972149</v>
      </c>
      <c r="CO20" s="28">
        <f t="shared" si="26"/>
        <v>0.35825119135597144</v>
      </c>
      <c r="CP20" s="28">
        <f t="shared" si="27"/>
        <v>0.5048932334305769</v>
      </c>
      <c r="CU20" s="21">
        <v>19</v>
      </c>
      <c r="CV20" s="29">
        <f t="shared" si="31"/>
        <v>-1.4448412065198926</v>
      </c>
      <c r="CW20" s="29">
        <f t="shared" si="32"/>
        <v>-0.87827882792954326</v>
      </c>
      <c r="CX20" s="29">
        <f t="shared" si="33"/>
        <v>-4.427647029382753E-2</v>
      </c>
      <c r="CY20" s="29">
        <f t="shared" si="34"/>
        <v>-3.274577750903874</v>
      </c>
      <c r="CZ20" s="29">
        <f t="shared" si="35"/>
        <v>4.1503484268868212</v>
      </c>
      <c r="DA20" s="29">
        <f t="shared" si="36"/>
        <v>2.898083836912706</v>
      </c>
      <c r="DB20" s="29">
        <f t="shared" si="37"/>
        <v>3.9577547674657194</v>
      </c>
      <c r="DC20" s="29">
        <f t="shared" si="38"/>
        <v>-4.9003771025883607</v>
      </c>
      <c r="DF20" s="17">
        <v>19</v>
      </c>
      <c r="DG20" s="31">
        <f t="shared" si="60"/>
        <v>-0.10677926645972149</v>
      </c>
      <c r="DH20" s="31">
        <f t="shared" si="39"/>
        <v>-0.17352264094408476</v>
      </c>
      <c r="DI20" s="31">
        <f t="shared" si="40"/>
        <v>0.35825119135597144</v>
      </c>
      <c r="DJ20" s="31">
        <f t="shared" si="41"/>
        <v>0.28340468574116373</v>
      </c>
      <c r="DK20" s="31">
        <f t="shared" si="42"/>
        <v>-0.62817685028849257</v>
      </c>
      <c r="DL20" s="31">
        <f t="shared" si="43"/>
        <v>-0.70040294156064586</v>
      </c>
      <c r="DM20" s="31">
        <f t="shared" si="44"/>
        <v>-0.47177105188030033</v>
      </c>
      <c r="DN20" s="31">
        <f t="shared" si="45"/>
        <v>-0.54073997624758641</v>
      </c>
      <c r="DO20" s="31">
        <f t="shared" si="46"/>
        <v>-0.60508537756717384</v>
      </c>
      <c r="DP20" s="31">
        <f t="shared" si="47"/>
        <v>-0.67315828903045682</v>
      </c>
      <c r="DQ20" s="31">
        <f t="shared" si="48"/>
        <v>0.5048932334305769</v>
      </c>
      <c r="DR20" s="31">
        <f t="shared" si="49"/>
        <v>0.42996724900131422</v>
      </c>
      <c r="DS20" s="49">
        <f t="shared" si="50"/>
        <v>7.0389293479596715E-2</v>
      </c>
      <c r="DT20" s="49">
        <f t="shared" si="51"/>
        <v>-7.0389293479596715E-2</v>
      </c>
      <c r="DX20">
        <v>19</v>
      </c>
      <c r="DY20" s="19">
        <f t="shared" si="52"/>
        <v>4.8360335953952625</v>
      </c>
      <c r="EM20" s="21">
        <v>19</v>
      </c>
      <c r="EN20" s="16">
        <f t="shared" si="53"/>
        <v>-1.4448412065198926</v>
      </c>
      <c r="EO20" s="16">
        <f t="shared" si="28"/>
        <v>-0.87827882792954326</v>
      </c>
      <c r="EP20" s="16">
        <f t="shared" si="54"/>
        <v>-4.427647029382753E-2</v>
      </c>
      <c r="EQ20" s="16">
        <f t="shared" si="55"/>
        <v>-3.274577750903874</v>
      </c>
      <c r="ER20" s="16">
        <f t="shared" si="56"/>
        <v>4.1503484268868212</v>
      </c>
      <c r="ES20" s="16">
        <f t="shared" si="57"/>
        <v>2.898083836912706</v>
      </c>
      <c r="ET20" s="16">
        <f t="shared" si="58"/>
        <v>3.9577547674657194</v>
      </c>
      <c r="EU20" s="16">
        <f t="shared" si="59"/>
        <v>-4.9003771025883607</v>
      </c>
      <c r="FK20" s="20"/>
      <c r="FL20" s="20"/>
    </row>
    <row r="21" spans="1:168" ht="14.4" thickBot="1" x14ac:dyDescent="0.35">
      <c r="A21" s="37" t="s">
        <v>51</v>
      </c>
      <c r="B21" s="38">
        <v>19</v>
      </c>
      <c r="C21" s="34">
        <f>RTD("fxbluelabs.excelrtd", , "21422436","@bh,AUDUSD,h4,close,19")</f>
        <v>0.66266000000000003</v>
      </c>
      <c r="D21" s="34">
        <f>RTD("fxbluelabs.excelrtd", , "21422436","@bh,AUDNZD,h4,close,19")</f>
        <v>1.1000399999999999</v>
      </c>
      <c r="E21" s="35">
        <f>RTD("fxbluelabs.excelrtd", , "21422436","@bh,AUDJPY,h4,close,19")</f>
        <v>97.867999999999995</v>
      </c>
      <c r="F21" s="34">
        <f>RTD("fxbluelabs.excelrtd", , "21422436","@bh,AUDCHF,h4,close,19")</f>
        <v>0.57442000000000004</v>
      </c>
      <c r="G21" s="34">
        <f>RTD("fxbluelabs.excelrtd", , "21422436","@bh,AUDCAD,h4,close,19")</f>
        <v>0.90954999999999997</v>
      </c>
      <c r="H21" s="34">
        <f>RTD("fxbluelabs.excelrtd", , "21422436","@bh,EURUSD,h4,close,19")</f>
        <v>1.0993999999999999</v>
      </c>
      <c r="I21" s="34">
        <f>RTD("fxbluelabs.excelrtd", , "21422436","@bh,EURCAD,h4,close,19")</f>
        <v>1.50898</v>
      </c>
      <c r="J21" s="34">
        <f>RTD("fxbluelabs.excelrtd", , "21422436","@bh,EURGBP,h4,close,19")</f>
        <v>0.85238999999999998</v>
      </c>
      <c r="K21" s="34">
        <f>RTD("fxbluelabs.excelrtd", , "21422436","@bh,EURCHF,h4,close,19")</f>
        <v>0.95296999999999998</v>
      </c>
      <c r="L21" s="35">
        <f>RTD("fxbluelabs.excelrtd", , "21422436","@bh,EURJPY,h4,close,19")</f>
        <v>162.364</v>
      </c>
      <c r="M21" s="34">
        <f>RTD("fxbluelabs.excelrtd", , "21422436","@bh,EURAUD,h4,close,19")</f>
        <v>1.6589799999999999</v>
      </c>
      <c r="N21" s="34">
        <f>RTD("fxbluelabs.excelrtd", , "21422436","@bh,EURNZD,h4,close,19")</f>
        <v>1.82501</v>
      </c>
      <c r="O21" s="34">
        <f>RTD("fxbluelabs.excelrtd", , "21422436","@bh,GBPUSD,h4,close,19")</f>
        <v>1.2897400000000001</v>
      </c>
      <c r="P21" s="34">
        <f>RTD("fxbluelabs.excelrtd", , "21422436","@bh,GBPAUD,h4,close,19")</f>
        <v>1.9461900000000001</v>
      </c>
      <c r="Q21" s="34">
        <f>RTD("fxbluelabs.excelrtd", , "21422436","@bh,GBPNZD,h4,close,19")</f>
        <v>2.1409699999999998</v>
      </c>
      <c r="R21" s="34">
        <f>RTD("fxbluelabs.excelrtd", , "21422436","@bh,GBPCAD,h4,close,19")</f>
        <v>1.77023</v>
      </c>
      <c r="S21" s="34">
        <f>RTD("fxbluelabs.excelrtd", , "21422436","@bh,GBPCHF,h4,close,19")</f>
        <v>1.11798</v>
      </c>
      <c r="T21" s="35">
        <f>RTD("fxbluelabs.excelrtd", , "21422436","@bh,GBPJPY,h4,close,19")</f>
        <v>190.47499999999999</v>
      </c>
      <c r="U21" s="35">
        <f>RTD("fxbluelabs.excelrtd", , "21422436","@bh,NZDJPY,h4,close,19")</f>
        <v>88.957999999999998</v>
      </c>
      <c r="V21" s="34">
        <f>RTD("fxbluelabs.excelrtd", , "21422436","@bh,NZDCHF,h4,close,19")</f>
        <v>0.52212999999999998</v>
      </c>
      <c r="W21" s="34">
        <f>RTD("fxbluelabs.excelrtd", , "21422436","@bh,NZDUSD,h4,close,19")</f>
        <v>0.60233000000000003</v>
      </c>
      <c r="X21" s="34">
        <f>RTD("fxbluelabs.excelrtd", , "21422436","@bh,NZDCAD,h4,close,19")</f>
        <v>0.82674000000000003</v>
      </c>
      <c r="Y21" s="35">
        <f>RTD("fxbluelabs.excelrtd", , "21422436","@bh,CADJPY,h4,close,19")</f>
        <v>107.598</v>
      </c>
      <c r="Z21" s="34">
        <f>RTD("fxbluelabs.excelrtd", , "21422436","@bh,CADCHF,h4,close,19")</f>
        <v>0.63153000000000004</v>
      </c>
      <c r="AA21" s="35">
        <f>RTD("fxbluelabs.excelrtd", , "21422436","@bh,CHFJPY,h4,close,19")</f>
        <v>170.37100000000001</v>
      </c>
      <c r="AB21" s="34">
        <f>RTD("fxbluelabs.excelrtd", , "21422436","@bh,USDCAD,h4,close,19")</f>
        <v>1.37262</v>
      </c>
      <c r="AC21" s="34">
        <f>RTD("fxbluelabs.excelrtd", , "21422436","@bh,USDCHF,h4,close,19")</f>
        <v>0.86684000000000005</v>
      </c>
      <c r="AD21" s="35">
        <f>RTD("fxbluelabs.excelrtd", , "21422436","@bh,USDJPY,h4,close,19")</f>
        <v>147.68799999999999</v>
      </c>
      <c r="AH21" s="21">
        <v>20</v>
      </c>
      <c r="AI21" s="22">
        <f t="shared" si="62"/>
        <v>-8.5943036352390492E-2</v>
      </c>
      <c r="AJ21" s="22">
        <f t="shared" si="62"/>
        <v>-0.1642691836456949</v>
      </c>
      <c r="AK21" s="22">
        <f t="shared" si="62"/>
        <v>-0.77157833902808493</v>
      </c>
      <c r="AL21" s="22">
        <f t="shared" si="62"/>
        <v>-0.2950774144275366</v>
      </c>
      <c r="AM21" s="22">
        <f t="shared" si="62"/>
        <v>-5.6040261081688074E-2</v>
      </c>
      <c r="AN21" s="22">
        <f>IF(H21=0,0,(H21-H22)*100/H22)</f>
        <v>0.11838630361532253</v>
      </c>
      <c r="AO21" s="22">
        <f t="shared" si="62"/>
        <v>0.14600671630894888</v>
      </c>
      <c r="AP21" s="22">
        <f t="shared" si="62"/>
        <v>2.4642681123698332E-2</v>
      </c>
      <c r="AQ21" s="22">
        <f t="shared" si="62"/>
        <v>-9.4352479897681224E-2</v>
      </c>
      <c r="AR21" s="22">
        <f t="shared" si="62"/>
        <v>-0.57256933600328375</v>
      </c>
      <c r="AS21" s="22">
        <f t="shared" si="62"/>
        <v>0.20052426222775147</v>
      </c>
      <c r="AT21" s="22">
        <f t="shared" si="62"/>
        <v>3.6725610357715578E-2</v>
      </c>
      <c r="AU21" s="22">
        <f t="shared" si="62"/>
        <v>9.2351868379187796E-2</v>
      </c>
      <c r="AV21" s="22">
        <f t="shared" si="62"/>
        <v>0.1734591984846818</v>
      </c>
      <c r="AW21" s="22">
        <f t="shared" si="62"/>
        <v>8.8752697614847137E-3</v>
      </c>
      <c r="AX21" s="22">
        <f t="shared" si="62"/>
        <v>0.11933579168835014</v>
      </c>
      <c r="AY21" s="22">
        <f t="shared" si="61"/>
        <v>-0.11971554157882631</v>
      </c>
      <c r="AZ21" s="22">
        <f t="shared" si="61"/>
        <v>-0.59857427644008498</v>
      </c>
      <c r="BA21" s="22">
        <f t="shared" si="61"/>
        <v>-0.60780764675649368</v>
      </c>
      <c r="BB21" s="22">
        <f t="shared" si="61"/>
        <v>-0.13006637210459132</v>
      </c>
      <c r="BC21" s="22">
        <f t="shared" si="61"/>
        <v>7.9754091551056894E-2</v>
      </c>
      <c r="BD21" s="22">
        <f t="shared" si="61"/>
        <v>0.10776775443483168</v>
      </c>
      <c r="BE21" s="22">
        <f t="shared" si="61"/>
        <v>-0.71695501730103905</v>
      </c>
      <c r="BF21" s="22">
        <f t="shared" si="61"/>
        <v>-0.2401074164757864</v>
      </c>
      <c r="BG21" s="22">
        <f t="shared" si="61"/>
        <v>-0.47957848497593225</v>
      </c>
      <c r="BH21" s="22">
        <f t="shared" si="61"/>
        <v>2.6963016942975513E-2</v>
      </c>
      <c r="BI21" s="22">
        <f t="shared" si="61"/>
        <v>-0.2106668815545602</v>
      </c>
      <c r="BJ21" s="22">
        <f t="shared" si="61"/>
        <v>-0.6892470732215783</v>
      </c>
      <c r="BN21">
        <v>20</v>
      </c>
      <c r="BO21" s="23">
        <f t="shared" si="30"/>
        <v>3.1122755619786335E-2</v>
      </c>
      <c r="BP21" s="23">
        <f t="shared" si="1"/>
        <v>-0.28544337648533169</v>
      </c>
      <c r="BQ21" s="23">
        <f t="shared" si="2"/>
        <v>0.32247292331831778</v>
      </c>
      <c r="BR21" s="23">
        <f t="shared" si="3"/>
        <v>0.20522546307388606</v>
      </c>
      <c r="BS21" s="23">
        <f t="shared" si="4"/>
        <v>0.14999466746913329</v>
      </c>
      <c r="BT21" s="23">
        <f t="shared" si="5"/>
        <v>-0.16043841118016483</v>
      </c>
      <c r="BU21" s="23">
        <f t="shared" si="6"/>
        <v>-4.2308178194406659E-2</v>
      </c>
      <c r="BV21" s="23">
        <f t="shared" si="7"/>
        <v>-0.60889553298006627</v>
      </c>
      <c r="BW21" s="23">
        <f t="shared" si="8"/>
        <v>9.5240808952608003E-3</v>
      </c>
      <c r="BX21" s="23">
        <f t="shared" si="9"/>
        <v>0.12694441142648838</v>
      </c>
      <c r="BY21" s="23">
        <f t="shared" si="10"/>
        <v>-0.19474424393014697</v>
      </c>
      <c r="BZ21" s="23">
        <f t="shared" si="11"/>
        <v>-0.47809086474237039</v>
      </c>
      <c r="CA21" s="23">
        <f t="shared" si="12"/>
        <v>0.44596958370764289</v>
      </c>
      <c r="CB21" s="23">
        <f t="shared" si="13"/>
        <v>0.41145148353984629</v>
      </c>
      <c r="CC21" s="23">
        <f t="shared" si="14"/>
        <v>0.12872809669571905</v>
      </c>
      <c r="CD21" s="23">
        <f t="shared" si="15"/>
        <v>0.56463810716083362</v>
      </c>
      <c r="CE21" s="23">
        <f t="shared" si="16"/>
        <v>0.6176998619346904</v>
      </c>
      <c r="CF21" s="23">
        <f t="shared" si="17"/>
        <v>0.73371805375324173</v>
      </c>
      <c r="CG21" s="23">
        <f t="shared" si="18"/>
        <v>0.60240480592279688</v>
      </c>
      <c r="CH21" s="23">
        <f t="shared" si="19"/>
        <v>0.48686728860167133</v>
      </c>
      <c r="CI21" s="23">
        <f t="shared" si="20"/>
        <v>0.31288674890846779</v>
      </c>
      <c r="CJ21" s="23">
        <f t="shared" si="21"/>
        <v>0.43389856505446678</v>
      </c>
      <c r="CK21" s="23">
        <f t="shared" si="22"/>
        <v>0.17149831962332673</v>
      </c>
      <c r="CL21" s="23">
        <f t="shared" si="23"/>
        <v>5.5304011826018989E-2</v>
      </c>
      <c r="CM21" s="23">
        <f t="shared" si="24"/>
        <v>0.11245075153807482</v>
      </c>
      <c r="CN21" s="23">
        <f t="shared" si="25"/>
        <v>0.11469499444278114</v>
      </c>
      <c r="CO21" s="23">
        <f t="shared" si="26"/>
        <v>0.17482633786513341</v>
      </c>
      <c r="CP21" s="23">
        <f t="shared" si="27"/>
        <v>0.29160576254601089</v>
      </c>
      <c r="CU21" s="21">
        <v>20</v>
      </c>
      <c r="CV21" s="24">
        <f t="shared" si="31"/>
        <v>-1.3480087387054058</v>
      </c>
      <c r="CW21" s="24">
        <f t="shared" si="32"/>
        <v>-4.8413582201806749E-2</v>
      </c>
      <c r="CX21" s="24">
        <f t="shared" si="33"/>
        <v>-0.99411582448346236</v>
      </c>
      <c r="CY21" s="24">
        <f t="shared" si="34"/>
        <v>-1.3816922808325671</v>
      </c>
      <c r="CZ21" s="24">
        <f t="shared" si="35"/>
        <v>3.5111007197720405</v>
      </c>
      <c r="DA21" s="24">
        <f t="shared" si="36"/>
        <v>0.20666519338609246</v>
      </c>
      <c r="DB21" s="24">
        <f t="shared" si="37"/>
        <v>2.4708635530193859</v>
      </c>
      <c r="DC21" s="24">
        <f t="shared" si="38"/>
        <v>-2.3610950281282572</v>
      </c>
      <c r="DF21" s="25">
        <v>20</v>
      </c>
      <c r="DG21" s="26">
        <f t="shared" si="60"/>
        <v>0.11469499444278114</v>
      </c>
      <c r="DH21" s="26">
        <f t="shared" si="39"/>
        <v>-4.2308178194406659E-2</v>
      </c>
      <c r="DI21" s="26">
        <f t="shared" si="40"/>
        <v>0.17482633786513341</v>
      </c>
      <c r="DJ21" s="26">
        <f t="shared" si="41"/>
        <v>9.5240808952608003E-3</v>
      </c>
      <c r="DK21" s="26">
        <f t="shared" si="42"/>
        <v>-0.44596958370764289</v>
      </c>
      <c r="DL21" s="26">
        <f t="shared" si="43"/>
        <v>-0.60889553298006627</v>
      </c>
      <c r="DM21" s="26">
        <f t="shared" si="44"/>
        <v>-3.1122755619786335E-2</v>
      </c>
      <c r="DN21" s="26">
        <f t="shared" si="45"/>
        <v>-0.19474424393014697</v>
      </c>
      <c r="DO21" s="26">
        <f t="shared" si="46"/>
        <v>-0.31288674890846779</v>
      </c>
      <c r="DP21" s="26">
        <f t="shared" si="47"/>
        <v>-0.47809086474237039</v>
      </c>
      <c r="DQ21" s="26">
        <f t="shared" si="48"/>
        <v>0.29160576254601089</v>
      </c>
      <c r="DR21" s="26">
        <f t="shared" si="49"/>
        <v>0.12694441142648838</v>
      </c>
      <c r="DS21" s="47">
        <f>-(BT21)</f>
        <v>0.16043841118016483</v>
      </c>
      <c r="DT21" s="47">
        <f t="shared" si="51"/>
        <v>-0.16043841118016483</v>
      </c>
      <c r="DX21">
        <v>20</v>
      </c>
      <c r="DY21" s="19">
        <f t="shared" si="52"/>
        <v>2.5192771352211927</v>
      </c>
      <c r="EM21" s="21">
        <v>20</v>
      </c>
      <c r="EN21" s="16">
        <f t="shared" si="53"/>
        <v>-1.3480087387054058</v>
      </c>
      <c r="EO21" s="16">
        <f t="shared" si="28"/>
        <v>-4.8413582201806749E-2</v>
      </c>
      <c r="EP21" s="16">
        <f t="shared" si="54"/>
        <v>-0.99411582448346236</v>
      </c>
      <c r="EQ21" s="16">
        <f t="shared" si="55"/>
        <v>-1.3816922808325671</v>
      </c>
      <c r="ER21" s="16">
        <f t="shared" si="56"/>
        <v>3.5111007197720405</v>
      </c>
      <c r="ES21" s="16">
        <f t="shared" si="57"/>
        <v>0.20666519338609246</v>
      </c>
      <c r="ET21" s="16">
        <f t="shared" si="58"/>
        <v>2.4708635530193859</v>
      </c>
      <c r="EU21" s="16">
        <f t="shared" si="59"/>
        <v>-2.3610950281282572</v>
      </c>
      <c r="FK21" s="20"/>
      <c r="FL21" s="20"/>
    </row>
    <row r="22" spans="1:168" ht="14.4" thickBot="1" x14ac:dyDescent="0.35">
      <c r="A22" s="37" t="s">
        <v>51</v>
      </c>
      <c r="B22" s="38">
        <v>20</v>
      </c>
      <c r="C22" s="34">
        <f>RTD("fxbluelabs.excelrtd", , "21422436","@bh,AUDUSD,h4,close,20")</f>
        <v>0.66322999999999999</v>
      </c>
      <c r="D22" s="34">
        <f>RTD("fxbluelabs.excelrtd", , "21422436","@bh,AUDNZD,h4,close,20")</f>
        <v>1.10185</v>
      </c>
      <c r="E22" s="35">
        <f>RTD("fxbluelabs.excelrtd", , "21422436","@bh,AUDJPY,h4,close,20")</f>
        <v>98.629000000000005</v>
      </c>
      <c r="F22" s="34">
        <f>RTD("fxbluelabs.excelrtd", , "21422436","@bh,AUDCHF,h4,close,20")</f>
        <v>0.57611999999999997</v>
      </c>
      <c r="G22" s="34">
        <f>RTD("fxbluelabs.excelrtd", , "21422436","@bh,AUDCAD,h4,close,20")</f>
        <v>0.91005999999999998</v>
      </c>
      <c r="H22" s="34">
        <f>RTD("fxbluelabs.excelrtd", , "21422436","@bh,EURUSD,h4,close,20")</f>
        <v>1.0981000000000001</v>
      </c>
      <c r="I22" s="34">
        <f>RTD("fxbluelabs.excelrtd", , "21422436","@bh,EURCAD,h4,close,20")</f>
        <v>1.50678</v>
      </c>
      <c r="J22" s="34">
        <f>RTD("fxbluelabs.excelrtd", , "21422436","@bh,EURGBP,h4,close,20")</f>
        <v>0.85218000000000005</v>
      </c>
      <c r="K22" s="34">
        <f>RTD("fxbluelabs.excelrtd", , "21422436","@bh,EURCHF,h4,close,20")</f>
        <v>0.95387</v>
      </c>
      <c r="L22" s="35">
        <f>RTD("fxbluelabs.excelrtd", , "21422436","@bh,EURJPY,h4,close,20")</f>
        <v>163.29900000000001</v>
      </c>
      <c r="M22" s="34">
        <f>RTD("fxbluelabs.excelrtd", , "21422436","@bh,EURAUD,h4,close,20")</f>
        <v>1.6556599999999999</v>
      </c>
      <c r="N22" s="34">
        <f>RTD("fxbluelabs.excelrtd", , "21422436","@bh,EURNZD,h4,close,20")</f>
        <v>1.8243400000000001</v>
      </c>
      <c r="O22" s="34">
        <f>RTD("fxbluelabs.excelrtd", , "21422436","@bh,GBPUSD,h4,close,20")</f>
        <v>1.2885500000000001</v>
      </c>
      <c r="P22" s="34">
        <f>RTD("fxbluelabs.excelrtd", , "21422436","@bh,GBPAUD,h4,close,20")</f>
        <v>1.94282</v>
      </c>
      <c r="Q22" s="34">
        <f>RTD("fxbluelabs.excelrtd", , "21422436","@bh,GBPNZD,h4,close,20")</f>
        <v>2.1407799999999999</v>
      </c>
      <c r="R22" s="34">
        <f>RTD("fxbluelabs.excelrtd", , "21422436","@bh,GBPCAD,h4,close,20")</f>
        <v>1.7681199999999999</v>
      </c>
      <c r="S22" s="34">
        <f>RTD("fxbluelabs.excelrtd", , "21422436","@bh,GBPCHF,h4,close,20")</f>
        <v>1.1193200000000001</v>
      </c>
      <c r="T22" s="35">
        <f>RTD("fxbluelabs.excelrtd", , "21422436","@bh,GBPJPY,h4,close,20")</f>
        <v>191.62200000000001</v>
      </c>
      <c r="U22" s="35">
        <f>RTD("fxbluelabs.excelrtd", , "21422436","@bh,NZDJPY,h4,close,20")</f>
        <v>89.501999999999995</v>
      </c>
      <c r="V22" s="34">
        <f>RTD("fxbluelabs.excelrtd", , "21422436","@bh,NZDCHF,h4,close,20")</f>
        <v>0.52281</v>
      </c>
      <c r="W22" s="34">
        <f>RTD("fxbluelabs.excelrtd", , "21422436","@bh,NZDUSD,h4,close,20")</f>
        <v>0.60185</v>
      </c>
      <c r="X22" s="34">
        <f>RTD("fxbluelabs.excelrtd", , "21422436","@bh,NZDCAD,h4,close,20")</f>
        <v>0.82584999999999997</v>
      </c>
      <c r="Y22" s="35">
        <f>RTD("fxbluelabs.excelrtd", , "21422436","@bh,CADJPY,h4,close,20")</f>
        <v>108.375</v>
      </c>
      <c r="Z22" s="34">
        <f>RTD("fxbluelabs.excelrtd", , "21422436","@bh,CADCHF,h4,close,20")</f>
        <v>0.63305</v>
      </c>
      <c r="AA22" s="35">
        <f>RTD("fxbluelabs.excelrtd", , "21422436","@bh,CHFJPY,h4,close,20")</f>
        <v>171.19200000000001</v>
      </c>
      <c r="AB22" s="34">
        <f>RTD("fxbluelabs.excelrtd", , "21422436","@bh,USDCAD,h4,close,20")</f>
        <v>1.37225</v>
      </c>
      <c r="AC22" s="34">
        <f>RTD("fxbluelabs.excelrtd", , "21422436","@bh,USDCHF,h4,close,20")</f>
        <v>0.86867000000000005</v>
      </c>
      <c r="AD22" s="35">
        <f>RTD("fxbluelabs.excelrtd", , "21422436","@bh,USDJPY,h4,close,20")</f>
        <v>148.71299999999999</v>
      </c>
      <c r="AH22" s="13">
        <v>21</v>
      </c>
      <c r="AI22" s="27">
        <f t="shared" si="62"/>
        <v>9.2058796897165715E-2</v>
      </c>
      <c r="AJ22" s="27">
        <f t="shared" si="62"/>
        <v>1.8154586302362635E-2</v>
      </c>
      <c r="AK22" s="27">
        <f t="shared" si="62"/>
        <v>-9.1242725927130931E-3</v>
      </c>
      <c r="AL22" s="27">
        <f t="shared" si="62"/>
        <v>-0.18711018711020111</v>
      </c>
      <c r="AM22" s="27">
        <f t="shared" si="62"/>
        <v>7.1474912305772798E-2</v>
      </c>
      <c r="AN22" s="27">
        <f t="shared" si="62"/>
        <v>-1.0926772413532623E-2</v>
      </c>
      <c r="AO22" s="27">
        <f t="shared" si="62"/>
        <v>-3.1182617349475566E-2</v>
      </c>
      <c r="AP22" s="27">
        <f t="shared" si="62"/>
        <v>-0.1078419880435964</v>
      </c>
      <c r="AQ22" s="27">
        <f t="shared" si="62"/>
        <v>-0.29476632974109113</v>
      </c>
      <c r="AR22" s="27">
        <f t="shared" si="62"/>
        <v>-0.11254992873876642</v>
      </c>
      <c r="AS22" s="27">
        <f t="shared" si="62"/>
        <v>-0.10377825242250815</v>
      </c>
      <c r="AT22" s="27">
        <f t="shared" si="62"/>
        <v>-8.4342892194441854E-2</v>
      </c>
      <c r="AU22" s="27">
        <f t="shared" si="62"/>
        <v>9.7880042570053283E-2</v>
      </c>
      <c r="AV22" s="27">
        <f t="shared" si="62"/>
        <v>4.6326561076383988E-3</v>
      </c>
      <c r="AW22" s="27">
        <f t="shared" si="62"/>
        <v>2.5698172626308878E-2</v>
      </c>
      <c r="AX22" s="27">
        <f t="shared" si="62"/>
        <v>7.7543512098478637E-2</v>
      </c>
      <c r="AY22" s="27">
        <f t="shared" si="61"/>
        <v>-0.18192195191551508</v>
      </c>
      <c r="AZ22" s="27">
        <f t="shared" si="61"/>
        <v>-4.1747116839645961E-3</v>
      </c>
      <c r="BA22" s="27">
        <f t="shared" si="61"/>
        <v>-3.6857094990787126E-2</v>
      </c>
      <c r="BB22" s="27">
        <f t="shared" si="61"/>
        <v>-0.2137690149447464</v>
      </c>
      <c r="BC22" s="27">
        <f t="shared" si="61"/>
        <v>6.6505943968734882E-2</v>
      </c>
      <c r="BD22" s="27">
        <f t="shared" si="61"/>
        <v>4.7246383834468234E-2</v>
      </c>
      <c r="BE22" s="27">
        <f t="shared" si="61"/>
        <v>-8.2054875350345405E-2</v>
      </c>
      <c r="BF22" s="27">
        <f t="shared" si="61"/>
        <v>-0.2599653379549457</v>
      </c>
      <c r="BG22" s="27">
        <f t="shared" si="61"/>
        <v>0.18492942250520991</v>
      </c>
      <c r="BH22" s="27">
        <f t="shared" si="61"/>
        <v>-1.8943395676528911E-2</v>
      </c>
      <c r="BI22" s="27">
        <f t="shared" si="61"/>
        <v>-0.28353651537066055</v>
      </c>
      <c r="BJ22" s="27">
        <f t="shared" si="61"/>
        <v>-0.10210593490747673</v>
      </c>
      <c r="BN22">
        <v>21</v>
      </c>
      <c r="BO22" s="28">
        <f t="shared" si="30"/>
        <v>0.11706579197217681</v>
      </c>
      <c r="BP22" s="28">
        <f t="shared" si="1"/>
        <v>-0.12117419283963685</v>
      </c>
      <c r="BQ22" s="28">
        <f t="shared" si="2"/>
        <v>1.0940512623464027</v>
      </c>
      <c r="BR22" s="28">
        <f t="shared" si="3"/>
        <v>0.50030287750142277</v>
      </c>
      <c r="BS22" s="28">
        <f t="shared" si="4"/>
        <v>0.20603492855082137</v>
      </c>
      <c r="BT22" s="28">
        <f t="shared" si="5"/>
        <v>-0.27882471479548737</v>
      </c>
      <c r="BU22" s="28">
        <f t="shared" si="6"/>
        <v>-0.18831489450335551</v>
      </c>
      <c r="BV22" s="28">
        <f t="shared" si="7"/>
        <v>-0.63353821410376465</v>
      </c>
      <c r="BW22" s="28">
        <f t="shared" si="8"/>
        <v>0.103876560792942</v>
      </c>
      <c r="BX22" s="28">
        <f t="shared" si="9"/>
        <v>0.69951374742977213</v>
      </c>
      <c r="BY22" s="28">
        <f t="shared" si="10"/>
        <v>-0.39526850615789844</v>
      </c>
      <c r="BZ22" s="28">
        <f t="shared" si="11"/>
        <v>-0.51481647510008588</v>
      </c>
      <c r="CA22" s="28">
        <f t="shared" si="12"/>
        <v>0.35361771532845498</v>
      </c>
      <c r="CB22" s="28">
        <f t="shared" si="13"/>
        <v>0.23799228505516448</v>
      </c>
      <c r="CC22" s="28">
        <f t="shared" si="14"/>
        <v>0.11985282693423438</v>
      </c>
      <c r="CD22" s="28">
        <f t="shared" si="15"/>
        <v>0.4453023154724835</v>
      </c>
      <c r="CE22" s="28">
        <f t="shared" si="16"/>
        <v>0.73741540351351675</v>
      </c>
      <c r="CF22" s="28">
        <f t="shared" si="17"/>
        <v>1.3322923301933267</v>
      </c>
      <c r="CG22" s="28">
        <f t="shared" si="18"/>
        <v>1.2102124526792906</v>
      </c>
      <c r="CH22" s="28">
        <f t="shared" si="19"/>
        <v>0.61693366070626265</v>
      </c>
      <c r="CI22" s="28">
        <f t="shared" si="20"/>
        <v>0.23313265735741093</v>
      </c>
      <c r="CJ22" s="28">
        <f t="shared" si="21"/>
        <v>0.32613081061963511</v>
      </c>
      <c r="CK22" s="28">
        <f t="shared" si="22"/>
        <v>0.88845333692436579</v>
      </c>
      <c r="CL22" s="28">
        <f t="shared" si="23"/>
        <v>0.29541142830180533</v>
      </c>
      <c r="CM22" s="28">
        <f t="shared" si="24"/>
        <v>0.59202923651400707</v>
      </c>
      <c r="CN22" s="28">
        <f t="shared" si="25"/>
        <v>8.773197749980563E-2</v>
      </c>
      <c r="CO22" s="28">
        <f t="shared" si="26"/>
        <v>0.38549321941969356</v>
      </c>
      <c r="CP22" s="28">
        <f t="shared" si="27"/>
        <v>0.9808528357675893</v>
      </c>
      <c r="CU22" s="13">
        <v>21</v>
      </c>
      <c r="CV22" s="29">
        <f t="shared" si="31"/>
        <v>-1.2073724964378778</v>
      </c>
      <c r="CW22" s="29">
        <f t="shared" si="32"/>
        <v>1.0290865828245335</v>
      </c>
      <c r="CX22" s="29">
        <f t="shared" si="33"/>
        <v>0.3069796275867811</v>
      </c>
      <c r="CY22" s="29">
        <f t="shared" si="34"/>
        <v>-1.7519924854198305</v>
      </c>
      <c r="CZ22" s="29">
        <f t="shared" si="35"/>
        <v>3.8600110906009455</v>
      </c>
      <c r="DA22" s="29">
        <f t="shared" si="36"/>
        <v>1.9535568886339205</v>
      </c>
      <c r="DB22" s="29">
        <f t="shared" si="37"/>
        <v>2.9025474223680878</v>
      </c>
      <c r="DC22" s="29">
        <f t="shared" si="38"/>
        <v>-6.7974052018547537</v>
      </c>
      <c r="DF22" s="30">
        <v>21</v>
      </c>
      <c r="DG22" s="31">
        <f t="shared" si="60"/>
        <v>8.773197749980563E-2</v>
      </c>
      <c r="DH22" s="31">
        <f t="shared" si="39"/>
        <v>-0.18831489450335551</v>
      </c>
      <c r="DI22" s="31">
        <f t="shared" si="40"/>
        <v>0.38549321941969356</v>
      </c>
      <c r="DJ22" s="31">
        <f t="shared" si="41"/>
        <v>0.103876560792942</v>
      </c>
      <c r="DK22" s="31">
        <f t="shared" si="42"/>
        <v>-0.35361771532845498</v>
      </c>
      <c r="DL22" s="31">
        <f t="shared" si="43"/>
        <v>-0.63353821410376465</v>
      </c>
      <c r="DM22" s="31">
        <f t="shared" si="44"/>
        <v>-0.11706579197217681</v>
      </c>
      <c r="DN22" s="31">
        <f t="shared" si="45"/>
        <v>-0.39526850615789844</v>
      </c>
      <c r="DO22" s="31">
        <f t="shared" si="46"/>
        <v>-0.23313265735741093</v>
      </c>
      <c r="DP22" s="31">
        <f t="shared" si="47"/>
        <v>-0.51481647510008588</v>
      </c>
      <c r="DQ22" s="31">
        <f t="shared" si="48"/>
        <v>0.9808528357675893</v>
      </c>
      <c r="DR22" s="31">
        <f t="shared" si="49"/>
        <v>0.69951374742977213</v>
      </c>
      <c r="DS22" s="49">
        <f t="shared" si="50"/>
        <v>0.27882471479548737</v>
      </c>
      <c r="DT22" s="49">
        <f t="shared" si="51"/>
        <v>-0.27882471479548737</v>
      </c>
      <c r="DX22">
        <v>21</v>
      </c>
      <c r="DY22" s="19">
        <f t="shared" si="52"/>
        <v>1.8734608395435544</v>
      </c>
      <c r="EM22" s="13">
        <v>21</v>
      </c>
      <c r="EN22" s="16">
        <f t="shared" si="53"/>
        <v>-1.2073724964378778</v>
      </c>
      <c r="EO22" s="16">
        <f t="shared" si="28"/>
        <v>1.0290865828245335</v>
      </c>
      <c r="EP22" s="16">
        <f t="shared" si="54"/>
        <v>0.3069796275867811</v>
      </c>
      <c r="EQ22" s="16">
        <f t="shared" si="55"/>
        <v>-1.7519924854198305</v>
      </c>
      <c r="ER22" s="16">
        <f t="shared" si="56"/>
        <v>3.8600110906009455</v>
      </c>
      <c r="ES22" s="16">
        <f t="shared" si="57"/>
        <v>1.9535568886339205</v>
      </c>
      <c r="ET22" s="16">
        <f t="shared" si="58"/>
        <v>2.9025474223680878</v>
      </c>
      <c r="EU22" s="16">
        <f t="shared" si="59"/>
        <v>-6.7974052018547537</v>
      </c>
      <c r="FK22" s="20"/>
      <c r="FL22" s="20"/>
    </row>
    <row r="23" spans="1:168" ht="14.4" thickBot="1" x14ac:dyDescent="0.35">
      <c r="A23" s="37" t="s">
        <v>51</v>
      </c>
      <c r="B23" s="38">
        <v>21</v>
      </c>
      <c r="C23" s="34">
        <f>RTD("fxbluelabs.excelrtd", , "21422436","@bh,AUDUSD,h4,close,21")</f>
        <v>0.66261999999999999</v>
      </c>
      <c r="D23" s="34">
        <f>RTD("fxbluelabs.excelrtd", , "21422436","@bh,AUDNZD,h4,close,21")</f>
        <v>1.10165</v>
      </c>
      <c r="E23" s="35">
        <f>RTD("fxbluelabs.excelrtd", , "21422436","@bh,AUDJPY,h4,close,21")</f>
        <v>98.638000000000005</v>
      </c>
      <c r="F23" s="34">
        <f>RTD("fxbluelabs.excelrtd", , "21422436","@bh,AUDCHF,h4,close,21")</f>
        <v>0.57720000000000005</v>
      </c>
      <c r="G23" s="34">
        <f>RTD("fxbluelabs.excelrtd", , "21422436","@bh,AUDCAD,h4,close,21")</f>
        <v>0.90941000000000005</v>
      </c>
      <c r="H23" s="34">
        <f>RTD("fxbluelabs.excelrtd", , "21422436","@bh,EURUSD,h4,close,21")</f>
        <v>1.09822</v>
      </c>
      <c r="I23" s="34">
        <f>RTD("fxbluelabs.excelrtd", , "21422436","@bh,EURCAD,h4,close,21")</f>
        <v>1.50725</v>
      </c>
      <c r="J23" s="34">
        <f>RTD("fxbluelabs.excelrtd", , "21422436","@bh,EURGBP,h4,close,21")</f>
        <v>0.85309999999999997</v>
      </c>
      <c r="K23" s="34">
        <f>RTD("fxbluelabs.excelrtd", , "21422436","@bh,EURCHF,h4,close,21")</f>
        <v>0.95669000000000004</v>
      </c>
      <c r="L23" s="35">
        <f>RTD("fxbluelabs.excelrtd", , "21422436","@bh,EURJPY,h4,close,21")</f>
        <v>163.483</v>
      </c>
      <c r="M23" s="34">
        <f>RTD("fxbluelabs.excelrtd", , "21422436","@bh,EURAUD,h4,close,21")</f>
        <v>1.6573800000000001</v>
      </c>
      <c r="N23" s="34">
        <f>RTD("fxbluelabs.excelrtd", , "21422436","@bh,EURNZD,h4,close,21")</f>
        <v>1.8258799999999999</v>
      </c>
      <c r="O23" s="34">
        <f>RTD("fxbluelabs.excelrtd", , "21422436","@bh,GBPUSD,h4,close,21")</f>
        <v>1.28729</v>
      </c>
      <c r="P23" s="34">
        <f>RTD("fxbluelabs.excelrtd", , "21422436","@bh,GBPAUD,h4,close,21")</f>
        <v>1.9427300000000001</v>
      </c>
      <c r="Q23" s="34">
        <f>RTD("fxbluelabs.excelrtd", , "21422436","@bh,GBPNZD,h4,close,21")</f>
        <v>2.1402299999999999</v>
      </c>
      <c r="R23" s="34">
        <f>RTD("fxbluelabs.excelrtd", , "21422436","@bh,GBPCAD,h4,close,21")</f>
        <v>1.76675</v>
      </c>
      <c r="S23" s="34">
        <f>RTD("fxbluelabs.excelrtd", , "21422436","@bh,GBPCHF,h4,close,21")</f>
        <v>1.1213599999999999</v>
      </c>
      <c r="T23" s="35">
        <f>RTD("fxbluelabs.excelrtd", , "21422436","@bh,GBPJPY,h4,close,21")</f>
        <v>191.63</v>
      </c>
      <c r="U23" s="35">
        <f>RTD("fxbluelabs.excelrtd", , "21422436","@bh,NZDJPY,h4,close,21")</f>
        <v>89.534999999999997</v>
      </c>
      <c r="V23" s="34">
        <f>RTD("fxbluelabs.excelrtd", , "21422436","@bh,NZDCHF,h4,close,21")</f>
        <v>0.52393000000000001</v>
      </c>
      <c r="W23" s="34">
        <f>RTD("fxbluelabs.excelrtd", , "21422436","@bh,NZDUSD,h4,close,21")</f>
        <v>0.60145000000000004</v>
      </c>
      <c r="X23" s="34">
        <f>RTD("fxbluelabs.excelrtd", , "21422436","@bh,NZDCAD,h4,close,21")</f>
        <v>0.82545999999999997</v>
      </c>
      <c r="Y23" s="35">
        <f>RTD("fxbluelabs.excelrtd", , "21422436","@bh,CADJPY,h4,close,21")</f>
        <v>108.464</v>
      </c>
      <c r="Z23" s="34">
        <f>RTD("fxbluelabs.excelrtd", , "21422436","@bh,CADCHF,h4,close,21")</f>
        <v>0.63470000000000004</v>
      </c>
      <c r="AA23" s="35">
        <f>RTD("fxbluelabs.excelrtd", , "21422436","@bh,CHFJPY,h4,close,21")</f>
        <v>170.876</v>
      </c>
      <c r="AB23" s="34">
        <f>RTD("fxbluelabs.excelrtd", , "21422436","@bh,USDCAD,h4,close,21")</f>
        <v>1.3725099999999999</v>
      </c>
      <c r="AC23" s="34">
        <f>RTD("fxbluelabs.excelrtd", , "21422436","@bh,USDCHF,h4,close,21")</f>
        <v>0.87114000000000003</v>
      </c>
      <c r="AD23" s="35">
        <f>RTD("fxbluelabs.excelrtd", , "21422436","@bh,USDJPY,h4,close,21")</f>
        <v>148.86500000000001</v>
      </c>
      <c r="AH23" s="21">
        <v>22</v>
      </c>
      <c r="AI23" s="22">
        <f t="shared" si="62"/>
        <v>0.18597196812772393</v>
      </c>
      <c r="AJ23" s="22">
        <f t="shared" si="62"/>
        <v>-0.24810076150634872</v>
      </c>
      <c r="AK23" s="22">
        <f t="shared" si="62"/>
        <v>0.12485408313455276</v>
      </c>
      <c r="AL23" s="22">
        <f t="shared" si="62"/>
        <v>0.11100319134176581</v>
      </c>
      <c r="AM23" s="22">
        <f t="shared" si="62"/>
        <v>0.13764094432700014</v>
      </c>
      <c r="AN23" s="22">
        <f t="shared" si="62"/>
        <v>5.4663726972898993E-2</v>
      </c>
      <c r="AO23" s="22">
        <f t="shared" si="62"/>
        <v>6.635039644361144E-3</v>
      </c>
      <c r="AP23" s="22">
        <f t="shared" si="62"/>
        <v>-1.9923353686406822E-2</v>
      </c>
      <c r="AQ23" s="22">
        <f t="shared" si="62"/>
        <v>-1.3586672519383319E-2</v>
      </c>
      <c r="AR23" s="22">
        <f t="shared" si="62"/>
        <v>-5.504856506731908E-3</v>
      </c>
      <c r="AS23" s="22">
        <f t="shared" si="62"/>
        <v>-0.13075833810370313</v>
      </c>
      <c r="AT23" s="22">
        <f t="shared" si="62"/>
        <v>-0.37919501535876277</v>
      </c>
      <c r="AU23" s="22">
        <f t="shared" si="62"/>
        <v>7.4630926745086562E-2</v>
      </c>
      <c r="AV23" s="22">
        <f t="shared" si="62"/>
        <v>-0.11106026561913217</v>
      </c>
      <c r="AW23" s="22">
        <f t="shared" si="62"/>
        <v>-0.35941246304615798</v>
      </c>
      <c r="AX23" s="22">
        <f t="shared" si="62"/>
        <v>2.6609597572297167E-2</v>
      </c>
      <c r="AY23" s="22">
        <f t="shared" si="61"/>
        <v>0</v>
      </c>
      <c r="AZ23" s="22">
        <f t="shared" si="61"/>
        <v>1.4613626162561762E-2</v>
      </c>
      <c r="BA23" s="22">
        <f t="shared" si="61"/>
        <v>0.38456363799444293</v>
      </c>
      <c r="BB23" s="22">
        <f t="shared" si="61"/>
        <v>0.36973180076628109</v>
      </c>
      <c r="BC23" s="22">
        <f t="shared" si="61"/>
        <v>0.44422919554434703</v>
      </c>
      <c r="BD23" s="22">
        <f t="shared" si="61"/>
        <v>0.39649720262708943</v>
      </c>
      <c r="BE23" s="22">
        <f t="shared" si="61"/>
        <v>-1.1984107230108898E-2</v>
      </c>
      <c r="BF23" s="22">
        <f t="shared" si="61"/>
        <v>-2.520240682984248E-2</v>
      </c>
      <c r="BG23" s="22">
        <f t="shared" si="61"/>
        <v>7.023129506508366E-3</v>
      </c>
      <c r="BH23" s="22">
        <f t="shared" si="61"/>
        <v>-4.8063968772992779E-2</v>
      </c>
      <c r="BI23" s="22">
        <f t="shared" si="61"/>
        <v>-7.1120491878493383E-2</v>
      </c>
      <c r="BJ23" s="22">
        <f t="shared" si="61"/>
        <v>-6.0420932496393812E-2</v>
      </c>
      <c r="BN23">
        <v>22</v>
      </c>
      <c r="BO23" s="23">
        <f t="shared" si="30"/>
        <v>2.5006995075011085E-2</v>
      </c>
      <c r="BP23" s="23">
        <f t="shared" si="1"/>
        <v>-0.13932877914199945</v>
      </c>
      <c r="BQ23" s="23">
        <f t="shared" si="2"/>
        <v>1.1031755349391157</v>
      </c>
      <c r="BR23" s="23">
        <f t="shared" si="3"/>
        <v>0.68741306461162388</v>
      </c>
      <c r="BS23" s="23">
        <f t="shared" si="4"/>
        <v>0.13456001624504854</v>
      </c>
      <c r="BT23" s="23">
        <f t="shared" si="5"/>
        <v>-0.26789794238195475</v>
      </c>
      <c r="BU23" s="23">
        <f t="shared" si="6"/>
        <v>-0.15713227715387998</v>
      </c>
      <c r="BV23" s="23">
        <f t="shared" si="7"/>
        <v>-0.52569622606016819</v>
      </c>
      <c r="BW23" s="23">
        <f t="shared" si="8"/>
        <v>0.39864289053403307</v>
      </c>
      <c r="BX23" s="23">
        <f t="shared" si="9"/>
        <v>0.81206367616853858</v>
      </c>
      <c r="BY23" s="23">
        <f t="shared" si="10"/>
        <v>-0.29149025373539028</v>
      </c>
      <c r="BZ23" s="23">
        <f t="shared" si="11"/>
        <v>-0.43047358290564403</v>
      </c>
      <c r="CA23" s="23">
        <f t="shared" si="12"/>
        <v>0.25573767275840176</v>
      </c>
      <c r="CB23" s="23">
        <f t="shared" si="13"/>
        <v>0.23335962894752604</v>
      </c>
      <c r="CC23" s="23">
        <f t="shared" si="14"/>
        <v>9.4154654307925523E-2</v>
      </c>
      <c r="CD23" s="23">
        <f t="shared" si="15"/>
        <v>0.36775880337400479</v>
      </c>
      <c r="CE23" s="23">
        <f t="shared" si="16"/>
        <v>0.91933735542903183</v>
      </c>
      <c r="CF23" s="23">
        <f t="shared" si="17"/>
        <v>1.3364670418772913</v>
      </c>
      <c r="CG23" s="23">
        <f t="shared" si="18"/>
        <v>1.2470695476700779</v>
      </c>
      <c r="CH23" s="23">
        <f t="shared" si="19"/>
        <v>0.83070267565100908</v>
      </c>
      <c r="CI23" s="23">
        <f t="shared" si="20"/>
        <v>0.16662671338867607</v>
      </c>
      <c r="CJ23" s="23">
        <f t="shared" si="21"/>
        <v>0.27888442678516684</v>
      </c>
      <c r="CK23" s="23">
        <f t="shared" si="22"/>
        <v>0.97050821227471118</v>
      </c>
      <c r="CL23" s="23">
        <f t="shared" si="23"/>
        <v>0.55537676625675103</v>
      </c>
      <c r="CM23" s="23">
        <f t="shared" si="24"/>
        <v>0.40709981400879719</v>
      </c>
      <c r="CN23" s="23">
        <f t="shared" si="25"/>
        <v>0.10667537317633451</v>
      </c>
      <c r="CO23" s="23">
        <f t="shared" si="26"/>
        <v>0.6690297347903541</v>
      </c>
      <c r="CP23" s="23">
        <f t="shared" si="27"/>
        <v>1.0829587706750661</v>
      </c>
      <c r="CU23" s="21">
        <v>22</v>
      </c>
      <c r="CV23" s="24">
        <f t="shared" si="31"/>
        <v>-0.46198371553446554</v>
      </c>
      <c r="CW23" s="24">
        <f t="shared" si="32"/>
        <v>1.6791904398016204</v>
      </c>
      <c r="CX23" s="24">
        <f t="shared" si="33"/>
        <v>0.7951386361047873</v>
      </c>
      <c r="CY23" s="24">
        <f t="shared" si="34"/>
        <v>-3.0980259070072549</v>
      </c>
      <c r="CZ23" s="24">
        <f t="shared" si="35"/>
        <v>3.7325113827543497</v>
      </c>
      <c r="DA23" s="24">
        <f t="shared" si="36"/>
        <v>1.8689574565166636</v>
      </c>
      <c r="DB23" s="24">
        <f t="shared" si="37"/>
        <v>2.9989310712346473</v>
      </c>
      <c r="DC23" s="24">
        <f t="shared" si="38"/>
        <v>-6.9593425976135972</v>
      </c>
      <c r="DF23" s="25">
        <v>22</v>
      </c>
      <c r="DG23" s="26">
        <f t="shared" si="60"/>
        <v>0.10667537317633451</v>
      </c>
      <c r="DH23" s="26">
        <f t="shared" si="39"/>
        <v>-0.15713227715387998</v>
      </c>
      <c r="DI23" s="26">
        <f t="shared" si="40"/>
        <v>0.6690297347903541</v>
      </c>
      <c r="DJ23" s="26">
        <f t="shared" si="41"/>
        <v>0.39864289053403307</v>
      </c>
      <c r="DK23" s="26">
        <f t="shared" si="42"/>
        <v>-0.25573767275840176</v>
      </c>
      <c r="DL23" s="26">
        <f t="shared" si="43"/>
        <v>-0.52569622606016819</v>
      </c>
      <c r="DM23" s="26">
        <f t="shared" si="44"/>
        <v>-2.5006995075011085E-2</v>
      </c>
      <c r="DN23" s="26">
        <f t="shared" si="45"/>
        <v>-0.29149025373539028</v>
      </c>
      <c r="DO23" s="26">
        <f t="shared" si="46"/>
        <v>-0.16662671338867607</v>
      </c>
      <c r="DP23" s="26">
        <f t="shared" si="47"/>
        <v>-0.43047358290564403</v>
      </c>
      <c r="DQ23" s="26">
        <f t="shared" si="48"/>
        <v>1.0829587706750661</v>
      </c>
      <c r="DR23" s="26">
        <f t="shared" si="49"/>
        <v>0.81206367616853858</v>
      </c>
      <c r="DS23" s="47">
        <f t="shared" si="50"/>
        <v>0.26789794238195475</v>
      </c>
      <c r="DT23" s="47">
        <f t="shared" si="51"/>
        <v>-0.26789794238195475</v>
      </c>
      <c r="DX23">
        <v>22</v>
      </c>
      <c r="DY23" s="19">
        <f t="shared" si="52"/>
        <v>1.3197406314330269</v>
      </c>
      <c r="EM23" s="21">
        <v>22</v>
      </c>
      <c r="EN23" s="16">
        <f t="shared" si="53"/>
        <v>-0.46198371553446554</v>
      </c>
      <c r="EO23" s="16">
        <f t="shared" si="28"/>
        <v>1.6791904398016204</v>
      </c>
      <c r="EP23" s="16">
        <f t="shared" si="54"/>
        <v>0.7951386361047873</v>
      </c>
      <c r="EQ23" s="16">
        <f t="shared" si="55"/>
        <v>-3.0980259070072549</v>
      </c>
      <c r="ER23" s="16">
        <f t="shared" si="56"/>
        <v>3.7325113827543497</v>
      </c>
      <c r="ES23" s="16">
        <f t="shared" si="57"/>
        <v>1.8689574565166636</v>
      </c>
      <c r="ET23" s="16">
        <f t="shared" si="58"/>
        <v>2.9989310712346473</v>
      </c>
      <c r="EU23" s="16">
        <f t="shared" si="59"/>
        <v>-6.9593425976135972</v>
      </c>
      <c r="FK23" s="20"/>
      <c r="FL23" s="20"/>
    </row>
    <row r="24" spans="1:168" ht="14.4" thickBot="1" x14ac:dyDescent="0.35">
      <c r="A24" s="37" t="s">
        <v>51</v>
      </c>
      <c r="B24" s="38">
        <v>22</v>
      </c>
      <c r="C24" s="34">
        <f>RTD("fxbluelabs.excelrtd", , "21422436","@bh,AUDUSD,h4,close,22")</f>
        <v>0.66139000000000003</v>
      </c>
      <c r="D24" s="34">
        <f>RTD("fxbluelabs.excelrtd", , "21422436","@bh,AUDNZD,h4,close,22")</f>
        <v>1.10439</v>
      </c>
      <c r="E24" s="35">
        <f>RTD("fxbluelabs.excelrtd", , "21422436","@bh,AUDJPY,h4,close,22")</f>
        <v>98.515000000000001</v>
      </c>
      <c r="F24" s="34">
        <f>RTD("fxbluelabs.excelrtd", , "21422436","@bh,AUDCHF,h4,close,22")</f>
        <v>0.57655999999999996</v>
      </c>
      <c r="G24" s="34">
        <f>RTD("fxbluelabs.excelrtd", , "21422436","@bh,AUDCAD,h4,close,22")</f>
        <v>0.90815999999999997</v>
      </c>
      <c r="H24" s="34">
        <f>RTD("fxbluelabs.excelrtd", , "21422436","@bh,EURUSD,h4,close,22")</f>
        <v>1.09762</v>
      </c>
      <c r="I24" s="34">
        <f>RTD("fxbluelabs.excelrtd", , "21422436","@bh,EURCAD,h4,close,22")</f>
        <v>1.50715</v>
      </c>
      <c r="J24" s="34">
        <f>RTD("fxbluelabs.excelrtd", , "21422436","@bh,EURGBP,h4,close,22")</f>
        <v>0.85326999999999997</v>
      </c>
      <c r="K24" s="34">
        <f>RTD("fxbluelabs.excelrtd", , "21422436","@bh,EURCHF,h4,close,22")</f>
        <v>0.95682</v>
      </c>
      <c r="L24" s="35">
        <f>RTD("fxbluelabs.excelrtd", , "21422436","@bh,EURJPY,h4,close,22")</f>
        <v>163.49199999999999</v>
      </c>
      <c r="M24" s="34">
        <f>RTD("fxbluelabs.excelrtd", , "21422436","@bh,EURAUD,h4,close,22")</f>
        <v>1.6595500000000001</v>
      </c>
      <c r="N24" s="34">
        <f>RTD("fxbluelabs.excelrtd", , "21422436","@bh,EURNZD,h4,close,22")</f>
        <v>1.83283</v>
      </c>
      <c r="O24" s="34">
        <f>RTD("fxbluelabs.excelrtd", , "21422436","@bh,GBPUSD,h4,close,22")</f>
        <v>1.28633</v>
      </c>
      <c r="P24" s="34">
        <f>RTD("fxbluelabs.excelrtd", , "21422436","@bh,GBPAUD,h4,close,22")</f>
        <v>1.94489</v>
      </c>
      <c r="Q24" s="34">
        <f>RTD("fxbluelabs.excelrtd", , "21422436","@bh,GBPNZD,h4,close,22")</f>
        <v>2.1479499999999998</v>
      </c>
      <c r="R24" s="34">
        <f>RTD("fxbluelabs.excelrtd", , "21422436","@bh,GBPCAD,h4,close,22")</f>
        <v>1.7662800000000001</v>
      </c>
      <c r="S24" s="34">
        <f>RTD("fxbluelabs.excelrtd", , "21422436","@bh,GBPCHF,h4,close,22")</f>
        <v>1.1213599999999999</v>
      </c>
      <c r="T24" s="35">
        <f>RTD("fxbluelabs.excelrtd", , "21422436","@bh,GBPJPY,h4,close,22")</f>
        <v>191.602</v>
      </c>
      <c r="U24" s="35">
        <f>RTD("fxbluelabs.excelrtd", , "21422436","@bh,NZDJPY,h4,close,22")</f>
        <v>89.191999999999993</v>
      </c>
      <c r="V24" s="34">
        <f>RTD("fxbluelabs.excelrtd", , "21422436","@bh,NZDCHF,h4,close,22")</f>
        <v>0.52200000000000002</v>
      </c>
      <c r="W24" s="34">
        <f>RTD("fxbluelabs.excelrtd", , "21422436","@bh,NZDUSD,h4,close,22")</f>
        <v>0.59879000000000004</v>
      </c>
      <c r="X24" s="34">
        <f>RTD("fxbluelabs.excelrtd", , "21422436","@bh,NZDCAD,h4,close,22")</f>
        <v>0.82220000000000004</v>
      </c>
      <c r="Y24" s="35">
        <f>RTD("fxbluelabs.excelrtd", , "21422436","@bh,CADJPY,h4,close,22")</f>
        <v>108.477</v>
      </c>
      <c r="Z24" s="34">
        <f>RTD("fxbluelabs.excelrtd", , "21422436","@bh,CADCHF,h4,close,22")</f>
        <v>0.63485999999999998</v>
      </c>
      <c r="AA24" s="35">
        <f>RTD("fxbluelabs.excelrtd", , "21422436","@bh,CHFJPY,h4,close,22")</f>
        <v>170.864</v>
      </c>
      <c r="AB24" s="34">
        <f>RTD("fxbluelabs.excelrtd", , "21422436","@bh,USDCAD,h4,close,22")</f>
        <v>1.37317</v>
      </c>
      <c r="AC24" s="34">
        <f>RTD("fxbluelabs.excelrtd", , "21422436","@bh,USDCHF,h4,close,22")</f>
        <v>0.87175999999999998</v>
      </c>
      <c r="AD24" s="35">
        <f>RTD("fxbluelabs.excelrtd", , "21422436","@bh,USDJPY,h4,close,22")</f>
        <v>148.95500000000001</v>
      </c>
      <c r="AH24" s="21">
        <v>23</v>
      </c>
      <c r="AI24" s="27">
        <f t="shared" si="62"/>
        <v>5.2946871596283508E-2</v>
      </c>
      <c r="AJ24" s="27">
        <f t="shared" si="62"/>
        <v>-1.2675074466065113E-2</v>
      </c>
      <c r="AK24" s="27">
        <f t="shared" si="62"/>
        <v>-0.16518372889600186</v>
      </c>
      <c r="AL24" s="27">
        <f t="shared" si="62"/>
        <v>-3.4676468548458454E-2</v>
      </c>
      <c r="AM24" s="27">
        <f t="shared" si="62"/>
        <v>8.044697662629717E-2</v>
      </c>
      <c r="AN24" s="27">
        <f t="shared" si="62"/>
        <v>4.5573866122205854E-2</v>
      </c>
      <c r="AO24" s="27">
        <f t="shared" si="62"/>
        <v>6.9716486289090718E-2</v>
      </c>
      <c r="AP24" s="27">
        <f t="shared" si="62"/>
        <v>-2.8119178451338354E-2</v>
      </c>
      <c r="AQ24" s="27">
        <f t="shared" si="62"/>
        <v>-4.8052816312888179E-2</v>
      </c>
      <c r="AR24" s="27">
        <f t="shared" si="62"/>
        <v>-0.17706463469735406</v>
      </c>
      <c r="AS24" s="27">
        <f t="shared" si="62"/>
        <v>-4.8203515241263392E-3</v>
      </c>
      <c r="AT24" s="27">
        <f t="shared" si="62"/>
        <v>-2.4000829119551183E-2</v>
      </c>
      <c r="AU24" s="27">
        <f t="shared" si="62"/>
        <v>7.7801031641671001E-2</v>
      </c>
      <c r="AV24" s="27">
        <f t="shared" si="62"/>
        <v>2.9316161948648341E-2</v>
      </c>
      <c r="AW24" s="27">
        <f t="shared" si="62"/>
        <v>1.2106030199885784E-2</v>
      </c>
      <c r="AX24" s="27">
        <f t="shared" si="62"/>
        <v>0.10314770524693985</v>
      </c>
      <c r="AY24" s="27">
        <f t="shared" si="61"/>
        <v>-8.9169475505135268E-3</v>
      </c>
      <c r="AZ24" s="27">
        <f t="shared" si="61"/>
        <v>-0.14175969646746894</v>
      </c>
      <c r="BA24" s="27">
        <f t="shared" si="61"/>
        <v>-0.141068989453419</v>
      </c>
      <c r="BB24" s="27">
        <f t="shared" si="61"/>
        <v>-1.1492931846904376E-2</v>
      </c>
      <c r="BC24" s="27">
        <f t="shared" si="61"/>
        <v>6.3501612606749053E-2</v>
      </c>
      <c r="BD24" s="27">
        <f t="shared" si="61"/>
        <v>9.1301966035672089E-2</v>
      </c>
      <c r="BE24" s="27">
        <f t="shared" si="61"/>
        <v>-0.23910904292006485</v>
      </c>
      <c r="BF24" s="27">
        <f t="shared" si="61"/>
        <v>-0.10856738258201061</v>
      </c>
      <c r="BG24" s="27">
        <f t="shared" si="61"/>
        <v>-0.11866695505270038</v>
      </c>
      <c r="BH24" s="27">
        <f t="shared" si="61"/>
        <v>1.9666399592103756E-2</v>
      </c>
      <c r="BI24" s="27">
        <f t="shared" si="61"/>
        <v>-8.9394182501662145E-2</v>
      </c>
      <c r="BJ24" s="27">
        <f t="shared" si="61"/>
        <v>-0.21971691351324302</v>
      </c>
      <c r="BN24">
        <v>23</v>
      </c>
      <c r="BO24" s="28">
        <f t="shared" si="30"/>
        <v>-0.16096497305271282</v>
      </c>
      <c r="BP24" s="28">
        <f t="shared" si="1"/>
        <v>0.10877198236434926</v>
      </c>
      <c r="BQ24" s="28">
        <f t="shared" si="2"/>
        <v>0.97832145180456309</v>
      </c>
      <c r="BR24" s="28">
        <f t="shared" si="3"/>
        <v>0.57640987326985815</v>
      </c>
      <c r="BS24" s="28">
        <f t="shared" si="4"/>
        <v>-3.0809280819515811E-3</v>
      </c>
      <c r="BT24" s="28">
        <f t="shared" si="5"/>
        <v>-0.3225616693548537</v>
      </c>
      <c r="BU24" s="28">
        <f t="shared" si="6"/>
        <v>-0.16376731679824114</v>
      </c>
      <c r="BV24" s="28">
        <f t="shared" si="7"/>
        <v>-0.50577287237376134</v>
      </c>
      <c r="BW24" s="28">
        <f t="shared" si="8"/>
        <v>0.41222956305341651</v>
      </c>
      <c r="BX24" s="28">
        <f t="shared" si="9"/>
        <v>0.81756853267527041</v>
      </c>
      <c r="BY24" s="28">
        <f t="shared" si="10"/>
        <v>-0.16073191563168715</v>
      </c>
      <c r="BZ24" s="28">
        <f t="shared" si="11"/>
        <v>-5.1278567546881246E-2</v>
      </c>
      <c r="CA24" s="28">
        <f t="shared" si="12"/>
        <v>0.18110674601331517</v>
      </c>
      <c r="CB24" s="28">
        <f t="shared" si="13"/>
        <v>0.34441989456665822</v>
      </c>
      <c r="CC24" s="28">
        <f t="shared" si="14"/>
        <v>0.4535671173540835</v>
      </c>
      <c r="CD24" s="28">
        <f t="shared" si="15"/>
        <v>0.34114920580170766</v>
      </c>
      <c r="CE24" s="28">
        <f t="shared" si="16"/>
        <v>0.91933735542903183</v>
      </c>
      <c r="CF24" s="28">
        <f t="shared" si="17"/>
        <v>1.3218534157147295</v>
      </c>
      <c r="CG24" s="28">
        <f t="shared" si="18"/>
        <v>0.8625059096756349</v>
      </c>
      <c r="CH24" s="28">
        <f t="shared" si="19"/>
        <v>0.46097087488472799</v>
      </c>
      <c r="CI24" s="28">
        <f t="shared" si="20"/>
        <v>-0.27760248215567096</v>
      </c>
      <c r="CJ24" s="28">
        <f t="shared" si="21"/>
        <v>-0.11761277584192259</v>
      </c>
      <c r="CK24" s="28">
        <f t="shared" si="22"/>
        <v>0.98249231950482008</v>
      </c>
      <c r="CL24" s="28">
        <f t="shared" si="23"/>
        <v>0.58057917308659346</v>
      </c>
      <c r="CM24" s="28">
        <f t="shared" si="24"/>
        <v>0.40007668450228889</v>
      </c>
      <c r="CN24" s="28">
        <f t="shared" si="25"/>
        <v>0.15473934194932729</v>
      </c>
      <c r="CO24" s="28">
        <f t="shared" si="26"/>
        <v>0.74015022666884756</v>
      </c>
      <c r="CP24" s="28">
        <f t="shared" si="27"/>
        <v>1.1433797031714599</v>
      </c>
      <c r="CU24" s="21">
        <v>23</v>
      </c>
      <c r="CV24" s="29">
        <f t="shared" si="31"/>
        <v>2.5685754023262355E-2</v>
      </c>
      <c r="CW24" s="29">
        <f t="shared" si="32"/>
        <v>2.618291650339557</v>
      </c>
      <c r="CX24" s="29">
        <f t="shared" si="33"/>
        <v>1.3516439655624939</v>
      </c>
      <c r="CY24" s="29">
        <f t="shared" si="34"/>
        <v>-2.709021208803593</v>
      </c>
      <c r="CZ24" s="29">
        <f t="shared" si="35"/>
        <v>4.0672066072532873</v>
      </c>
      <c r="DA24" s="29">
        <f t="shared" si="36"/>
        <v>1.3157694273691352</v>
      </c>
      <c r="DB24" s="29">
        <f t="shared" si="37"/>
        <v>0.41720099439121783</v>
      </c>
      <c r="DC24" s="29">
        <f t="shared" si="38"/>
        <v>-6.5061980170487663</v>
      </c>
      <c r="DF24" s="30">
        <v>23</v>
      </c>
      <c r="DG24" s="31">
        <f t="shared" si="60"/>
        <v>0.15473934194932729</v>
      </c>
      <c r="DH24" s="31">
        <f t="shared" si="39"/>
        <v>-0.16376731679824114</v>
      </c>
      <c r="DI24" s="31">
        <f t="shared" si="40"/>
        <v>0.74015022666884756</v>
      </c>
      <c r="DJ24" s="31">
        <f t="shared" si="41"/>
        <v>0.41222956305341651</v>
      </c>
      <c r="DK24" s="31">
        <f t="shared" si="42"/>
        <v>-0.18110674601331517</v>
      </c>
      <c r="DL24" s="31">
        <f t="shared" si="43"/>
        <v>-0.50577287237376134</v>
      </c>
      <c r="DM24" s="31">
        <f t="shared" si="44"/>
        <v>0.16096497305271282</v>
      </c>
      <c r="DN24" s="31">
        <f t="shared" si="45"/>
        <v>-0.16073191563168715</v>
      </c>
      <c r="DO24" s="31">
        <f t="shared" si="46"/>
        <v>0.27760248215567096</v>
      </c>
      <c r="DP24" s="31">
        <f t="shared" si="47"/>
        <v>-5.1278567546881246E-2</v>
      </c>
      <c r="DQ24" s="31">
        <f t="shared" si="48"/>
        <v>1.1433797031714599</v>
      </c>
      <c r="DR24" s="31">
        <f t="shared" si="49"/>
        <v>0.81756853267527041</v>
      </c>
      <c r="DS24" s="49">
        <f t="shared" si="50"/>
        <v>0.3225616693548537</v>
      </c>
      <c r="DT24" s="49">
        <f t="shared" si="51"/>
        <v>-0.3225616693548537</v>
      </c>
      <c r="DX24">
        <v>23</v>
      </c>
      <c r="DY24" s="19">
        <f t="shared" si="52"/>
        <v>-2.201090655948339</v>
      </c>
      <c r="EM24" s="21">
        <v>23</v>
      </c>
      <c r="EN24" s="16">
        <f t="shared" si="53"/>
        <v>2.5685754023262355E-2</v>
      </c>
      <c r="EO24" s="16">
        <f t="shared" si="28"/>
        <v>2.618291650339557</v>
      </c>
      <c r="EP24" s="16">
        <f t="shared" si="54"/>
        <v>1.3516439655624939</v>
      </c>
      <c r="EQ24" s="16">
        <f t="shared" si="55"/>
        <v>-2.709021208803593</v>
      </c>
      <c r="ER24" s="16">
        <f t="shared" si="56"/>
        <v>4.0672066072532873</v>
      </c>
      <c r="ES24" s="16">
        <f t="shared" si="57"/>
        <v>1.3157694273691352</v>
      </c>
      <c r="ET24" s="16">
        <f t="shared" si="58"/>
        <v>0.41720099439121783</v>
      </c>
      <c r="EU24" s="16">
        <f t="shared" si="59"/>
        <v>-6.5061980170487663</v>
      </c>
      <c r="FK24" s="20"/>
      <c r="FL24" s="20"/>
    </row>
    <row r="25" spans="1:168" ht="14.4" thickBot="1" x14ac:dyDescent="0.35">
      <c r="A25" s="37" t="s">
        <v>51</v>
      </c>
      <c r="B25" s="38">
        <v>23</v>
      </c>
      <c r="C25" s="34">
        <f>RTD("fxbluelabs.excelrtd", , "21422436","@bh,AUDUSD,h4,close,23")</f>
        <v>0.66103999999999996</v>
      </c>
      <c r="D25" s="34">
        <f>RTD("fxbluelabs.excelrtd", , "21422436","@bh,AUDNZD,h4,close,23")</f>
        <v>1.10453</v>
      </c>
      <c r="E25" s="35">
        <f>RTD("fxbluelabs.excelrtd", , "21422436","@bh,AUDJPY,h4,close,23")</f>
        <v>98.677999999999997</v>
      </c>
      <c r="F25" s="34">
        <f>RTD("fxbluelabs.excelrtd", , "21422436","@bh,AUDCHF,h4,close,23")</f>
        <v>0.57676000000000005</v>
      </c>
      <c r="G25" s="34">
        <f>RTD("fxbluelabs.excelrtd", , "21422436","@bh,AUDCAD,h4,close,23")</f>
        <v>0.90742999999999996</v>
      </c>
      <c r="H25" s="34">
        <f>RTD("fxbluelabs.excelrtd", , "21422436","@bh,EURUSD,h4,close,23")</f>
        <v>1.0971200000000001</v>
      </c>
      <c r="I25" s="34">
        <f>RTD("fxbluelabs.excelrtd", , "21422436","@bh,EURCAD,h4,close,23")</f>
        <v>1.5061</v>
      </c>
      <c r="J25" s="34">
        <f>RTD("fxbluelabs.excelrtd", , "21422436","@bh,EURGBP,h4,close,23")</f>
        <v>0.85350999999999999</v>
      </c>
      <c r="K25" s="34">
        <f>RTD("fxbluelabs.excelrtd", , "21422436","@bh,EURCHF,h4,close,23")</f>
        <v>0.95728000000000002</v>
      </c>
      <c r="L25" s="35">
        <f>RTD("fxbluelabs.excelrtd", , "21422436","@bh,EURJPY,h4,close,23")</f>
        <v>163.78200000000001</v>
      </c>
      <c r="M25" s="34">
        <f>RTD("fxbluelabs.excelrtd", , "21422436","@bh,EURAUD,h4,close,23")</f>
        <v>1.6596299999999999</v>
      </c>
      <c r="N25" s="34">
        <f>RTD("fxbluelabs.excelrtd", , "21422436","@bh,EURNZD,h4,close,23")</f>
        <v>1.83327</v>
      </c>
      <c r="O25" s="34">
        <f>RTD("fxbluelabs.excelrtd", , "21422436","@bh,GBPUSD,h4,close,23")</f>
        <v>1.2853300000000001</v>
      </c>
      <c r="P25" s="34">
        <f>RTD("fxbluelabs.excelrtd", , "21422436","@bh,GBPAUD,h4,close,23")</f>
        <v>1.94432</v>
      </c>
      <c r="Q25" s="34">
        <f>RTD("fxbluelabs.excelrtd", , "21422436","@bh,GBPNZD,h4,close,23")</f>
        <v>2.1476899999999999</v>
      </c>
      <c r="R25" s="34">
        <f>RTD("fxbluelabs.excelrtd", , "21422436","@bh,GBPCAD,h4,close,23")</f>
        <v>1.7644599999999999</v>
      </c>
      <c r="S25" s="34">
        <f>RTD("fxbluelabs.excelrtd", , "21422436","@bh,GBPCHF,h4,close,23")</f>
        <v>1.1214599999999999</v>
      </c>
      <c r="T25" s="35">
        <f>RTD("fxbluelabs.excelrtd", , "21422436","@bh,GBPJPY,h4,close,23")</f>
        <v>191.874</v>
      </c>
      <c r="U25" s="35">
        <f>RTD("fxbluelabs.excelrtd", , "21422436","@bh,NZDJPY,h4,close,23")</f>
        <v>89.317999999999998</v>
      </c>
      <c r="V25" s="34">
        <f>RTD("fxbluelabs.excelrtd", , "21422436","@bh,NZDCHF,h4,close,23")</f>
        <v>0.52205999999999997</v>
      </c>
      <c r="W25" s="34">
        <f>RTD("fxbluelabs.excelrtd", , "21422436","@bh,NZDUSD,h4,close,23")</f>
        <v>0.59841</v>
      </c>
      <c r="X25" s="34">
        <f>RTD("fxbluelabs.excelrtd", , "21422436","@bh,NZDCAD,h4,close,23")</f>
        <v>0.82145000000000001</v>
      </c>
      <c r="Y25" s="35">
        <f>RTD("fxbluelabs.excelrtd", , "21422436","@bh,CADJPY,h4,close,23")</f>
        <v>108.73699999999999</v>
      </c>
      <c r="Z25" s="34">
        <f>RTD("fxbluelabs.excelrtd", , "21422436","@bh,CADCHF,h4,close,23")</f>
        <v>0.63554999999999995</v>
      </c>
      <c r="AA25" s="35">
        <f>RTD("fxbluelabs.excelrtd", , "21422436","@bh,CHFJPY,h4,close,23")</f>
        <v>171.06700000000001</v>
      </c>
      <c r="AB25" s="34">
        <f>RTD("fxbluelabs.excelrtd", , "21422436","@bh,USDCAD,h4,close,23")</f>
        <v>1.3729</v>
      </c>
      <c r="AC25" s="34">
        <f>RTD("fxbluelabs.excelrtd", , "21422436","@bh,USDCHF,h4,close,23")</f>
        <v>0.87253999999999998</v>
      </c>
      <c r="AD25" s="35">
        <f>RTD("fxbluelabs.excelrtd", , "21422436","@bh,USDJPY,h4,close,23")</f>
        <v>149.28299999999999</v>
      </c>
      <c r="AH25" s="21">
        <v>24</v>
      </c>
      <c r="AI25" s="22">
        <f t="shared" si="62"/>
        <v>-0.20230079410610344</v>
      </c>
      <c r="AJ25" s="22">
        <f t="shared" si="62"/>
        <v>6.976154236427641E-2</v>
      </c>
      <c r="AK25" s="22">
        <f t="shared" si="62"/>
        <v>-4.3557095248231245E-2</v>
      </c>
      <c r="AL25" s="22">
        <f t="shared" si="62"/>
        <v>-0.1644423672776818</v>
      </c>
      <c r="AM25" s="22">
        <f t="shared" si="62"/>
        <v>-6.937867541792607E-2</v>
      </c>
      <c r="AN25" s="22">
        <f t="shared" si="62"/>
        <v>-6.2852406154057391E-2</v>
      </c>
      <c r="AO25" s="22">
        <f t="shared" si="62"/>
        <v>7.3089700996684451E-2</v>
      </c>
      <c r="AP25" s="22">
        <f t="shared" si="62"/>
        <v>-8.0777335518610216E-2</v>
      </c>
      <c r="AQ25" s="22">
        <f t="shared" si="62"/>
        <v>-2.1932343940921833E-2</v>
      </c>
      <c r="AR25" s="22">
        <f t="shared" si="62"/>
        <v>9.9621682078493881E-2</v>
      </c>
      <c r="AS25" s="22">
        <f t="shared" si="62"/>
        <v>0.13817321732414009</v>
      </c>
      <c r="AT25" s="22">
        <f t="shared" si="62"/>
        <v>0.2131881467390421</v>
      </c>
      <c r="AU25" s="22">
        <f t="shared" si="62"/>
        <v>1.2449714823732271E-2</v>
      </c>
      <c r="AV25" s="22">
        <f t="shared" si="62"/>
        <v>0.21286575026157062</v>
      </c>
      <c r="AW25" s="22">
        <f t="shared" si="62"/>
        <v>0.28436682853940648</v>
      </c>
      <c r="AX25" s="22">
        <f t="shared" si="61"/>
        <v>0.14813973947838927</v>
      </c>
      <c r="AY25" s="22">
        <f t="shared" si="61"/>
        <v>4.9959853688990447E-2</v>
      </c>
      <c r="AZ25" s="22">
        <f t="shared" si="61"/>
        <v>0.17280715035265651</v>
      </c>
      <c r="BA25" s="22">
        <f t="shared" si="61"/>
        <v>-0.12412081092263606</v>
      </c>
      <c r="BB25" s="22">
        <f t="shared" si="61"/>
        <v>-0.24267670494716401</v>
      </c>
      <c r="BC25" s="22">
        <f t="shared" si="61"/>
        <v>-0.26832438918702717</v>
      </c>
      <c r="BD25" s="22">
        <f t="shared" si="61"/>
        <v>-0.13858665921054594</v>
      </c>
      <c r="BE25" s="22">
        <f t="shared" si="61"/>
        <v>1.9316383972921004E-2</v>
      </c>
      <c r="BF25" s="22">
        <f t="shared" si="61"/>
        <v>-0.10216912920465883</v>
      </c>
      <c r="BG25" s="22">
        <f t="shared" si="61"/>
        <v>0.10943352059925786</v>
      </c>
      <c r="BH25" s="22">
        <f t="shared" si="61"/>
        <v>0.13493308048575231</v>
      </c>
      <c r="BI25" s="22">
        <f t="shared" si="61"/>
        <v>3.8981884888787774E-2</v>
      </c>
      <c r="BJ25" s="22">
        <f t="shared" si="61"/>
        <v>0.16035533131154281</v>
      </c>
      <c r="BN25">
        <v>24</v>
      </c>
      <c r="BO25" s="23">
        <f t="shared" si="30"/>
        <v>-0.21391184464899632</v>
      </c>
      <c r="BP25" s="23">
        <f t="shared" si="1"/>
        <v>0.12144705683041437</v>
      </c>
      <c r="BQ25" s="23">
        <f t="shared" si="2"/>
        <v>1.1435051807005652</v>
      </c>
      <c r="BR25" s="23">
        <f t="shared" si="3"/>
        <v>0.61108634181831656</v>
      </c>
      <c r="BS25" s="23">
        <f t="shared" si="4"/>
        <v>-8.3527904708248751E-2</v>
      </c>
      <c r="BT25" s="23">
        <f t="shared" si="5"/>
        <v>-0.36813553547705957</v>
      </c>
      <c r="BU25" s="23">
        <f t="shared" si="6"/>
        <v>-0.23348380308733185</v>
      </c>
      <c r="BV25" s="23">
        <f t="shared" si="7"/>
        <v>-0.47765369392242302</v>
      </c>
      <c r="BW25" s="23">
        <f t="shared" si="8"/>
        <v>0.46028237936630467</v>
      </c>
      <c r="BX25" s="23">
        <f t="shared" si="9"/>
        <v>0.99463316737262453</v>
      </c>
      <c r="BY25" s="23">
        <f t="shared" si="10"/>
        <v>-0.15591156410756082</v>
      </c>
      <c r="BZ25" s="23">
        <f t="shared" si="11"/>
        <v>-2.7277738427330084E-2</v>
      </c>
      <c r="CA25" s="23">
        <f t="shared" si="12"/>
        <v>0.10330571437164418</v>
      </c>
      <c r="CB25" s="23">
        <f t="shared" si="13"/>
        <v>0.31510373261800989</v>
      </c>
      <c r="CC25" s="23">
        <f t="shared" si="14"/>
        <v>0.44146108715419774</v>
      </c>
      <c r="CD25" s="23">
        <f t="shared" si="15"/>
        <v>0.23800150055476785</v>
      </c>
      <c r="CE25" s="23">
        <f t="shared" si="16"/>
        <v>0.92825430297954536</v>
      </c>
      <c r="CF25" s="23">
        <f t="shared" si="17"/>
        <v>1.4636131121821985</v>
      </c>
      <c r="CG25" s="23">
        <f t="shared" si="18"/>
        <v>1.0035748991290536</v>
      </c>
      <c r="CH25" s="23">
        <f t="shared" si="19"/>
        <v>0.47246380673163235</v>
      </c>
      <c r="CI25" s="23">
        <f t="shared" si="20"/>
        <v>-0.34110409476241998</v>
      </c>
      <c r="CJ25" s="23">
        <f t="shared" si="21"/>
        <v>-0.20891474187759468</v>
      </c>
      <c r="CK25" s="23">
        <f t="shared" si="22"/>
        <v>1.2216013624248847</v>
      </c>
      <c r="CL25" s="23">
        <f t="shared" si="23"/>
        <v>0.68914655566860406</v>
      </c>
      <c r="CM25" s="23">
        <f t="shared" si="24"/>
        <v>0.51874363955498914</v>
      </c>
      <c r="CN25" s="23">
        <f t="shared" si="25"/>
        <v>0.13507294235722356</v>
      </c>
      <c r="CO25" s="23">
        <f t="shared" si="26"/>
        <v>0.82954440917050964</v>
      </c>
      <c r="CP25" s="23">
        <f t="shared" si="27"/>
        <v>1.3630966166847029</v>
      </c>
      <c r="CU25" s="21">
        <v>24</v>
      </c>
      <c r="CV25" s="24">
        <f t="shared" si="31"/>
        <v>0.19245321171722379</v>
      </c>
      <c r="CW25" s="24">
        <f t="shared" si="32"/>
        <v>3.1475597287292683</v>
      </c>
      <c r="CX25" s="24">
        <f t="shared" si="33"/>
        <v>2.0635999248546728</v>
      </c>
      <c r="CY25" s="24">
        <f t="shared" si="34"/>
        <v>-2.7828876005113194</v>
      </c>
      <c r="CZ25" s="24">
        <f t="shared" si="35"/>
        <v>3.9673931437827865</v>
      </c>
      <c r="DA25" s="24">
        <f t="shared" si="36"/>
        <v>1.4194066614816019</v>
      </c>
      <c r="DB25" s="24">
        <f t="shared" si="37"/>
        <v>0.39038946366338911</v>
      </c>
      <c r="DC25" s="24">
        <f t="shared" si="38"/>
        <v>-7.7087679780490177</v>
      </c>
      <c r="DF25" s="25">
        <v>24</v>
      </c>
      <c r="DG25" s="26">
        <f t="shared" si="60"/>
        <v>0.13507294235722356</v>
      </c>
      <c r="DH25" s="26">
        <f t="shared" si="39"/>
        <v>-0.23348380308733185</v>
      </c>
      <c r="DI25" s="26">
        <f t="shared" si="40"/>
        <v>0.82954440917050964</v>
      </c>
      <c r="DJ25" s="26">
        <f t="shared" si="41"/>
        <v>0.46028237936630467</v>
      </c>
      <c r="DK25" s="26">
        <f t="shared" si="42"/>
        <v>-0.10330571437164418</v>
      </c>
      <c r="DL25" s="26">
        <f t="shared" si="43"/>
        <v>-0.47765369392242302</v>
      </c>
      <c r="DM25" s="26">
        <f t="shared" si="44"/>
        <v>0.21391184464899632</v>
      </c>
      <c r="DN25" s="26">
        <f t="shared" si="45"/>
        <v>-0.15591156410756082</v>
      </c>
      <c r="DO25" s="26">
        <f t="shared" si="46"/>
        <v>0.34110409476241998</v>
      </c>
      <c r="DP25" s="26">
        <f t="shared" si="47"/>
        <v>-2.7277738427330084E-2</v>
      </c>
      <c r="DQ25" s="26">
        <f t="shared" si="48"/>
        <v>1.3630966166847029</v>
      </c>
      <c r="DR25" s="26">
        <f t="shared" si="49"/>
        <v>0.99463316737262453</v>
      </c>
      <c r="DS25" s="47">
        <f t="shared" si="50"/>
        <v>0.36813553547705957</v>
      </c>
      <c r="DT25" s="47">
        <f t="shared" si="51"/>
        <v>-0.36813553547705957</v>
      </c>
      <c r="DX25">
        <v>24</v>
      </c>
      <c r="DY25" s="19">
        <f t="shared" si="52"/>
        <v>-2.7571702650658789</v>
      </c>
      <c r="EM25" s="21">
        <v>24</v>
      </c>
      <c r="EN25" s="16">
        <f t="shared" si="53"/>
        <v>0.19245321171722379</v>
      </c>
      <c r="EO25" s="16">
        <f t="shared" si="28"/>
        <v>3.1475597287292683</v>
      </c>
      <c r="EP25" s="16">
        <f t="shared" si="54"/>
        <v>2.0635999248546728</v>
      </c>
      <c r="EQ25" s="16">
        <f t="shared" si="55"/>
        <v>-2.7828876005113194</v>
      </c>
      <c r="ER25" s="16">
        <f t="shared" si="56"/>
        <v>3.9673931437827865</v>
      </c>
      <c r="ES25" s="16">
        <f t="shared" si="57"/>
        <v>1.4194066614816019</v>
      </c>
      <c r="ET25" s="16">
        <f t="shared" si="58"/>
        <v>0.39038946366338911</v>
      </c>
      <c r="EU25" s="16">
        <f t="shared" si="59"/>
        <v>-7.7087679780490177</v>
      </c>
      <c r="FK25" s="20"/>
      <c r="FL25" s="20"/>
    </row>
    <row r="26" spans="1:168" ht="14.4" thickBot="1" x14ac:dyDescent="0.35">
      <c r="A26" s="37" t="s">
        <v>51</v>
      </c>
      <c r="B26" s="38">
        <v>24</v>
      </c>
      <c r="C26" s="34">
        <f>RTD("fxbluelabs.excelrtd", , "21422436","@bh,AUDUSD,h4,close,24")</f>
        <v>0.66237999999999997</v>
      </c>
      <c r="D26" s="34">
        <f>RTD("fxbluelabs.excelrtd", , "21422436","@bh,AUDNZD,h4,close,24")</f>
        <v>1.1037600000000001</v>
      </c>
      <c r="E26" s="35">
        <f>RTD("fxbluelabs.excelrtd", , "21422436","@bh,AUDJPY,h4,close,24")</f>
        <v>98.721000000000004</v>
      </c>
      <c r="F26" s="34">
        <f>RTD("fxbluelabs.excelrtd", , "21422436","@bh,AUDCHF,h4,close,24")</f>
        <v>0.57770999999999995</v>
      </c>
      <c r="G26" s="34">
        <f>RTD("fxbluelabs.excelrtd", , "21422436","@bh,AUDCAD,h4,close,24")</f>
        <v>0.90805999999999998</v>
      </c>
      <c r="H26" s="34">
        <f>RTD("fxbluelabs.excelrtd", , "21422436","@bh,EURUSD,h4,close,24")</f>
        <v>1.09781</v>
      </c>
      <c r="I26" s="34">
        <f>RTD("fxbluelabs.excelrtd", , "21422436","@bh,EURCAD,h4,close,24")</f>
        <v>1.5049999999999999</v>
      </c>
      <c r="J26" s="34">
        <f>RTD("fxbluelabs.excelrtd", , "21422436","@bh,EURGBP,h4,close,24")</f>
        <v>0.85419999999999996</v>
      </c>
      <c r="K26" s="34">
        <f>RTD("fxbluelabs.excelrtd", , "21422436","@bh,EURCHF,h4,close,24")</f>
        <v>0.95748999999999995</v>
      </c>
      <c r="L26" s="35">
        <f>RTD("fxbluelabs.excelrtd", , "21422436","@bh,EURJPY,h4,close,24")</f>
        <v>163.619</v>
      </c>
      <c r="M26" s="34">
        <f>RTD("fxbluelabs.excelrtd", , "21422436","@bh,EURAUD,h4,close,24")</f>
        <v>1.65734</v>
      </c>
      <c r="N26" s="34">
        <f>RTD("fxbluelabs.excelrtd", , "21422436","@bh,EURNZD,h4,close,24")</f>
        <v>1.8293699999999999</v>
      </c>
      <c r="O26" s="34">
        <f>RTD("fxbluelabs.excelrtd", , "21422436","@bh,GBPUSD,h4,close,24")</f>
        <v>1.2851699999999999</v>
      </c>
      <c r="P26" s="34">
        <f>RTD("fxbluelabs.excelrtd", , "21422436","@bh,GBPAUD,h4,close,24")</f>
        <v>1.9401900000000001</v>
      </c>
      <c r="Q26" s="34">
        <f>RTD("fxbluelabs.excelrtd", , "21422436","@bh,GBPNZD,h4,close,24")</f>
        <v>2.1415999999999999</v>
      </c>
      <c r="R26" s="34">
        <f>RTD("fxbluelabs.excelrtd", , "21422436","@bh,GBPCAD,h4,close,24")</f>
        <v>1.7618499999999999</v>
      </c>
      <c r="S26" s="34">
        <f>RTD("fxbluelabs.excelrtd", , "21422436","@bh,GBPCHF,h4,close,24")</f>
        <v>1.1209</v>
      </c>
      <c r="T26" s="35">
        <f>RTD("fxbluelabs.excelrtd", , "21422436","@bh,GBPJPY,h4,close,24")</f>
        <v>191.54300000000001</v>
      </c>
      <c r="U26" s="35">
        <f>RTD("fxbluelabs.excelrtd", , "21422436","@bh,NZDJPY,h4,close,24")</f>
        <v>89.429000000000002</v>
      </c>
      <c r="V26" s="34">
        <f>RTD("fxbluelabs.excelrtd", , "21422436","@bh,NZDCHF,h4,close,24")</f>
        <v>0.52332999999999996</v>
      </c>
      <c r="W26" s="34">
        <f>RTD("fxbluelabs.excelrtd", , "21422436","@bh,NZDUSD,h4,close,24")</f>
        <v>0.60002</v>
      </c>
      <c r="X26" s="34">
        <f>RTD("fxbluelabs.excelrtd", , "21422436","@bh,NZDCAD,h4,close,24")</f>
        <v>0.82259000000000004</v>
      </c>
      <c r="Y26" s="35">
        <f>RTD("fxbluelabs.excelrtd", , "21422436","@bh,CADJPY,h4,close,24")</f>
        <v>108.71599999999999</v>
      </c>
      <c r="Z26" s="34">
        <f>RTD("fxbluelabs.excelrtd", , "21422436","@bh,CADCHF,h4,close,24")</f>
        <v>0.63619999999999999</v>
      </c>
      <c r="AA26" s="35">
        <f>RTD("fxbluelabs.excelrtd", , "21422436","@bh,CHFJPY,h4,close,24")</f>
        <v>170.88</v>
      </c>
      <c r="AB26" s="34">
        <f>RTD("fxbluelabs.excelrtd", , "21422436","@bh,USDCAD,h4,close,24")</f>
        <v>1.3710500000000001</v>
      </c>
      <c r="AC26" s="34">
        <f>RTD("fxbluelabs.excelrtd", , "21422436","@bh,USDCHF,h4,close,24")</f>
        <v>0.87219999999999998</v>
      </c>
      <c r="AD26" s="35">
        <f>RTD("fxbluelabs.excelrtd", , "21422436","@bh,USDJPY,h4,close,24")</f>
        <v>149.04400000000001</v>
      </c>
      <c r="AH26" s="13">
        <v>25</v>
      </c>
      <c r="AI26" s="27">
        <f t="shared" si="62"/>
        <v>0.2451722259216591</v>
      </c>
      <c r="AJ26" s="27">
        <f t="shared" si="62"/>
        <v>4.530175499008391E-3</v>
      </c>
      <c r="AK26" s="27">
        <f t="shared" si="62"/>
        <v>0.2997175543047586</v>
      </c>
      <c r="AL26" s="27">
        <f t="shared" si="62"/>
        <v>0.14561339643246346</v>
      </c>
      <c r="AM26" s="27">
        <f t="shared" si="62"/>
        <v>0.12901233887241059</v>
      </c>
      <c r="AN26" s="27">
        <f t="shared" si="62"/>
        <v>0.19531428258508773</v>
      </c>
      <c r="AO26" s="27">
        <f t="shared" si="62"/>
        <v>8.1128888534227006E-2</v>
      </c>
      <c r="AP26" s="27">
        <f t="shared" si="62"/>
        <v>-6.7853716745832252E-2</v>
      </c>
      <c r="AQ26" s="27">
        <f t="shared" si="62"/>
        <v>9.8269823846107454E-2</v>
      </c>
      <c r="AR26" s="27">
        <f t="shared" si="62"/>
        <v>0.25244015268953302</v>
      </c>
      <c r="AS26" s="27">
        <f t="shared" si="62"/>
        <v>-4.9452405075507966E-2</v>
      </c>
      <c r="AT26" s="27">
        <f t="shared" si="62"/>
        <v>-4.261945742152299E-2</v>
      </c>
      <c r="AU26" s="27">
        <f t="shared" si="62"/>
        <v>0.26369374078436708</v>
      </c>
      <c r="AV26" s="27">
        <f t="shared" si="62"/>
        <v>1.7011536915043535E-2</v>
      </c>
      <c r="AW26" s="27">
        <f t="shared" si="62"/>
        <v>2.4286808526531183E-2</v>
      </c>
      <c r="AX26" s="27">
        <f t="shared" si="61"/>
        <v>0.14779025152763597</v>
      </c>
      <c r="AY26" s="27">
        <f t="shared" si="61"/>
        <v>0.16531879719404022</v>
      </c>
      <c r="AZ26" s="27">
        <f t="shared" si="61"/>
        <v>0.32000921794147574</v>
      </c>
      <c r="BA26" s="27">
        <f t="shared" si="61"/>
        <v>0.28708241283796687</v>
      </c>
      <c r="BB26" s="27">
        <f t="shared" si="61"/>
        <v>0.1320220419409093</v>
      </c>
      <c r="BC26" s="27">
        <f t="shared" si="61"/>
        <v>0.22884824187755487</v>
      </c>
      <c r="BD26" s="27">
        <f t="shared" si="61"/>
        <v>0.11684091379332205</v>
      </c>
      <c r="BE26" s="27">
        <f t="shared" si="61"/>
        <v>0.17322718561107564</v>
      </c>
      <c r="BF26" s="27">
        <f t="shared" si="61"/>
        <v>1.8865551502957018E-2</v>
      </c>
      <c r="BG26" s="27">
        <f t="shared" si="61"/>
        <v>0.15414642151720243</v>
      </c>
      <c r="BH26" s="27">
        <f t="shared" si="61"/>
        <v>-0.11437979921608671</v>
      </c>
      <c r="BI26" s="27">
        <f t="shared" si="61"/>
        <v>-9.8504111973973379E-2</v>
      </c>
      <c r="BJ26" s="27">
        <f t="shared" si="61"/>
        <v>5.7062681677513917E-2</v>
      </c>
      <c r="BN26">
        <v>25</v>
      </c>
      <c r="BO26" s="28">
        <f t="shared" si="30"/>
        <v>-1.1611050542892909E-2</v>
      </c>
      <c r="BP26" s="28">
        <f t="shared" si="1"/>
        <v>5.1685514466137963E-2</v>
      </c>
      <c r="BQ26" s="28">
        <f t="shared" si="2"/>
        <v>1.1870622759487961</v>
      </c>
      <c r="BR26" s="28">
        <f t="shared" si="3"/>
        <v>0.77552870909599836</v>
      </c>
      <c r="BS26" s="28">
        <f t="shared" si="4"/>
        <v>-1.4149229290322696E-2</v>
      </c>
      <c r="BT26" s="28">
        <f t="shared" si="5"/>
        <v>-0.30528312932300217</v>
      </c>
      <c r="BU26" s="28">
        <f t="shared" si="6"/>
        <v>-0.30657350408401629</v>
      </c>
      <c r="BV26" s="28">
        <f t="shared" si="7"/>
        <v>-0.3968763584038128</v>
      </c>
      <c r="BW26" s="28">
        <f t="shared" si="8"/>
        <v>0.48221472330722642</v>
      </c>
      <c r="BX26" s="28">
        <f t="shared" si="9"/>
        <v>0.89501148529413066</v>
      </c>
      <c r="BY26" s="28">
        <f t="shared" si="10"/>
        <v>-0.29408478143170091</v>
      </c>
      <c r="BZ26" s="28">
        <f t="shared" si="11"/>
        <v>-0.24046588516637216</v>
      </c>
      <c r="CA26" s="28">
        <f t="shared" si="12"/>
        <v>9.0855999547911903E-2</v>
      </c>
      <c r="CB26" s="28">
        <f t="shared" si="13"/>
        <v>0.10223798235643927</v>
      </c>
      <c r="CC26" s="28">
        <f t="shared" si="14"/>
        <v>0.1570942586147912</v>
      </c>
      <c r="CD26" s="28">
        <f t="shared" si="15"/>
        <v>8.9861761076378582E-2</v>
      </c>
      <c r="CE26" s="28">
        <f t="shared" si="16"/>
        <v>0.87829444929055489</v>
      </c>
      <c r="CF26" s="28">
        <f t="shared" si="17"/>
        <v>1.290805961829542</v>
      </c>
      <c r="CG26" s="28">
        <f t="shared" si="18"/>
        <v>1.12769571005169</v>
      </c>
      <c r="CH26" s="28">
        <f t="shared" si="19"/>
        <v>0.71514051167879633</v>
      </c>
      <c r="CI26" s="28">
        <f t="shared" si="20"/>
        <v>-7.2779705575392817E-2</v>
      </c>
      <c r="CJ26" s="28">
        <f t="shared" si="21"/>
        <v>-7.0328082667048722E-2</v>
      </c>
      <c r="CK26" s="28">
        <f t="shared" si="22"/>
        <v>1.2022849784519638</v>
      </c>
      <c r="CL26" s="28">
        <f t="shared" si="23"/>
        <v>0.79131568487326287</v>
      </c>
      <c r="CM26" s="28">
        <f t="shared" si="24"/>
        <v>0.40931011895573127</v>
      </c>
      <c r="CN26" s="28">
        <f t="shared" si="25"/>
        <v>1.398618714712474E-4</v>
      </c>
      <c r="CO26" s="28">
        <f t="shared" si="26"/>
        <v>0.79056252428172191</v>
      </c>
      <c r="CP26" s="28">
        <f t="shared" si="27"/>
        <v>1.2027412853731601</v>
      </c>
      <c r="CU26" s="21">
        <v>25</v>
      </c>
      <c r="CV26" s="29">
        <f t="shared" si="31"/>
        <v>-0.16605744980754714</v>
      </c>
      <c r="CW26" s="29">
        <f t="shared" si="32"/>
        <v>2.2922615574197294</v>
      </c>
      <c r="CX26" s="29">
        <f t="shared" si="33"/>
        <v>2.294649856418765</v>
      </c>
      <c r="CY26" s="29">
        <f t="shared" si="34"/>
        <v>-3.2324307986985668</v>
      </c>
      <c r="CZ26" s="29">
        <f t="shared" si="35"/>
        <v>3.0060267711194304</v>
      </c>
      <c r="DA26" s="29">
        <f t="shared" si="36"/>
        <v>2.1803630187529786</v>
      </c>
      <c r="DB26" s="29">
        <f t="shared" si="37"/>
        <v>1.731414545573488</v>
      </c>
      <c r="DC26" s="29">
        <f t="shared" si="38"/>
        <v>-7.3149118159050133</v>
      </c>
      <c r="DF26" s="30">
        <v>25</v>
      </c>
      <c r="DG26" s="31">
        <f t="shared" si="60"/>
        <v>1.398618714712474E-4</v>
      </c>
      <c r="DH26" s="31">
        <f t="shared" si="39"/>
        <v>-0.30657350408401629</v>
      </c>
      <c r="DI26" s="31">
        <f t="shared" si="40"/>
        <v>0.79056252428172191</v>
      </c>
      <c r="DJ26" s="31">
        <f t="shared" si="41"/>
        <v>0.48221472330722642</v>
      </c>
      <c r="DK26" s="31">
        <f t="shared" si="42"/>
        <v>-9.0855999547911903E-2</v>
      </c>
      <c r="DL26" s="31">
        <f t="shared" si="43"/>
        <v>-0.3968763584038128</v>
      </c>
      <c r="DM26" s="31">
        <f t="shared" si="44"/>
        <v>1.1611050542892909E-2</v>
      </c>
      <c r="DN26" s="31">
        <f t="shared" si="45"/>
        <v>-0.29408478143170091</v>
      </c>
      <c r="DO26" s="31">
        <f t="shared" si="46"/>
        <v>7.2779705575392817E-2</v>
      </c>
      <c r="DP26" s="31">
        <f t="shared" si="47"/>
        <v>-0.24046588516637216</v>
      </c>
      <c r="DQ26" s="31">
        <f t="shared" si="48"/>
        <v>1.2027412853731601</v>
      </c>
      <c r="DR26" s="31">
        <f t="shared" si="49"/>
        <v>0.89501148529413066</v>
      </c>
      <c r="DS26" s="49">
        <f t="shared" si="50"/>
        <v>0.30528312932300217</v>
      </c>
      <c r="DT26" s="49">
        <f t="shared" si="51"/>
        <v>-0.30528312932300217</v>
      </c>
      <c r="DX26">
        <v>25</v>
      </c>
      <c r="DY26" s="19">
        <f t="shared" si="52"/>
        <v>-0.56084701184624142</v>
      </c>
      <c r="EM26" s="21">
        <v>25</v>
      </c>
      <c r="EN26" s="16">
        <f t="shared" si="53"/>
        <v>-0.16605744980754714</v>
      </c>
      <c r="EO26" s="16">
        <f t="shared" si="28"/>
        <v>2.2922615574197294</v>
      </c>
      <c r="EP26" s="16">
        <f t="shared" si="54"/>
        <v>2.294649856418765</v>
      </c>
      <c r="EQ26" s="16">
        <f t="shared" si="55"/>
        <v>-3.2324307986985668</v>
      </c>
      <c r="ER26" s="16">
        <f t="shared" si="56"/>
        <v>3.0060267711194304</v>
      </c>
      <c r="ES26" s="16">
        <f t="shared" si="57"/>
        <v>2.1803630187529786</v>
      </c>
      <c r="ET26" s="16">
        <f t="shared" si="58"/>
        <v>1.731414545573488</v>
      </c>
      <c r="EU26" s="16">
        <f t="shared" si="59"/>
        <v>-7.3149118159050133</v>
      </c>
      <c r="FK26" s="20"/>
      <c r="FL26" s="20"/>
    </row>
    <row r="27" spans="1:168" ht="14.4" thickBot="1" x14ac:dyDescent="0.35">
      <c r="A27" s="37" t="s">
        <v>51</v>
      </c>
      <c r="B27" s="38">
        <v>25</v>
      </c>
      <c r="C27" s="34">
        <f>RTD("fxbluelabs.excelrtd", , "21422436","@bh,AUDUSD,h4,close,25")</f>
        <v>0.66076000000000001</v>
      </c>
      <c r="D27" s="34">
        <f>RTD("fxbluelabs.excelrtd", , "21422436","@bh,AUDNZD,h4,close,25")</f>
        <v>1.10371</v>
      </c>
      <c r="E27" s="35">
        <f>RTD("fxbluelabs.excelrtd", , "21422436","@bh,AUDJPY,h4,close,25")</f>
        <v>98.426000000000002</v>
      </c>
      <c r="F27" s="34">
        <f>RTD("fxbluelabs.excelrtd", , "21422436","@bh,AUDCHF,h4,close,25")</f>
        <v>0.57686999999999999</v>
      </c>
      <c r="G27" s="34">
        <f>RTD("fxbluelabs.excelrtd", , "21422436","@bh,AUDCAD,h4,close,25")</f>
        <v>0.90688999999999997</v>
      </c>
      <c r="H27" s="34">
        <f>RTD("fxbluelabs.excelrtd", , "21422436","@bh,EURUSD,h4,close,25")</f>
        <v>1.0956699999999999</v>
      </c>
      <c r="I27" s="34">
        <f>RTD("fxbluelabs.excelrtd", , "21422436","@bh,EURCAD,h4,close,25")</f>
        <v>1.5037799999999999</v>
      </c>
      <c r="J27" s="34">
        <f>RTD("fxbluelabs.excelrtd", , "21422436","@bh,EURGBP,h4,close,25")</f>
        <v>0.85477999999999998</v>
      </c>
      <c r="K27" s="34">
        <f>RTD("fxbluelabs.excelrtd", , "21422436","@bh,EURCHF,h4,close,25")</f>
        <v>0.95655000000000001</v>
      </c>
      <c r="L27" s="35">
        <f>RTD("fxbluelabs.excelrtd", , "21422436","@bh,EURJPY,h4,close,25")</f>
        <v>163.20699999999999</v>
      </c>
      <c r="M27" s="34">
        <f>RTD("fxbluelabs.excelrtd", , "21422436","@bh,EURAUD,h4,close,25")</f>
        <v>1.6581600000000001</v>
      </c>
      <c r="N27" s="34">
        <f>RTD("fxbluelabs.excelrtd", , "21422436","@bh,EURNZD,h4,close,25")</f>
        <v>1.8301499999999999</v>
      </c>
      <c r="O27" s="34">
        <f>RTD("fxbluelabs.excelrtd", , "21422436","@bh,GBPUSD,h4,close,25")</f>
        <v>1.28179</v>
      </c>
      <c r="P27" s="34">
        <f>RTD("fxbluelabs.excelrtd", , "21422436","@bh,GBPAUD,h4,close,25")</f>
        <v>1.9398599999999999</v>
      </c>
      <c r="Q27" s="34">
        <f>RTD("fxbluelabs.excelrtd", , "21422436","@bh,GBPNZD,h4,close,25")</f>
        <v>2.1410800000000001</v>
      </c>
      <c r="R27" s="34">
        <f>RTD("fxbluelabs.excelrtd", , "21422436","@bh,GBPCAD,h4,close,25")</f>
        <v>1.75925</v>
      </c>
      <c r="S27" s="34">
        <f>RTD("fxbluelabs.excelrtd", , "21422436","@bh,GBPCHF,h4,close,25")</f>
        <v>1.1190500000000001</v>
      </c>
      <c r="T27" s="35">
        <f>RTD("fxbluelabs.excelrtd", , "21422436","@bh,GBPJPY,h4,close,25")</f>
        <v>190.93199999999999</v>
      </c>
      <c r="U27" s="35">
        <f>RTD("fxbluelabs.excelrtd", , "21422436","@bh,NZDJPY,h4,close,25")</f>
        <v>89.173000000000002</v>
      </c>
      <c r="V27" s="34">
        <f>RTD("fxbluelabs.excelrtd", , "21422436","@bh,NZDCHF,h4,close,25")</f>
        <v>0.52263999999999999</v>
      </c>
      <c r="W27" s="34">
        <f>RTD("fxbluelabs.excelrtd", , "21422436","@bh,NZDUSD,h4,close,25")</f>
        <v>0.59865000000000002</v>
      </c>
      <c r="X27" s="34">
        <f>RTD("fxbluelabs.excelrtd", , "21422436","@bh,NZDCAD,h4,close,25")</f>
        <v>0.82162999999999997</v>
      </c>
      <c r="Y27" s="35">
        <f>RTD("fxbluelabs.excelrtd", , "21422436","@bh,CADJPY,h4,close,25")</f>
        <v>108.52800000000001</v>
      </c>
      <c r="Z27" s="34">
        <f>RTD("fxbluelabs.excelrtd", , "21422436","@bh,CADCHF,h4,close,25")</f>
        <v>0.63607999999999998</v>
      </c>
      <c r="AA27" s="35">
        <f>RTD("fxbluelabs.excelrtd", , "21422436","@bh,CHFJPY,h4,close,25")</f>
        <v>170.61699999999999</v>
      </c>
      <c r="AB27" s="34">
        <f>RTD("fxbluelabs.excelrtd", , "21422436","@bh,USDCAD,h4,close,25")</f>
        <v>1.37262</v>
      </c>
      <c r="AC27" s="34">
        <f>RTD("fxbluelabs.excelrtd", , "21422436","@bh,USDCHF,h4,close,25")</f>
        <v>0.87305999999999995</v>
      </c>
      <c r="AD27" s="35">
        <f>RTD("fxbluelabs.excelrtd", , "21422436","@bh,USDJPY,h4,close,25")</f>
        <v>148.959</v>
      </c>
      <c r="AH27" s="21">
        <v>26</v>
      </c>
      <c r="AI27" s="22">
        <f t="shared" si="62"/>
        <v>-0.13753079329574658</v>
      </c>
      <c r="AJ27" s="22">
        <f t="shared" si="62"/>
        <v>7.3442741862360814E-2</v>
      </c>
      <c r="AK27" s="22">
        <f t="shared" si="62"/>
        <v>0.96216970293779991</v>
      </c>
      <c r="AL27" s="22">
        <f t="shared" si="62"/>
        <v>0.65782585936135751</v>
      </c>
      <c r="AM27" s="22">
        <f t="shared" si="62"/>
        <v>-1.5434991124883298E-2</v>
      </c>
      <c r="AN27" s="22">
        <f t="shared" si="62"/>
        <v>-0.4506509907961872</v>
      </c>
      <c r="AO27" s="22">
        <f t="shared" si="62"/>
        <v>-0.33007237731648548</v>
      </c>
      <c r="AP27" s="22">
        <f t="shared" si="62"/>
        <v>-0.24973159688185953</v>
      </c>
      <c r="AQ27" s="22">
        <f t="shared" si="62"/>
        <v>0.33986845831891205</v>
      </c>
      <c r="AR27" s="22">
        <f t="shared" si="62"/>
        <v>0.64503795610534731</v>
      </c>
      <c r="AS27" s="22">
        <f t="shared" si="62"/>
        <v>-0.31441814607517454</v>
      </c>
      <c r="AT27" s="22">
        <f t="shared" si="62"/>
        <v>-0.24147216256582738</v>
      </c>
      <c r="AU27" s="22">
        <f t="shared" si="62"/>
        <v>-0.20165371618991981</v>
      </c>
      <c r="AV27" s="22">
        <f t="shared" si="62"/>
        <v>-6.4396144474036687E-2</v>
      </c>
      <c r="AW27" s="22">
        <f t="shared" si="62"/>
        <v>9.8090963019727244E-3</v>
      </c>
      <c r="AX27" s="22">
        <f t="shared" si="61"/>
        <v>-7.9516087808483668E-2</v>
      </c>
      <c r="AY27" s="22">
        <f t="shared" si="61"/>
        <v>0.59147662408874213</v>
      </c>
      <c r="AZ27" s="22">
        <f t="shared" si="61"/>
        <v>0.89570221468317146</v>
      </c>
      <c r="BA27" s="22">
        <f t="shared" si="61"/>
        <v>0.88584681525059539</v>
      </c>
      <c r="BB27" s="22">
        <f t="shared" si="61"/>
        <v>0.58119394942458391</v>
      </c>
      <c r="BC27" s="22">
        <f t="shared" si="61"/>
        <v>-0.21003150472571533</v>
      </c>
      <c r="BD27" s="22">
        <f t="shared" si="61"/>
        <v>-8.8768908993629117E-2</v>
      </c>
      <c r="BE27" s="22">
        <f t="shared" si="61"/>
        <v>0.97506512839598225</v>
      </c>
      <c r="BF27" s="22">
        <f t="shared" si="61"/>
        <v>0.67105596353507557</v>
      </c>
      <c r="BG27" s="22">
        <f t="shared" si="61"/>
        <v>0.30275952075812534</v>
      </c>
      <c r="BH27" s="22">
        <f t="shared" si="61"/>
        <v>0.12181334111383059</v>
      </c>
      <c r="BI27" s="22">
        <f t="shared" si="61"/>
        <v>0.79661956220558627</v>
      </c>
      <c r="BJ27" s="22">
        <f t="shared" si="61"/>
        <v>1.0995052226498108</v>
      </c>
      <c r="BN27">
        <v>26</v>
      </c>
      <c r="BO27" s="23">
        <f t="shared" si="30"/>
        <v>-0.25678327646455201</v>
      </c>
      <c r="BP27" s="23">
        <f t="shared" si="1"/>
        <v>4.7155338967129576E-2</v>
      </c>
      <c r="BQ27" s="23">
        <f t="shared" si="2"/>
        <v>0.88734472164403755</v>
      </c>
      <c r="BR27" s="23">
        <f t="shared" si="3"/>
        <v>0.62991531266353484</v>
      </c>
      <c r="BS27" s="23">
        <f t="shared" si="4"/>
        <v>-0.14316156816273329</v>
      </c>
      <c r="BT27" s="23">
        <f t="shared" si="5"/>
        <v>-0.50059741190808993</v>
      </c>
      <c r="BU27" s="23">
        <f t="shared" si="6"/>
        <v>-0.3877023926182433</v>
      </c>
      <c r="BV27" s="23">
        <f t="shared" si="7"/>
        <v>-0.32902264165798056</v>
      </c>
      <c r="BW27" s="23">
        <f t="shared" si="8"/>
        <v>0.38394489946111898</v>
      </c>
      <c r="BX27" s="23">
        <f t="shared" si="9"/>
        <v>0.64257133260459764</v>
      </c>
      <c r="BY27" s="23">
        <f t="shared" si="10"/>
        <v>-0.24463237635619295</v>
      </c>
      <c r="BZ27" s="23">
        <f t="shared" si="11"/>
        <v>-0.19784642774484917</v>
      </c>
      <c r="CA27" s="23">
        <f t="shared" si="12"/>
        <v>-0.17283774123645518</v>
      </c>
      <c r="CB27" s="23">
        <f t="shared" si="13"/>
        <v>8.5226445441395737E-2</v>
      </c>
      <c r="CC27" s="23">
        <f t="shared" si="14"/>
        <v>0.13280745008826003</v>
      </c>
      <c r="CD27" s="23">
        <f t="shared" si="15"/>
        <v>-5.7928490451257392E-2</v>
      </c>
      <c r="CE27" s="23">
        <f t="shared" si="16"/>
        <v>0.7129756520965147</v>
      </c>
      <c r="CF27" s="23">
        <f t="shared" si="17"/>
        <v>0.97079674388806625</v>
      </c>
      <c r="CG27" s="23">
        <f t="shared" si="18"/>
        <v>0.84061329721372302</v>
      </c>
      <c r="CH27" s="23">
        <f t="shared" si="19"/>
        <v>0.58311846973788706</v>
      </c>
      <c r="CI27" s="23">
        <f t="shared" si="20"/>
        <v>-0.30162794745294769</v>
      </c>
      <c r="CJ27" s="23">
        <f t="shared" si="21"/>
        <v>-0.18716899646037077</v>
      </c>
      <c r="CK27" s="23">
        <f t="shared" si="22"/>
        <v>1.0290577928408882</v>
      </c>
      <c r="CL27" s="23">
        <f t="shared" si="23"/>
        <v>0.77245013337030588</v>
      </c>
      <c r="CM27" s="23">
        <f t="shared" si="24"/>
        <v>0.25516369743852885</v>
      </c>
      <c r="CN27" s="23">
        <f t="shared" si="25"/>
        <v>0.11451966108755796</v>
      </c>
      <c r="CO27" s="23">
        <f t="shared" si="26"/>
        <v>0.88906663625569526</v>
      </c>
      <c r="CP27" s="23">
        <f t="shared" si="27"/>
        <v>1.1456786036956461</v>
      </c>
      <c r="CU27" s="13">
        <v>26</v>
      </c>
      <c r="CV27" s="24">
        <f t="shared" si="31"/>
        <v>-0.63328501821963923</v>
      </c>
      <c r="CW27" s="24">
        <f t="shared" si="32"/>
        <v>3.3811112781009438</v>
      </c>
      <c r="CX27" s="24">
        <f t="shared" si="33"/>
        <v>2.4629497128162408</v>
      </c>
      <c r="CY27" s="24">
        <f t="shared" si="34"/>
        <v>-2.9438572727762216</v>
      </c>
      <c r="CZ27" s="24">
        <f t="shared" si="35"/>
        <v>2.0000627014845049</v>
      </c>
      <c r="DA27" s="24">
        <f t="shared" si="36"/>
        <v>1.3238764595622139</v>
      </c>
      <c r="DB27" s="24">
        <f t="shared" si="37"/>
        <v>0.9528184617277512</v>
      </c>
      <c r="DC27" s="24">
        <f t="shared" si="38"/>
        <v>-5.7712261893254873</v>
      </c>
      <c r="DF27" s="25">
        <v>26</v>
      </c>
      <c r="DG27" s="26">
        <f t="shared" si="60"/>
        <v>0.11451966108755796</v>
      </c>
      <c r="DH27" s="26">
        <f t="shared" si="39"/>
        <v>-0.3877023926182433</v>
      </c>
      <c r="DI27" s="26">
        <f t="shared" si="40"/>
        <v>0.88906663625569526</v>
      </c>
      <c r="DJ27" s="26">
        <f t="shared" si="41"/>
        <v>0.38394489946111898</v>
      </c>
      <c r="DK27" s="26">
        <f t="shared" si="42"/>
        <v>0.17283774123645518</v>
      </c>
      <c r="DL27" s="26">
        <f t="shared" si="43"/>
        <v>-0.32902264165798056</v>
      </c>
      <c r="DM27" s="26">
        <f t="shared" si="44"/>
        <v>0.25678327646455201</v>
      </c>
      <c r="DN27" s="26">
        <f t="shared" si="45"/>
        <v>-0.24463237635619295</v>
      </c>
      <c r="DO27" s="26">
        <f t="shared" si="46"/>
        <v>0.30162794745294769</v>
      </c>
      <c r="DP27" s="26">
        <f t="shared" si="47"/>
        <v>-0.19784642774484917</v>
      </c>
      <c r="DQ27" s="26">
        <f t="shared" si="48"/>
        <v>1.1456786036956461</v>
      </c>
      <c r="DR27" s="26">
        <f t="shared" si="49"/>
        <v>0.64257133260459764</v>
      </c>
      <c r="DS27" s="47">
        <f t="shared" si="50"/>
        <v>0.50059741190808993</v>
      </c>
      <c r="DT27" s="47">
        <f t="shared" si="51"/>
        <v>-0.50059741190808993</v>
      </c>
      <c r="DX27">
        <v>26</v>
      </c>
      <c r="DY27" s="19">
        <f t="shared" si="52"/>
        <v>-2.4282928163731925</v>
      </c>
      <c r="EM27" s="13">
        <v>26</v>
      </c>
      <c r="EN27" s="16">
        <f t="shared" si="53"/>
        <v>-0.63328501821963923</v>
      </c>
      <c r="EO27" s="16">
        <f t="shared" si="28"/>
        <v>3.3811112781009438</v>
      </c>
      <c r="EP27" s="16">
        <f t="shared" si="54"/>
        <v>2.4629497128162408</v>
      </c>
      <c r="EQ27" s="16">
        <f t="shared" si="55"/>
        <v>-2.9438572727762216</v>
      </c>
      <c r="ER27" s="16">
        <f t="shared" si="56"/>
        <v>2.0000627014845049</v>
      </c>
      <c r="ES27" s="16">
        <f t="shared" si="57"/>
        <v>1.3238764595622139</v>
      </c>
      <c r="ET27" s="16">
        <f t="shared" si="58"/>
        <v>0.9528184617277512</v>
      </c>
      <c r="EU27" s="16">
        <f t="shared" si="59"/>
        <v>-5.7712261893254873</v>
      </c>
      <c r="FK27" s="20"/>
      <c r="FL27" s="20"/>
    </row>
    <row r="28" spans="1:168" ht="14.4" thickBot="1" x14ac:dyDescent="0.35">
      <c r="A28" s="37" t="s">
        <v>51</v>
      </c>
      <c r="B28" s="38">
        <v>26</v>
      </c>
      <c r="C28" s="34">
        <f>RTD("fxbluelabs.excelrtd", , "21422436","@bh,AUDUSD,h4,close,26")</f>
        <v>0.66166999999999998</v>
      </c>
      <c r="D28" s="34">
        <f>RTD("fxbluelabs.excelrtd", , "21422436","@bh,AUDNZD,h4,close,26")</f>
        <v>1.1029</v>
      </c>
      <c r="E28" s="35">
        <f>RTD("fxbluelabs.excelrtd", , "21422436","@bh,AUDJPY,h4,close,26")</f>
        <v>97.488</v>
      </c>
      <c r="F28" s="34">
        <f>RTD("fxbluelabs.excelrtd", , "21422436","@bh,AUDCHF,h4,close,26")</f>
        <v>0.57310000000000005</v>
      </c>
      <c r="G28" s="34">
        <f>RTD("fxbluelabs.excelrtd", , "21422436","@bh,AUDCAD,h4,close,26")</f>
        <v>0.90703</v>
      </c>
      <c r="H28" s="34">
        <f>RTD("fxbluelabs.excelrtd", , "21422436","@bh,EURUSD,h4,close,26")</f>
        <v>1.10063</v>
      </c>
      <c r="I28" s="34">
        <f>RTD("fxbluelabs.excelrtd", , "21422436","@bh,EURCAD,h4,close,26")</f>
        <v>1.5087600000000001</v>
      </c>
      <c r="J28" s="34">
        <f>RTD("fxbluelabs.excelrtd", , "21422436","@bh,EURGBP,h4,close,26")</f>
        <v>0.85692000000000002</v>
      </c>
      <c r="K28" s="34">
        <f>RTD("fxbluelabs.excelrtd", , "21422436","@bh,EURCHF,h4,close,26")</f>
        <v>0.95330999999999999</v>
      </c>
      <c r="L28" s="35">
        <f>RTD("fxbluelabs.excelrtd", , "21422436","@bh,EURJPY,h4,close,26")</f>
        <v>162.161</v>
      </c>
      <c r="M28" s="34">
        <f>RTD("fxbluelabs.excelrtd", , "21422436","@bh,EURAUD,h4,close,26")</f>
        <v>1.6633899999999999</v>
      </c>
      <c r="N28" s="34">
        <f>RTD("fxbluelabs.excelrtd", , "21422436","@bh,EURNZD,h4,close,26")</f>
        <v>1.8345800000000001</v>
      </c>
      <c r="O28" s="34">
        <f>RTD("fxbluelabs.excelrtd", , "21422436","@bh,GBPUSD,h4,close,26")</f>
        <v>1.2843800000000001</v>
      </c>
      <c r="P28" s="34">
        <f>RTD("fxbluelabs.excelrtd", , "21422436","@bh,GBPAUD,h4,close,26")</f>
        <v>1.9411099999999999</v>
      </c>
      <c r="Q28" s="34">
        <f>RTD("fxbluelabs.excelrtd", , "21422436","@bh,GBPNZD,h4,close,26")</f>
        <v>2.1408700000000001</v>
      </c>
      <c r="R28" s="34">
        <f>RTD("fxbluelabs.excelrtd", , "21422436","@bh,GBPCAD,h4,close,26")</f>
        <v>1.76065</v>
      </c>
      <c r="S28" s="34">
        <f>RTD("fxbluelabs.excelrtd", , "21422436","@bh,GBPCHF,h4,close,26")</f>
        <v>1.1124700000000001</v>
      </c>
      <c r="T28" s="35">
        <f>RTD("fxbluelabs.excelrtd", , "21422436","@bh,GBPJPY,h4,close,26")</f>
        <v>189.23699999999999</v>
      </c>
      <c r="U28" s="35">
        <f>RTD("fxbluelabs.excelrtd", , "21422436","@bh,NZDJPY,h4,close,26")</f>
        <v>88.39</v>
      </c>
      <c r="V28" s="34">
        <f>RTD("fxbluelabs.excelrtd", , "21422436","@bh,NZDCHF,h4,close,26")</f>
        <v>0.51961999999999997</v>
      </c>
      <c r="W28" s="34">
        <f>RTD("fxbluelabs.excelrtd", , "21422436","@bh,NZDUSD,h4,close,26")</f>
        <v>0.59991000000000005</v>
      </c>
      <c r="X28" s="34">
        <f>RTD("fxbluelabs.excelrtd", , "21422436","@bh,NZDCAD,h4,close,26")</f>
        <v>0.82235999999999998</v>
      </c>
      <c r="Y28" s="35">
        <f>RTD("fxbluelabs.excelrtd", , "21422436","@bh,CADJPY,h4,close,26")</f>
        <v>107.48</v>
      </c>
      <c r="Z28" s="34">
        <f>RTD("fxbluelabs.excelrtd", , "21422436","@bh,CADCHF,h4,close,26")</f>
        <v>0.63183999999999996</v>
      </c>
      <c r="AA28" s="35">
        <f>RTD("fxbluelabs.excelrtd", , "21422436","@bh,CHFJPY,h4,close,26")</f>
        <v>170.102</v>
      </c>
      <c r="AB28" s="34">
        <f>RTD("fxbluelabs.excelrtd", , "21422436","@bh,USDCAD,h4,close,26")</f>
        <v>1.3709499999999999</v>
      </c>
      <c r="AC28" s="34">
        <f>RTD("fxbluelabs.excelrtd", , "21422436","@bh,USDCHF,h4,close,26")</f>
        <v>0.86616000000000004</v>
      </c>
      <c r="AD28" s="35">
        <f>RTD("fxbluelabs.excelrtd", , "21422436","@bh,USDJPY,h4,close,26")</f>
        <v>147.339</v>
      </c>
      <c r="AH28" s="21">
        <v>27</v>
      </c>
      <c r="AI28" s="27">
        <f>IF(C28=0,0,(C28-C29)*100/C29)</f>
        <v>-0.11925248316880542</v>
      </c>
      <c r="AJ28" s="27">
        <f t="shared" si="62"/>
        <v>-2.6287402895231238E-2</v>
      </c>
      <c r="AK28" s="27">
        <f t="shared" si="62"/>
        <v>-7.482498129376236E-2</v>
      </c>
      <c r="AL28" s="27">
        <f t="shared" si="62"/>
        <v>-2.7910546697822624E-2</v>
      </c>
      <c r="AM28" s="27">
        <f t="shared" si="62"/>
        <v>-0.12772657703784998</v>
      </c>
      <c r="AN28" s="27">
        <f t="shared" si="62"/>
        <v>-4.9946421111902728E-2</v>
      </c>
      <c r="AO28" s="27">
        <f t="shared" si="62"/>
        <v>-5.7630015301757806E-2</v>
      </c>
      <c r="AP28" s="27">
        <f t="shared" si="62"/>
        <v>-7.929104477612102E-2</v>
      </c>
      <c r="AQ28" s="27">
        <f t="shared" si="62"/>
        <v>4.4076441142206962E-2</v>
      </c>
      <c r="AR28" s="27">
        <f t="shared" si="62"/>
        <v>-2.4666235007496551E-3</v>
      </c>
      <c r="AS28" s="27">
        <f t="shared" si="62"/>
        <v>6.9785769718981594E-2</v>
      </c>
      <c r="AT28" s="27">
        <f t="shared" si="62"/>
        <v>4.3625734820978194E-2</v>
      </c>
      <c r="AU28" s="27">
        <f t="shared" si="62"/>
        <v>2.8815974953464649E-2</v>
      </c>
      <c r="AV28" s="27">
        <f t="shared" si="62"/>
        <v>0.14962258991543242</v>
      </c>
      <c r="AW28" s="27">
        <f t="shared" si="62"/>
        <v>0.12299835378628732</v>
      </c>
      <c r="AX28" s="27">
        <f t="shared" si="61"/>
        <v>2.1587597357226276E-2</v>
      </c>
      <c r="AY28" s="27">
        <f t="shared" si="61"/>
        <v>0.12149902800777254</v>
      </c>
      <c r="AZ28" s="27">
        <f t="shared" si="61"/>
        <v>7.5094529204894844E-2</v>
      </c>
      <c r="BA28" s="27">
        <f t="shared" si="61"/>
        <v>-4.5233518036872387E-2</v>
      </c>
      <c r="BB28" s="27">
        <f t="shared" si="61"/>
        <v>1.9245203133031485E-3</v>
      </c>
      <c r="BC28" s="27">
        <f t="shared" si="61"/>
        <v>-9.1596442727232358E-2</v>
      </c>
      <c r="BD28" s="27">
        <f t="shared" si="61"/>
        <v>-9.840008746674167E-2</v>
      </c>
      <c r="BE28" s="27">
        <f t="shared" si="61"/>
        <v>5.3992664444906011E-2</v>
      </c>
      <c r="BF28" s="27">
        <f t="shared" si="61"/>
        <v>0.10139416983523035</v>
      </c>
      <c r="BG28" s="27">
        <f t="shared" si="61"/>
        <v>-4.759582331959647E-2</v>
      </c>
      <c r="BH28" s="27">
        <f t="shared" si="61"/>
        <v>-7.2936800262726397E-3</v>
      </c>
      <c r="BI28" s="27">
        <f t="shared" si="61"/>
        <v>9.2447074050108963E-2</v>
      </c>
      <c r="BJ28" s="27">
        <f t="shared" si="61"/>
        <v>4.6173381045835266E-2</v>
      </c>
      <c r="BN28">
        <v>27</v>
      </c>
      <c r="BO28" s="28">
        <f t="shared" si="30"/>
        <v>-0.11925248316880542</v>
      </c>
      <c r="BP28" s="28">
        <f t="shared" si="1"/>
        <v>-2.6287402895231238E-2</v>
      </c>
      <c r="BQ28" s="28">
        <f t="shared" si="2"/>
        <v>-7.482498129376236E-2</v>
      </c>
      <c r="BR28" s="28">
        <f t="shared" si="3"/>
        <v>-2.7910546697822624E-2</v>
      </c>
      <c r="BS28" s="28">
        <f t="shared" si="4"/>
        <v>-0.12772657703784998</v>
      </c>
      <c r="BT28" s="28">
        <f t="shared" si="5"/>
        <v>-4.9946421111902728E-2</v>
      </c>
      <c r="BU28" s="28">
        <f t="shared" si="6"/>
        <v>-5.7630015301757806E-2</v>
      </c>
      <c r="BV28" s="28">
        <f t="shared" si="7"/>
        <v>-7.929104477612102E-2</v>
      </c>
      <c r="BW28" s="28">
        <f t="shared" si="8"/>
        <v>4.4076441142206962E-2</v>
      </c>
      <c r="BX28" s="28">
        <f t="shared" si="9"/>
        <v>-2.4666235007496551E-3</v>
      </c>
      <c r="BY28" s="28">
        <f t="shared" si="10"/>
        <v>6.9785769718981594E-2</v>
      </c>
      <c r="BZ28" s="28">
        <f t="shared" si="11"/>
        <v>4.3625734820978194E-2</v>
      </c>
      <c r="CA28" s="28">
        <f t="shared" si="12"/>
        <v>2.8815974953464649E-2</v>
      </c>
      <c r="CB28" s="28">
        <f t="shared" si="13"/>
        <v>0.14962258991543242</v>
      </c>
      <c r="CC28" s="28">
        <f t="shared" si="14"/>
        <v>0.12299835378628732</v>
      </c>
      <c r="CD28" s="28">
        <f t="shared" si="15"/>
        <v>2.1587597357226276E-2</v>
      </c>
      <c r="CE28" s="28">
        <f t="shared" si="16"/>
        <v>0.12149902800777254</v>
      </c>
      <c r="CF28" s="28">
        <f t="shared" si="17"/>
        <v>7.5094529204894844E-2</v>
      </c>
      <c r="CG28" s="28">
        <f t="shared" si="18"/>
        <v>-4.5233518036872387E-2</v>
      </c>
      <c r="CH28" s="28">
        <f t="shared" si="19"/>
        <v>1.9245203133031485E-3</v>
      </c>
      <c r="CI28" s="28">
        <f t="shared" si="20"/>
        <v>-9.1596442727232358E-2</v>
      </c>
      <c r="CJ28" s="28">
        <f t="shared" si="21"/>
        <v>-9.840008746674167E-2</v>
      </c>
      <c r="CK28" s="28">
        <f t="shared" si="22"/>
        <v>5.3992664444906011E-2</v>
      </c>
      <c r="CL28" s="28">
        <f t="shared" si="23"/>
        <v>0.10139416983523035</v>
      </c>
      <c r="CM28" s="28">
        <f t="shared" si="24"/>
        <v>-4.759582331959647E-2</v>
      </c>
      <c r="CN28" s="28">
        <f t="shared" si="25"/>
        <v>-7.2936800262726397E-3</v>
      </c>
      <c r="CO28" s="28">
        <f t="shared" si="26"/>
        <v>9.2447074050108963E-2</v>
      </c>
      <c r="CP28" s="28">
        <f t="shared" si="27"/>
        <v>4.6173381045835266E-2</v>
      </c>
      <c r="CU28" s="21">
        <v>27</v>
      </c>
      <c r="CV28" s="29">
        <f t="shared" si="31"/>
        <v>-3.1846159008364468E-2</v>
      </c>
      <c r="CW28" s="29">
        <f t="shared" si="32"/>
        <v>0.36330614712414749</v>
      </c>
      <c r="CX28" s="29">
        <f t="shared" si="33"/>
        <v>0.42484959675553224</v>
      </c>
      <c r="CY28" s="29">
        <f t="shared" si="34"/>
        <v>-0.27963234013516552</v>
      </c>
      <c r="CZ28" s="29">
        <f t="shared" si="35"/>
        <v>0.59890911800119917</v>
      </c>
      <c r="DA28" s="29">
        <f t="shared" si="36"/>
        <v>-0.59541035072788562</v>
      </c>
      <c r="DB28" s="29">
        <f t="shared" si="37"/>
        <v>-0.37364221362957756</v>
      </c>
      <c r="DC28" s="29">
        <f t="shared" si="38"/>
        <v>-5.1396285446552517E-3</v>
      </c>
      <c r="DF28" s="30">
        <v>27</v>
      </c>
      <c r="DG28" s="31">
        <f t="shared" si="60"/>
        <v>-7.2936800262726397E-3</v>
      </c>
      <c r="DH28" s="31">
        <f t="shared" si="39"/>
        <v>-5.7630015301757806E-2</v>
      </c>
      <c r="DI28" s="31">
        <f t="shared" si="40"/>
        <v>9.2447074050108963E-2</v>
      </c>
      <c r="DJ28" s="31">
        <f t="shared" si="41"/>
        <v>4.4076441142206962E-2</v>
      </c>
      <c r="DK28" s="31">
        <f t="shared" si="42"/>
        <v>-2.8815974953464649E-2</v>
      </c>
      <c r="DL28" s="31">
        <f t="shared" si="43"/>
        <v>-7.929104477612102E-2</v>
      </c>
      <c r="DM28" s="31">
        <f t="shared" si="44"/>
        <v>0.11925248316880542</v>
      </c>
      <c r="DN28" s="31">
        <f t="shared" si="45"/>
        <v>6.9785769718981594E-2</v>
      </c>
      <c r="DO28" s="31">
        <f t="shared" si="46"/>
        <v>9.1596442727232358E-2</v>
      </c>
      <c r="DP28" s="31">
        <f t="shared" si="47"/>
        <v>4.3625734820978194E-2</v>
      </c>
      <c r="DQ28" s="31">
        <f t="shared" si="48"/>
        <v>4.6173381045835266E-2</v>
      </c>
      <c r="DR28" s="31">
        <f t="shared" si="49"/>
        <v>-2.4666235007496551E-3</v>
      </c>
      <c r="DS28" s="49">
        <f t="shared" si="50"/>
        <v>4.9946421111902728E-2</v>
      </c>
      <c r="DT28" s="49">
        <f t="shared" si="51"/>
        <v>-4.9946421111902728E-2</v>
      </c>
      <c r="DX28">
        <v>27</v>
      </c>
      <c r="DY28" s="19">
        <f t="shared" si="52"/>
        <v>-0.73694836075372505</v>
      </c>
      <c r="EM28" s="21">
        <v>27</v>
      </c>
      <c r="EN28" s="16">
        <f t="shared" si="53"/>
        <v>-3.1846159008364468E-2</v>
      </c>
      <c r="EO28" s="16">
        <f t="shared" si="28"/>
        <v>0.36330614712414749</v>
      </c>
      <c r="EP28" s="16">
        <f t="shared" si="54"/>
        <v>0.42484959675553224</v>
      </c>
      <c r="EQ28" s="16">
        <f t="shared" si="55"/>
        <v>-0.27963234013516552</v>
      </c>
      <c r="ER28" s="16">
        <f t="shared" si="56"/>
        <v>0.59890911800119917</v>
      </c>
      <c r="ES28" s="16">
        <f t="shared" si="57"/>
        <v>-0.59541035072788562</v>
      </c>
      <c r="ET28" s="16">
        <f t="shared" si="58"/>
        <v>-0.37364221362957756</v>
      </c>
      <c r="EU28" s="16">
        <f t="shared" si="59"/>
        <v>-5.1396285446552517E-3</v>
      </c>
      <c r="FK28" s="20"/>
      <c r="FL28" s="20"/>
    </row>
    <row r="29" spans="1:168" ht="14.4" thickBot="1" x14ac:dyDescent="0.35">
      <c r="A29" s="37" t="s">
        <v>51</v>
      </c>
      <c r="B29" s="38">
        <v>27</v>
      </c>
      <c r="C29" s="34">
        <f>RTD("fxbluelabs.excelrtd", , "21422436","@bh,AUDUSD,h4,close,27")</f>
        <v>0.66246000000000005</v>
      </c>
      <c r="D29" s="34">
        <f>RTD("fxbluelabs.excelrtd", , "21422436","@bh,AUDNZD,h4,close,27")</f>
        <v>1.1031899999999999</v>
      </c>
      <c r="E29" s="35">
        <f>RTD("fxbluelabs.excelrtd", , "21422436","@bh,AUDJPY,h4,close,27")</f>
        <v>97.561000000000007</v>
      </c>
      <c r="F29" s="34">
        <f>RTD("fxbluelabs.excelrtd", , "21422436","@bh,AUDCHF,h4,close,27")</f>
        <v>0.57325999999999999</v>
      </c>
      <c r="G29" s="34">
        <f>RTD("fxbluelabs.excelrtd", , "21422436","@bh,AUDCAD,h4,close,27")</f>
        <v>0.90819000000000005</v>
      </c>
      <c r="H29" s="34">
        <f>RTD("fxbluelabs.excelrtd", , "21422436","@bh,EURUSD,h4,close,27")</f>
        <v>1.10118</v>
      </c>
      <c r="I29" s="34">
        <f>RTD("fxbluelabs.excelrtd", , "21422436","@bh,EURCAD,h4,close,27")</f>
        <v>1.50963</v>
      </c>
      <c r="J29" s="34">
        <f>RTD("fxbluelabs.excelrtd", , "21422436","@bh,EURGBP,h4,close,27")</f>
        <v>0.85760000000000003</v>
      </c>
      <c r="K29" s="34">
        <f>RTD("fxbluelabs.excelrtd", , "21422436","@bh,EURCHF,h4,close,27")</f>
        <v>0.95289000000000001</v>
      </c>
      <c r="L29" s="35">
        <f>RTD("fxbluelabs.excelrtd", , "21422436","@bh,EURJPY,h4,close,27")</f>
        <v>162.16499999999999</v>
      </c>
      <c r="M29" s="34">
        <f>RTD("fxbluelabs.excelrtd", , "21422436","@bh,EURAUD,h4,close,27")</f>
        <v>1.6622300000000001</v>
      </c>
      <c r="N29" s="34">
        <f>RTD("fxbluelabs.excelrtd", , "21422436","@bh,EURNZD,h4,close,27")</f>
        <v>1.83378</v>
      </c>
      <c r="O29" s="34">
        <f>RTD("fxbluelabs.excelrtd", , "21422436","@bh,GBPUSD,h4,close,27")</f>
        <v>1.2840100000000001</v>
      </c>
      <c r="P29" s="34">
        <f>RTD("fxbluelabs.excelrtd", , "21422436","@bh,GBPAUD,h4,close,27")</f>
        <v>1.93821</v>
      </c>
      <c r="Q29" s="34">
        <f>RTD("fxbluelabs.excelrtd", , "21422436","@bh,GBPNZD,h4,close,27")</f>
        <v>2.1382400000000001</v>
      </c>
      <c r="R29" s="34">
        <f>RTD("fxbluelabs.excelrtd", , "21422436","@bh,GBPCAD,h4,close,27")</f>
        <v>1.76027</v>
      </c>
      <c r="S29" s="34">
        <f>RTD("fxbluelabs.excelrtd", , "21422436","@bh,GBPCHF,h4,close,27")</f>
        <v>1.1111200000000001</v>
      </c>
      <c r="T29" s="35">
        <f>RTD("fxbluelabs.excelrtd", , "21422436","@bh,GBPJPY,h4,close,27")</f>
        <v>189.095</v>
      </c>
      <c r="U29" s="35">
        <f>RTD("fxbluelabs.excelrtd", , "21422436","@bh,NZDJPY,h4,close,27")</f>
        <v>88.43</v>
      </c>
      <c r="V29" s="34">
        <f>RTD("fxbluelabs.excelrtd", , "21422436","@bh,NZDCHF,h4,close,27")</f>
        <v>0.51961000000000002</v>
      </c>
      <c r="W29" s="34">
        <f>RTD("fxbluelabs.excelrtd", , "21422436","@bh,NZDUSD,h4,close,27")</f>
        <v>0.60045999999999999</v>
      </c>
      <c r="X29" s="34">
        <f>RTD("fxbluelabs.excelrtd", , "21422436","@bh,NZDCAD,h4,close,27")</f>
        <v>0.82316999999999996</v>
      </c>
      <c r="Y29" s="35">
        <f>RTD("fxbluelabs.excelrtd", , "21422436","@bh,CADJPY,h4,close,27")</f>
        <v>107.422</v>
      </c>
      <c r="Z29" s="34">
        <f>RTD("fxbluelabs.excelrtd", , "21422436","@bh,CADCHF,h4,close,27")</f>
        <v>0.63119999999999998</v>
      </c>
      <c r="AA29" s="35">
        <f>RTD("fxbluelabs.excelrtd", , "21422436","@bh,CHFJPY,h4,close,27")</f>
        <v>170.18299999999999</v>
      </c>
      <c r="AB29" s="34">
        <f>RTD("fxbluelabs.excelrtd", , "21422436","@bh,USDCAD,h4,close,27")</f>
        <v>1.3710500000000001</v>
      </c>
      <c r="AC29" s="34">
        <f>RTD("fxbluelabs.excelrtd", , "21422436","@bh,USDCHF,h4,close,27")</f>
        <v>0.86536000000000002</v>
      </c>
      <c r="AD29" s="35">
        <f>RTD("fxbluelabs.excelrtd", , "21422436","@bh,USDJPY,h4,close,27")</f>
        <v>147.27099999999999</v>
      </c>
      <c r="AH29" s="21">
        <v>28</v>
      </c>
      <c r="AI29" s="22">
        <f>0</f>
        <v>0</v>
      </c>
      <c r="AJ29" s="22">
        <f>0</f>
        <v>0</v>
      </c>
      <c r="AK29" s="22">
        <f>0</f>
        <v>0</v>
      </c>
      <c r="AL29" s="22">
        <f>0</f>
        <v>0</v>
      </c>
      <c r="AM29" s="22">
        <f>0</f>
        <v>0</v>
      </c>
      <c r="AN29" s="22">
        <f>0</f>
        <v>0</v>
      </c>
      <c r="AO29" s="22">
        <f>0</f>
        <v>0</v>
      </c>
      <c r="AP29" s="22">
        <f>0</f>
        <v>0</v>
      </c>
      <c r="AQ29" s="22">
        <f>0</f>
        <v>0</v>
      </c>
      <c r="AR29" s="22">
        <f>0</f>
        <v>0</v>
      </c>
      <c r="AS29" s="22">
        <f>0</f>
        <v>0</v>
      </c>
      <c r="AT29" s="22">
        <f>0</f>
        <v>0</v>
      </c>
      <c r="AU29" s="22">
        <f>0</f>
        <v>0</v>
      </c>
      <c r="AV29" s="22">
        <f>0</f>
        <v>0</v>
      </c>
      <c r="AW29" s="22">
        <f>0</f>
        <v>0</v>
      </c>
      <c r="AX29" s="22">
        <f>0</f>
        <v>0</v>
      </c>
      <c r="AY29" s="22">
        <f>0</f>
        <v>0</v>
      </c>
      <c r="AZ29" s="22">
        <f>0</f>
        <v>0</v>
      </c>
      <c r="BA29" s="22">
        <f>0</f>
        <v>0</v>
      </c>
      <c r="BB29" s="22">
        <f>0</f>
        <v>0</v>
      </c>
      <c r="BC29" s="22">
        <f>0</f>
        <v>0</v>
      </c>
      <c r="BD29" s="22">
        <f>0</f>
        <v>0</v>
      </c>
      <c r="BE29" s="22">
        <f>0</f>
        <v>0</v>
      </c>
      <c r="BF29" s="22">
        <f>0</f>
        <v>0</v>
      </c>
      <c r="BG29" s="22">
        <f>0</f>
        <v>0</v>
      </c>
      <c r="BH29" s="22">
        <f>0</f>
        <v>0</v>
      </c>
      <c r="BI29" s="22">
        <f>0</f>
        <v>0</v>
      </c>
      <c r="BJ29" s="22">
        <f>0</f>
        <v>0</v>
      </c>
      <c r="BN29">
        <v>28</v>
      </c>
      <c r="BO29" s="23">
        <f t="shared" ref="BO29:BO37" si="63">AI29+SUM(AI30:AI130)</f>
        <v>0</v>
      </c>
      <c r="BP29" s="23">
        <f t="shared" ref="BP29:BP37" si="64">AJ29+SUM(AJ30:AJ130)</f>
        <v>0</v>
      </c>
      <c r="BQ29" s="23">
        <f t="shared" ref="BQ29:BQ37" si="65">AK29+SUM(AK30:AK130)</f>
        <v>0</v>
      </c>
      <c r="BR29" s="23">
        <f t="shared" ref="BR29:BR37" si="66">AL29+SUM(AL30:AL130)</f>
        <v>0</v>
      </c>
      <c r="BS29" s="23">
        <f t="shared" ref="BS29:BS37" si="67">AM29+SUM(AM30:AM130)</f>
        <v>0</v>
      </c>
      <c r="BT29" s="23">
        <f t="shared" ref="BT29:BT37" si="68">AN29+SUM(AN30:AN130)</f>
        <v>0</v>
      </c>
      <c r="BU29" s="23">
        <f t="shared" ref="BU29:BU37" si="69">AO29+SUM(AO30:AO130)</f>
        <v>0</v>
      </c>
      <c r="BV29" s="23">
        <f t="shared" ref="BV29:BV37" si="70">AP29+SUM(AP30:AP130)</f>
        <v>0</v>
      </c>
      <c r="BW29" s="23">
        <f t="shared" ref="BW29:BW37" si="71">AQ29+SUM(AQ30:AQ130)</f>
        <v>0</v>
      </c>
      <c r="BX29" s="23">
        <f t="shared" ref="BX29:BX37" si="72">AR29+SUM(AR30:AR130)</f>
        <v>0</v>
      </c>
      <c r="BY29" s="23">
        <f t="shared" ref="BY29:BY37" si="73">AS29+SUM(AS30:AS130)</f>
        <v>0</v>
      </c>
      <c r="BZ29" s="23">
        <f t="shared" ref="BZ29:BZ37" si="74">AT29+SUM(AT30:AT130)</f>
        <v>0</v>
      </c>
      <c r="CA29" s="23">
        <f t="shared" ref="CA29:CA37" si="75">AU29+SUM(AU30:AU130)</f>
        <v>0</v>
      </c>
      <c r="CB29" s="23">
        <f t="shared" ref="CB29:CB37" si="76">AV29+SUM(AV30:AV130)</f>
        <v>0</v>
      </c>
      <c r="CC29" s="23">
        <f t="shared" ref="CC29:CC37" si="77">AW29+SUM(AW30:AW130)</f>
        <v>0</v>
      </c>
      <c r="CD29" s="23">
        <f t="shared" ref="CD29:CD37" si="78">AX29+SUM(AX30:AX130)</f>
        <v>0</v>
      </c>
      <c r="CE29" s="23">
        <f t="shared" ref="CE29:CE37" si="79">AY29+SUM(AY30:AY130)</f>
        <v>0</v>
      </c>
      <c r="CF29" s="23">
        <f t="shared" ref="CF29:CF37" si="80">AZ29+SUM(AZ30:AZ130)</f>
        <v>0</v>
      </c>
      <c r="CG29" s="23">
        <f t="shared" ref="CG29:CG37" si="81">BA29+SUM(BA30:BA130)</f>
        <v>0</v>
      </c>
      <c r="CH29" s="23">
        <f t="shared" ref="CH29:CH37" si="82">BB29+SUM(BB30:BB130)</f>
        <v>0</v>
      </c>
      <c r="CI29" s="23">
        <f t="shared" ref="CI29:CI37" si="83">BC29+SUM(BC30:BC130)</f>
        <v>0</v>
      </c>
      <c r="CJ29" s="23">
        <f t="shared" ref="CJ29:CJ37" si="84">BD29+SUM(BD30:BD130)</f>
        <v>0</v>
      </c>
      <c r="CK29" s="23">
        <f t="shared" ref="CK29:CK37" si="85">BE29+SUM(BE30:BE130)</f>
        <v>0</v>
      </c>
      <c r="CL29" s="23">
        <f t="shared" ref="CL29:CL37" si="86">BF29+SUM(BF30:BF130)</f>
        <v>0</v>
      </c>
      <c r="CM29" s="23">
        <f t="shared" ref="CM29:CM37" si="87">BG29+SUM(BG30:BG130)</f>
        <v>0</v>
      </c>
      <c r="CN29" s="23">
        <f t="shared" ref="CN29:CN37" si="88">BH29+SUM(BH30:BH130)</f>
        <v>0</v>
      </c>
      <c r="CO29" s="23">
        <f t="shared" ref="CO29:CO37" si="89">BI29+SUM(BI30:BI130)</f>
        <v>0</v>
      </c>
      <c r="CP29" s="23">
        <f t="shared" ref="CP29:CP37" si="90">BJ29+SUM(BJ30:BJ130)</f>
        <v>0</v>
      </c>
      <c r="CU29" s="21">
        <v>28</v>
      </c>
      <c r="CV29" s="24">
        <f t="shared" ref="CV29:CV37" si="91">BT29+BU29+BV29+BW29+BX29+BY29+BZ29</f>
        <v>0</v>
      </c>
      <c r="CW29" s="24">
        <f t="shared" ref="CW29:CW37" si="92">CN29+CO29+CP29-CI29-CA29-BT29-BO29</f>
        <v>0</v>
      </c>
      <c r="CX29" s="24">
        <f t="shared" ref="CX29:CX37" si="93">CK29+CL29-CN29-CJ29-CD29-BU29-BS29</f>
        <v>0</v>
      </c>
      <c r="CY29" s="24">
        <f t="shared" ref="CY29:CY37" si="94">CM29-CO29-CH29-CE29-BW29-BR29</f>
        <v>0</v>
      </c>
      <c r="CZ29" s="24">
        <f t="shared" ref="CZ29:CZ37" si="95">CA29+CB29+CC29+CD29+CE29+CF29-BV29</f>
        <v>0</v>
      </c>
      <c r="DA29" s="24">
        <f t="shared" ref="DA29:DA37" si="96">BO29+BP29+BQ29+BR29+BS29-BY29-CB29</f>
        <v>0</v>
      </c>
      <c r="DB29" s="24">
        <f t="shared" ref="DB29:DB37" si="97">CG29+CH29+CI29+CJ29-CC29-BZ29-BP29</f>
        <v>0</v>
      </c>
      <c r="DC29" s="24">
        <f t="shared" ref="DC29:DC37" si="98">-BQ29-BX29-CF29-CG29-CK29-CM29-CP29</f>
        <v>0</v>
      </c>
      <c r="DF29" s="17">
        <v>28</v>
      </c>
      <c r="DG29" s="26">
        <f t="shared" ref="DG29:DG37" si="99">CN29</f>
        <v>0</v>
      </c>
      <c r="DH29" s="26">
        <f t="shared" ref="DH29:DH37" si="100">BU29</f>
        <v>0</v>
      </c>
      <c r="DI29" s="26">
        <f t="shared" ref="DI29:DI37" si="101">CO29</f>
        <v>0</v>
      </c>
      <c r="DJ29" s="26">
        <f t="shared" ref="DJ29:DJ37" si="102">BW29</f>
        <v>0</v>
      </c>
      <c r="DK29" s="26">
        <f t="shared" ref="DK29:DK37" si="103">-(CA29)</f>
        <v>0</v>
      </c>
      <c r="DL29" s="26">
        <f t="shared" ref="DL29:DL37" si="104">BV29</f>
        <v>0</v>
      </c>
      <c r="DM29" s="26">
        <f t="shared" ref="DM29:DM37" si="105">-(BO29)</f>
        <v>0</v>
      </c>
      <c r="DN29" s="26">
        <f t="shared" ref="DN29:DN37" si="106">BY29</f>
        <v>0</v>
      </c>
      <c r="DO29" s="26">
        <f t="shared" ref="DO29:DO37" si="107">-(CI29)</f>
        <v>0</v>
      </c>
      <c r="DP29" s="26">
        <f t="shared" ref="DP29:DP37" si="108">BZ29</f>
        <v>0</v>
      </c>
      <c r="DQ29" s="26">
        <f t="shared" ref="DQ29:DQ37" si="109">CP29</f>
        <v>0</v>
      </c>
      <c r="DR29" s="26">
        <f t="shared" ref="DR29:DR37" si="110">BX29</f>
        <v>0</v>
      </c>
      <c r="DS29" s="47">
        <f t="shared" ref="DS29:DS37" si="111">-(BT29)</f>
        <v>0</v>
      </c>
      <c r="DT29" s="47">
        <f t="shared" ref="DT29:DT37" si="112">BT29</f>
        <v>0</v>
      </c>
      <c r="DX29">
        <v>28</v>
      </c>
      <c r="DY29" s="19">
        <f t="shared" ref="DY29:DY37" si="113">SUM(IF($EB$2="Buy", EN29, IF($EB$2="Sell", -EN29, 0)),
     IF($EC$2="Buy", EO29, IF($EC$2="Sell", -EO29, 0)),
     IF($ED$2="Buy", EP29, IF($ED$2="Sell", -EP29, 0)),
     IF($EE$2="Buy", EQ29, IF($EE$2="Sell", -EQ29, 0)),
     IF($EF$2="Buy", ER29, IF($EF$2="Sell", -ER29, 0)),
     IF($EG$2="Buy", ES29, IF($EG$2="Sell", -ES29, 0)),
     IF($EH$2="Buy", ET29, IF($EH$2="Sell", -ET29, 0)),
     IF($EI$2="Buy", EU29, IF($EI$2="Sell", -EU29, 0)))</f>
        <v>0</v>
      </c>
      <c r="EM29" s="21">
        <v>28</v>
      </c>
      <c r="EN29" s="16">
        <f t="shared" ref="EN29:EN37" si="114">BT29+BU29+BV29+BW29+BX29+BY29+BZ29</f>
        <v>0</v>
      </c>
      <c r="EO29" s="16">
        <f t="shared" ref="EO29:EO37" si="115">CN29+CO29+CP29-CI29-CA29-BT29-BO29</f>
        <v>0</v>
      </c>
      <c r="EP29" s="16">
        <f t="shared" ref="EP29:EP37" si="116">CK29+CL29-CN29-CJ29-CD29-BU29-BS29</f>
        <v>0</v>
      </c>
      <c r="EQ29" s="16">
        <f t="shared" ref="EQ29:EQ37" si="117">CM29-CO29-CH29-CE29-BW29-BR29</f>
        <v>0</v>
      </c>
      <c r="ER29" s="16">
        <f t="shared" ref="ER29:ER37" si="118">CA29+CB29+CC29+CD29+CE29+CF29-BV29</f>
        <v>0</v>
      </c>
      <c r="ES29" s="16">
        <f t="shared" ref="ES29:ES37" si="119">BO29+BP29+BQ29+BR29+BS29-BY29-CB29</f>
        <v>0</v>
      </c>
      <c r="ET29" s="16">
        <f t="shared" ref="ET29:ET37" si="120">CG29+CH29+CI29+CJ29-CC29-BZ29-BP29</f>
        <v>0</v>
      </c>
      <c r="EU29" s="16">
        <f t="shared" ref="EU29:EU37" si="121">-BQ29-BX29-CF29-CG29-CK29-CM29-CP29</f>
        <v>0</v>
      </c>
      <c r="FK29" s="20"/>
      <c r="FL29" s="20"/>
    </row>
    <row r="30" spans="1:168" ht="14.4" thickBot="1" x14ac:dyDescent="0.35"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H30" s="13">
        <v>29</v>
      </c>
      <c r="AI30" s="27">
        <f t="shared" ref="AI30:AR36" si="122">IF(C30=0,0,(C30-C31)*100/C31)</f>
        <v>0</v>
      </c>
      <c r="AJ30" s="27">
        <f t="shared" si="122"/>
        <v>0</v>
      </c>
      <c r="AK30" s="27">
        <f t="shared" si="122"/>
        <v>0</v>
      </c>
      <c r="AL30" s="27">
        <f t="shared" si="122"/>
        <v>0</v>
      </c>
      <c r="AM30" s="27">
        <f t="shared" si="122"/>
        <v>0</v>
      </c>
      <c r="AN30" s="27">
        <f t="shared" si="122"/>
        <v>0</v>
      </c>
      <c r="AO30" s="27">
        <f t="shared" si="122"/>
        <v>0</v>
      </c>
      <c r="AP30" s="27">
        <f t="shared" si="122"/>
        <v>0</v>
      </c>
      <c r="AQ30" s="27">
        <f t="shared" si="122"/>
        <v>0</v>
      </c>
      <c r="AR30" s="27">
        <f t="shared" si="122"/>
        <v>0</v>
      </c>
      <c r="AS30" s="27">
        <f t="shared" ref="AS30:BB36" si="123">IF(M30=0,0,(M30-M31)*100/M31)</f>
        <v>0</v>
      </c>
      <c r="AT30" s="27">
        <f t="shared" si="123"/>
        <v>0</v>
      </c>
      <c r="AU30" s="27">
        <f t="shared" si="123"/>
        <v>0</v>
      </c>
      <c r="AV30" s="27">
        <f t="shared" si="123"/>
        <v>0</v>
      </c>
      <c r="AW30" s="27">
        <f t="shared" si="123"/>
        <v>0</v>
      </c>
      <c r="AX30" s="27">
        <f t="shared" si="123"/>
        <v>0</v>
      </c>
      <c r="AY30" s="27">
        <f t="shared" si="123"/>
        <v>0</v>
      </c>
      <c r="AZ30" s="27">
        <f t="shared" si="123"/>
        <v>0</v>
      </c>
      <c r="BA30" s="27">
        <f t="shared" si="123"/>
        <v>0</v>
      </c>
      <c r="BB30" s="27">
        <f t="shared" si="123"/>
        <v>0</v>
      </c>
      <c r="BC30" s="27">
        <f t="shared" ref="BC30:BJ36" si="124">IF(W30=0,0,(W30-W31)*100/W31)</f>
        <v>0</v>
      </c>
      <c r="BD30" s="27">
        <f t="shared" si="124"/>
        <v>0</v>
      </c>
      <c r="BE30" s="27">
        <f t="shared" si="124"/>
        <v>0</v>
      </c>
      <c r="BF30" s="27">
        <f t="shared" si="124"/>
        <v>0</v>
      </c>
      <c r="BG30" s="27">
        <f t="shared" si="124"/>
        <v>0</v>
      </c>
      <c r="BH30" s="27">
        <f t="shared" si="124"/>
        <v>0</v>
      </c>
      <c r="BI30" s="27">
        <f t="shared" si="124"/>
        <v>0</v>
      </c>
      <c r="BJ30" s="27">
        <f t="shared" si="124"/>
        <v>0</v>
      </c>
      <c r="BN30">
        <v>29</v>
      </c>
      <c r="BO30" s="28">
        <f t="shared" si="63"/>
        <v>0</v>
      </c>
      <c r="BP30" s="28">
        <f t="shared" si="64"/>
        <v>0</v>
      </c>
      <c r="BQ30" s="28">
        <f t="shared" si="65"/>
        <v>0</v>
      </c>
      <c r="BR30" s="28">
        <f t="shared" si="66"/>
        <v>0</v>
      </c>
      <c r="BS30" s="28">
        <f t="shared" si="67"/>
        <v>0</v>
      </c>
      <c r="BT30" s="28">
        <f t="shared" si="68"/>
        <v>0</v>
      </c>
      <c r="BU30" s="28">
        <f t="shared" si="69"/>
        <v>0</v>
      </c>
      <c r="BV30" s="28">
        <f t="shared" si="70"/>
        <v>0</v>
      </c>
      <c r="BW30" s="28">
        <f t="shared" si="71"/>
        <v>0</v>
      </c>
      <c r="BX30" s="28">
        <f t="shared" si="72"/>
        <v>0</v>
      </c>
      <c r="BY30" s="28">
        <f t="shared" si="73"/>
        <v>0</v>
      </c>
      <c r="BZ30" s="28">
        <f t="shared" si="74"/>
        <v>0</v>
      </c>
      <c r="CA30" s="28">
        <f t="shared" si="75"/>
        <v>0</v>
      </c>
      <c r="CB30" s="28">
        <f t="shared" si="76"/>
        <v>0</v>
      </c>
      <c r="CC30" s="28">
        <f t="shared" si="77"/>
        <v>0</v>
      </c>
      <c r="CD30" s="28">
        <f t="shared" si="78"/>
        <v>0</v>
      </c>
      <c r="CE30" s="28">
        <f t="shared" si="79"/>
        <v>0</v>
      </c>
      <c r="CF30" s="28">
        <f t="shared" si="80"/>
        <v>0</v>
      </c>
      <c r="CG30" s="28">
        <f t="shared" si="81"/>
        <v>0</v>
      </c>
      <c r="CH30" s="28">
        <f t="shared" si="82"/>
        <v>0</v>
      </c>
      <c r="CI30" s="28">
        <f t="shared" si="83"/>
        <v>0</v>
      </c>
      <c r="CJ30" s="28">
        <f t="shared" si="84"/>
        <v>0</v>
      </c>
      <c r="CK30" s="28">
        <f t="shared" si="85"/>
        <v>0</v>
      </c>
      <c r="CL30" s="28">
        <f t="shared" si="86"/>
        <v>0</v>
      </c>
      <c r="CM30" s="28">
        <f t="shared" si="87"/>
        <v>0</v>
      </c>
      <c r="CN30" s="28">
        <f t="shared" si="88"/>
        <v>0</v>
      </c>
      <c r="CO30" s="28">
        <f t="shared" si="89"/>
        <v>0</v>
      </c>
      <c r="CP30" s="28">
        <f t="shared" si="90"/>
        <v>0</v>
      </c>
      <c r="CU30" s="21">
        <v>29</v>
      </c>
      <c r="CV30" s="29">
        <f t="shared" si="91"/>
        <v>0</v>
      </c>
      <c r="CW30" s="29">
        <f t="shared" si="92"/>
        <v>0</v>
      </c>
      <c r="CX30" s="29">
        <f t="shared" si="93"/>
        <v>0</v>
      </c>
      <c r="CY30" s="29">
        <f t="shared" si="94"/>
        <v>0</v>
      </c>
      <c r="CZ30" s="29">
        <f t="shared" si="95"/>
        <v>0</v>
      </c>
      <c r="DA30" s="29">
        <f t="shared" si="96"/>
        <v>0</v>
      </c>
      <c r="DB30" s="29">
        <f t="shared" si="97"/>
        <v>0</v>
      </c>
      <c r="DC30" s="29">
        <f t="shared" si="98"/>
        <v>0</v>
      </c>
      <c r="DF30" s="25">
        <v>29</v>
      </c>
      <c r="DG30" s="31">
        <f t="shared" si="99"/>
        <v>0</v>
      </c>
      <c r="DH30" s="31">
        <f t="shared" si="100"/>
        <v>0</v>
      </c>
      <c r="DI30" s="31">
        <f t="shared" si="101"/>
        <v>0</v>
      </c>
      <c r="DJ30" s="31">
        <f t="shared" si="102"/>
        <v>0</v>
      </c>
      <c r="DK30" s="31">
        <f t="shared" si="103"/>
        <v>0</v>
      </c>
      <c r="DL30" s="31">
        <f t="shared" si="104"/>
        <v>0</v>
      </c>
      <c r="DM30" s="31">
        <f t="shared" si="105"/>
        <v>0</v>
      </c>
      <c r="DN30" s="31">
        <f t="shared" si="106"/>
        <v>0</v>
      </c>
      <c r="DO30" s="31">
        <f t="shared" si="107"/>
        <v>0</v>
      </c>
      <c r="DP30" s="31">
        <f t="shared" si="108"/>
        <v>0</v>
      </c>
      <c r="DQ30" s="31">
        <f t="shared" si="109"/>
        <v>0</v>
      </c>
      <c r="DR30" s="31">
        <f t="shared" si="110"/>
        <v>0</v>
      </c>
      <c r="DS30" s="49">
        <f t="shared" si="111"/>
        <v>0</v>
      </c>
      <c r="DT30" s="49">
        <f t="shared" si="112"/>
        <v>0</v>
      </c>
      <c r="DX30">
        <v>29</v>
      </c>
      <c r="DY30" s="19">
        <f t="shared" si="113"/>
        <v>0</v>
      </c>
      <c r="EM30" s="21">
        <v>29</v>
      </c>
      <c r="EN30" s="16">
        <f t="shared" si="114"/>
        <v>0</v>
      </c>
      <c r="EO30" s="16">
        <f t="shared" si="115"/>
        <v>0</v>
      </c>
      <c r="EP30" s="16">
        <f t="shared" si="116"/>
        <v>0</v>
      </c>
      <c r="EQ30" s="16">
        <f t="shared" si="117"/>
        <v>0</v>
      </c>
      <c r="ER30" s="16">
        <f t="shared" si="118"/>
        <v>0</v>
      </c>
      <c r="ES30" s="16">
        <f t="shared" si="119"/>
        <v>0</v>
      </c>
      <c r="ET30" s="16">
        <f t="shared" si="120"/>
        <v>0</v>
      </c>
      <c r="EU30" s="16">
        <f t="shared" si="121"/>
        <v>0</v>
      </c>
      <c r="FK30" s="20"/>
      <c r="FL30" s="20"/>
    </row>
    <row r="31" spans="1:168" ht="14.4" thickBot="1" x14ac:dyDescent="0.35"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H31" s="21">
        <v>30</v>
      </c>
      <c r="AI31" s="22">
        <f t="shared" si="122"/>
        <v>0</v>
      </c>
      <c r="AJ31" s="22">
        <f t="shared" si="122"/>
        <v>0</v>
      </c>
      <c r="AK31" s="22">
        <f t="shared" si="122"/>
        <v>0</v>
      </c>
      <c r="AL31" s="22">
        <f t="shared" si="122"/>
        <v>0</v>
      </c>
      <c r="AM31" s="22">
        <f t="shared" si="122"/>
        <v>0</v>
      </c>
      <c r="AN31" s="22">
        <f t="shared" si="122"/>
        <v>0</v>
      </c>
      <c r="AO31" s="22">
        <f t="shared" si="122"/>
        <v>0</v>
      </c>
      <c r="AP31" s="22">
        <f t="shared" si="122"/>
        <v>0</v>
      </c>
      <c r="AQ31" s="22">
        <f t="shared" si="122"/>
        <v>0</v>
      </c>
      <c r="AR31" s="22">
        <f t="shared" si="122"/>
        <v>0</v>
      </c>
      <c r="AS31" s="22">
        <f t="shared" si="123"/>
        <v>0</v>
      </c>
      <c r="AT31" s="22">
        <f t="shared" si="123"/>
        <v>0</v>
      </c>
      <c r="AU31" s="22">
        <f t="shared" si="123"/>
        <v>0</v>
      </c>
      <c r="AV31" s="22">
        <f t="shared" si="123"/>
        <v>0</v>
      </c>
      <c r="AW31" s="22">
        <f t="shared" si="123"/>
        <v>0</v>
      </c>
      <c r="AX31" s="22">
        <f t="shared" si="123"/>
        <v>0</v>
      </c>
      <c r="AY31" s="22">
        <f t="shared" si="123"/>
        <v>0</v>
      </c>
      <c r="AZ31" s="22">
        <f t="shared" si="123"/>
        <v>0</v>
      </c>
      <c r="BA31" s="22">
        <f t="shared" si="123"/>
        <v>0</v>
      </c>
      <c r="BB31" s="22">
        <f t="shared" si="123"/>
        <v>0</v>
      </c>
      <c r="BC31" s="22">
        <f t="shared" si="124"/>
        <v>0</v>
      </c>
      <c r="BD31" s="22">
        <f t="shared" si="124"/>
        <v>0</v>
      </c>
      <c r="BE31" s="22">
        <f t="shared" si="124"/>
        <v>0</v>
      </c>
      <c r="BF31" s="22">
        <f t="shared" si="124"/>
        <v>0</v>
      </c>
      <c r="BG31" s="22">
        <f t="shared" si="124"/>
        <v>0</v>
      </c>
      <c r="BH31" s="22">
        <f t="shared" si="124"/>
        <v>0</v>
      </c>
      <c r="BI31" s="22">
        <f t="shared" si="124"/>
        <v>0</v>
      </c>
      <c r="BJ31" s="22">
        <f t="shared" si="124"/>
        <v>0</v>
      </c>
      <c r="BN31">
        <v>30</v>
      </c>
      <c r="BO31" s="23">
        <f t="shared" si="63"/>
        <v>0</v>
      </c>
      <c r="BP31" s="23">
        <f t="shared" si="64"/>
        <v>0</v>
      </c>
      <c r="BQ31" s="23">
        <f t="shared" si="65"/>
        <v>0</v>
      </c>
      <c r="BR31" s="23">
        <f t="shared" si="66"/>
        <v>0</v>
      </c>
      <c r="BS31" s="23">
        <f t="shared" si="67"/>
        <v>0</v>
      </c>
      <c r="BT31" s="23">
        <f t="shared" si="68"/>
        <v>0</v>
      </c>
      <c r="BU31" s="23">
        <f t="shared" si="69"/>
        <v>0</v>
      </c>
      <c r="BV31" s="23">
        <f t="shared" si="70"/>
        <v>0</v>
      </c>
      <c r="BW31" s="23">
        <f t="shared" si="71"/>
        <v>0</v>
      </c>
      <c r="BX31" s="23">
        <f t="shared" si="72"/>
        <v>0</v>
      </c>
      <c r="BY31" s="23">
        <f t="shared" si="73"/>
        <v>0</v>
      </c>
      <c r="BZ31" s="23">
        <f t="shared" si="74"/>
        <v>0</v>
      </c>
      <c r="CA31" s="23">
        <f t="shared" si="75"/>
        <v>0</v>
      </c>
      <c r="CB31" s="23">
        <f t="shared" si="76"/>
        <v>0</v>
      </c>
      <c r="CC31" s="23">
        <f t="shared" si="77"/>
        <v>0</v>
      </c>
      <c r="CD31" s="23">
        <f t="shared" si="78"/>
        <v>0</v>
      </c>
      <c r="CE31" s="23">
        <f t="shared" si="79"/>
        <v>0</v>
      </c>
      <c r="CF31" s="23">
        <f t="shared" si="80"/>
        <v>0</v>
      </c>
      <c r="CG31" s="23">
        <f t="shared" si="81"/>
        <v>0</v>
      </c>
      <c r="CH31" s="23">
        <f t="shared" si="82"/>
        <v>0</v>
      </c>
      <c r="CI31" s="23">
        <f t="shared" si="83"/>
        <v>0</v>
      </c>
      <c r="CJ31" s="23">
        <f t="shared" si="84"/>
        <v>0</v>
      </c>
      <c r="CK31" s="23">
        <f t="shared" si="85"/>
        <v>0</v>
      </c>
      <c r="CL31" s="23">
        <f t="shared" si="86"/>
        <v>0</v>
      </c>
      <c r="CM31" s="23">
        <f t="shared" si="87"/>
        <v>0</v>
      </c>
      <c r="CN31" s="23">
        <f t="shared" si="88"/>
        <v>0</v>
      </c>
      <c r="CO31" s="23">
        <f t="shared" si="89"/>
        <v>0</v>
      </c>
      <c r="CP31" s="23">
        <f t="shared" si="90"/>
        <v>0</v>
      </c>
      <c r="CU31" s="21">
        <v>30</v>
      </c>
      <c r="CV31" s="24">
        <f t="shared" si="91"/>
        <v>0</v>
      </c>
      <c r="CW31" s="24">
        <f t="shared" si="92"/>
        <v>0</v>
      </c>
      <c r="CX31" s="24">
        <f t="shared" si="93"/>
        <v>0</v>
      </c>
      <c r="CY31" s="24">
        <f t="shared" si="94"/>
        <v>0</v>
      </c>
      <c r="CZ31" s="24">
        <f t="shared" si="95"/>
        <v>0</v>
      </c>
      <c r="DA31" s="24">
        <f t="shared" si="96"/>
        <v>0</v>
      </c>
      <c r="DB31" s="24">
        <f t="shared" si="97"/>
        <v>0</v>
      </c>
      <c r="DC31" s="24">
        <f t="shared" si="98"/>
        <v>0</v>
      </c>
      <c r="DF31" s="30">
        <v>30</v>
      </c>
      <c r="DG31" s="26">
        <f t="shared" si="99"/>
        <v>0</v>
      </c>
      <c r="DH31" s="26">
        <f t="shared" si="100"/>
        <v>0</v>
      </c>
      <c r="DI31" s="26">
        <f t="shared" si="101"/>
        <v>0</v>
      </c>
      <c r="DJ31" s="26">
        <f t="shared" si="102"/>
        <v>0</v>
      </c>
      <c r="DK31" s="26">
        <f t="shared" si="103"/>
        <v>0</v>
      </c>
      <c r="DL31" s="26">
        <f t="shared" si="104"/>
        <v>0</v>
      </c>
      <c r="DM31" s="26">
        <f t="shared" si="105"/>
        <v>0</v>
      </c>
      <c r="DN31" s="26">
        <f t="shared" si="106"/>
        <v>0</v>
      </c>
      <c r="DO31" s="26">
        <f t="shared" si="107"/>
        <v>0</v>
      </c>
      <c r="DP31" s="26">
        <f t="shared" si="108"/>
        <v>0</v>
      </c>
      <c r="DQ31" s="26">
        <f t="shared" si="109"/>
        <v>0</v>
      </c>
      <c r="DR31" s="26">
        <f t="shared" si="110"/>
        <v>0</v>
      </c>
      <c r="DS31" s="47">
        <f t="shared" si="111"/>
        <v>0</v>
      </c>
      <c r="DT31" s="47">
        <f t="shared" si="112"/>
        <v>0</v>
      </c>
      <c r="DX31">
        <v>30</v>
      </c>
      <c r="DY31" s="19">
        <f t="shared" si="113"/>
        <v>0</v>
      </c>
      <c r="EM31" s="21">
        <v>30</v>
      </c>
      <c r="EN31" s="16">
        <f t="shared" si="114"/>
        <v>0</v>
      </c>
      <c r="EO31" s="16">
        <f t="shared" si="115"/>
        <v>0</v>
      </c>
      <c r="EP31" s="16">
        <f t="shared" si="116"/>
        <v>0</v>
      </c>
      <c r="EQ31" s="16">
        <f t="shared" si="117"/>
        <v>0</v>
      </c>
      <c r="ER31" s="16">
        <f t="shared" si="118"/>
        <v>0</v>
      </c>
      <c r="ES31" s="16">
        <f t="shared" si="119"/>
        <v>0</v>
      </c>
      <c r="ET31" s="16">
        <f t="shared" si="120"/>
        <v>0</v>
      </c>
      <c r="EU31" s="16">
        <f t="shared" si="121"/>
        <v>0</v>
      </c>
      <c r="FK31" s="20"/>
      <c r="FL31" s="20"/>
    </row>
    <row r="32" spans="1:168" ht="14.4" thickBot="1" x14ac:dyDescent="0.35"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H32" s="21">
        <v>31</v>
      </c>
      <c r="AI32" s="27">
        <f t="shared" si="122"/>
        <v>0</v>
      </c>
      <c r="AJ32" s="27">
        <f t="shared" si="122"/>
        <v>0</v>
      </c>
      <c r="AK32" s="27">
        <f t="shared" si="122"/>
        <v>0</v>
      </c>
      <c r="AL32" s="27">
        <f t="shared" si="122"/>
        <v>0</v>
      </c>
      <c r="AM32" s="27">
        <f t="shared" si="122"/>
        <v>0</v>
      </c>
      <c r="AN32" s="27">
        <f t="shared" si="122"/>
        <v>0</v>
      </c>
      <c r="AO32" s="27">
        <f t="shared" si="122"/>
        <v>0</v>
      </c>
      <c r="AP32" s="27">
        <f t="shared" si="122"/>
        <v>0</v>
      </c>
      <c r="AQ32" s="27">
        <f t="shared" si="122"/>
        <v>0</v>
      </c>
      <c r="AR32" s="27">
        <f t="shared" si="122"/>
        <v>0</v>
      </c>
      <c r="AS32" s="27">
        <f t="shared" si="123"/>
        <v>0</v>
      </c>
      <c r="AT32" s="27">
        <f t="shared" si="123"/>
        <v>0</v>
      </c>
      <c r="AU32" s="27">
        <f t="shared" si="123"/>
        <v>0</v>
      </c>
      <c r="AV32" s="27">
        <f t="shared" si="123"/>
        <v>0</v>
      </c>
      <c r="AW32" s="27">
        <f t="shared" si="123"/>
        <v>0</v>
      </c>
      <c r="AX32" s="27">
        <f t="shared" si="123"/>
        <v>0</v>
      </c>
      <c r="AY32" s="27">
        <f t="shared" si="123"/>
        <v>0</v>
      </c>
      <c r="AZ32" s="27">
        <f t="shared" si="123"/>
        <v>0</v>
      </c>
      <c r="BA32" s="27">
        <f t="shared" si="123"/>
        <v>0</v>
      </c>
      <c r="BB32" s="27">
        <f t="shared" si="123"/>
        <v>0</v>
      </c>
      <c r="BC32" s="27">
        <f t="shared" si="124"/>
        <v>0</v>
      </c>
      <c r="BD32" s="27">
        <f t="shared" si="124"/>
        <v>0</v>
      </c>
      <c r="BE32" s="27">
        <f t="shared" si="124"/>
        <v>0</v>
      </c>
      <c r="BF32" s="27">
        <f t="shared" si="124"/>
        <v>0</v>
      </c>
      <c r="BG32" s="27">
        <f t="shared" si="124"/>
        <v>0</v>
      </c>
      <c r="BH32" s="27">
        <f t="shared" si="124"/>
        <v>0</v>
      </c>
      <c r="BI32" s="27">
        <f t="shared" si="124"/>
        <v>0</v>
      </c>
      <c r="BJ32" s="27">
        <f t="shared" si="124"/>
        <v>0</v>
      </c>
      <c r="BN32">
        <v>31</v>
      </c>
      <c r="BO32" s="28">
        <f t="shared" si="63"/>
        <v>0</v>
      </c>
      <c r="BP32" s="28">
        <f t="shared" si="64"/>
        <v>0</v>
      </c>
      <c r="BQ32" s="28">
        <f t="shared" si="65"/>
        <v>0</v>
      </c>
      <c r="BR32" s="28">
        <f t="shared" si="66"/>
        <v>0</v>
      </c>
      <c r="BS32" s="28">
        <f t="shared" si="67"/>
        <v>0</v>
      </c>
      <c r="BT32" s="28">
        <f t="shared" si="68"/>
        <v>0</v>
      </c>
      <c r="BU32" s="28">
        <f t="shared" si="69"/>
        <v>0</v>
      </c>
      <c r="BV32" s="28">
        <f t="shared" si="70"/>
        <v>0</v>
      </c>
      <c r="BW32" s="28">
        <f t="shared" si="71"/>
        <v>0</v>
      </c>
      <c r="BX32" s="28">
        <f t="shared" si="72"/>
        <v>0</v>
      </c>
      <c r="BY32" s="28">
        <f t="shared" si="73"/>
        <v>0</v>
      </c>
      <c r="BZ32" s="28">
        <f t="shared" si="74"/>
        <v>0</v>
      </c>
      <c r="CA32" s="28">
        <f t="shared" si="75"/>
        <v>0</v>
      </c>
      <c r="CB32" s="28">
        <f t="shared" si="76"/>
        <v>0</v>
      </c>
      <c r="CC32" s="28">
        <f t="shared" si="77"/>
        <v>0</v>
      </c>
      <c r="CD32" s="28">
        <f t="shared" si="78"/>
        <v>0</v>
      </c>
      <c r="CE32" s="28">
        <f t="shared" si="79"/>
        <v>0</v>
      </c>
      <c r="CF32" s="28">
        <f t="shared" si="80"/>
        <v>0</v>
      </c>
      <c r="CG32" s="28">
        <f t="shared" si="81"/>
        <v>0</v>
      </c>
      <c r="CH32" s="28">
        <f t="shared" si="82"/>
        <v>0</v>
      </c>
      <c r="CI32" s="28">
        <f t="shared" si="83"/>
        <v>0</v>
      </c>
      <c r="CJ32" s="28">
        <f t="shared" si="84"/>
        <v>0</v>
      </c>
      <c r="CK32" s="28">
        <f t="shared" si="85"/>
        <v>0</v>
      </c>
      <c r="CL32" s="28">
        <f t="shared" si="86"/>
        <v>0</v>
      </c>
      <c r="CM32" s="28">
        <f t="shared" si="87"/>
        <v>0</v>
      </c>
      <c r="CN32" s="28">
        <f t="shared" si="88"/>
        <v>0</v>
      </c>
      <c r="CO32" s="28">
        <f t="shared" si="89"/>
        <v>0</v>
      </c>
      <c r="CP32" s="28">
        <f t="shared" si="90"/>
        <v>0</v>
      </c>
      <c r="CU32" s="13">
        <v>31</v>
      </c>
      <c r="CV32" s="29">
        <f t="shared" si="91"/>
        <v>0</v>
      </c>
      <c r="CW32" s="29">
        <f t="shared" si="92"/>
        <v>0</v>
      </c>
      <c r="CX32" s="29">
        <f t="shared" si="93"/>
        <v>0</v>
      </c>
      <c r="CY32" s="29">
        <f t="shared" si="94"/>
        <v>0</v>
      </c>
      <c r="CZ32" s="29">
        <f t="shared" si="95"/>
        <v>0</v>
      </c>
      <c r="DA32" s="29">
        <f t="shared" si="96"/>
        <v>0</v>
      </c>
      <c r="DB32" s="29">
        <f t="shared" si="97"/>
        <v>0</v>
      </c>
      <c r="DC32" s="29">
        <f t="shared" si="98"/>
        <v>0</v>
      </c>
      <c r="DF32" s="25">
        <v>31</v>
      </c>
      <c r="DG32" s="31">
        <f t="shared" si="99"/>
        <v>0</v>
      </c>
      <c r="DH32" s="31">
        <f t="shared" si="100"/>
        <v>0</v>
      </c>
      <c r="DI32" s="31">
        <f t="shared" si="101"/>
        <v>0</v>
      </c>
      <c r="DJ32" s="31">
        <f t="shared" si="102"/>
        <v>0</v>
      </c>
      <c r="DK32" s="31">
        <f t="shared" si="103"/>
        <v>0</v>
      </c>
      <c r="DL32" s="31">
        <f t="shared" si="104"/>
        <v>0</v>
      </c>
      <c r="DM32" s="31">
        <f t="shared" si="105"/>
        <v>0</v>
      </c>
      <c r="DN32" s="31">
        <f t="shared" si="106"/>
        <v>0</v>
      </c>
      <c r="DO32" s="31">
        <f t="shared" si="107"/>
        <v>0</v>
      </c>
      <c r="DP32" s="31">
        <f t="shared" si="108"/>
        <v>0</v>
      </c>
      <c r="DQ32" s="31">
        <f t="shared" si="109"/>
        <v>0</v>
      </c>
      <c r="DR32" s="31">
        <f t="shared" si="110"/>
        <v>0</v>
      </c>
      <c r="DS32" s="49">
        <f t="shared" si="111"/>
        <v>0</v>
      </c>
      <c r="DT32" s="49">
        <f t="shared" si="112"/>
        <v>0</v>
      </c>
      <c r="DX32">
        <v>31</v>
      </c>
      <c r="DY32" s="19">
        <f t="shared" si="113"/>
        <v>0</v>
      </c>
      <c r="EM32" s="13">
        <v>31</v>
      </c>
      <c r="EN32" s="16">
        <f t="shared" si="114"/>
        <v>0</v>
      </c>
      <c r="EO32" s="16">
        <f t="shared" si="115"/>
        <v>0</v>
      </c>
      <c r="EP32" s="16">
        <f t="shared" si="116"/>
        <v>0</v>
      </c>
      <c r="EQ32" s="16">
        <f t="shared" si="117"/>
        <v>0</v>
      </c>
      <c r="ER32" s="16">
        <f t="shared" si="118"/>
        <v>0</v>
      </c>
      <c r="ES32" s="16">
        <f t="shared" si="119"/>
        <v>0</v>
      </c>
      <c r="ET32" s="16">
        <f t="shared" si="120"/>
        <v>0</v>
      </c>
      <c r="EU32" s="16">
        <f t="shared" si="121"/>
        <v>0</v>
      </c>
      <c r="FK32" s="20"/>
      <c r="FL32" s="20"/>
    </row>
    <row r="33" spans="3:168" ht="14.4" thickBot="1" x14ac:dyDescent="0.35"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H33" s="21">
        <v>32</v>
      </c>
      <c r="AI33" s="22">
        <f t="shared" si="122"/>
        <v>0</v>
      </c>
      <c r="AJ33" s="22">
        <f t="shared" si="122"/>
        <v>0</v>
      </c>
      <c r="AK33" s="22">
        <f t="shared" si="122"/>
        <v>0</v>
      </c>
      <c r="AL33" s="22">
        <f t="shared" si="122"/>
        <v>0</v>
      </c>
      <c r="AM33" s="22">
        <f t="shared" si="122"/>
        <v>0</v>
      </c>
      <c r="AN33" s="22">
        <f t="shared" si="122"/>
        <v>0</v>
      </c>
      <c r="AO33" s="22">
        <f t="shared" si="122"/>
        <v>0</v>
      </c>
      <c r="AP33" s="22">
        <f t="shared" si="122"/>
        <v>0</v>
      </c>
      <c r="AQ33" s="22">
        <f t="shared" si="122"/>
        <v>0</v>
      </c>
      <c r="AR33" s="22">
        <f t="shared" si="122"/>
        <v>0</v>
      </c>
      <c r="AS33" s="22">
        <f t="shared" si="123"/>
        <v>0</v>
      </c>
      <c r="AT33" s="22">
        <f t="shared" si="123"/>
        <v>0</v>
      </c>
      <c r="AU33" s="22">
        <f t="shared" si="123"/>
        <v>0</v>
      </c>
      <c r="AV33" s="22">
        <f t="shared" si="123"/>
        <v>0</v>
      </c>
      <c r="AW33" s="22">
        <f t="shared" si="123"/>
        <v>0</v>
      </c>
      <c r="AX33" s="22">
        <f t="shared" si="123"/>
        <v>0</v>
      </c>
      <c r="AY33" s="22">
        <f t="shared" si="123"/>
        <v>0</v>
      </c>
      <c r="AZ33" s="22">
        <f t="shared" si="123"/>
        <v>0</v>
      </c>
      <c r="BA33" s="22">
        <f t="shared" si="123"/>
        <v>0</v>
      </c>
      <c r="BB33" s="22">
        <f t="shared" si="123"/>
        <v>0</v>
      </c>
      <c r="BC33" s="22">
        <f t="shared" si="124"/>
        <v>0</v>
      </c>
      <c r="BD33" s="22">
        <f t="shared" si="124"/>
        <v>0</v>
      </c>
      <c r="BE33" s="22">
        <f t="shared" si="124"/>
        <v>0</v>
      </c>
      <c r="BF33" s="22">
        <f t="shared" si="124"/>
        <v>0</v>
      </c>
      <c r="BG33" s="22">
        <f t="shared" si="124"/>
        <v>0</v>
      </c>
      <c r="BH33" s="22">
        <f t="shared" si="124"/>
        <v>0</v>
      </c>
      <c r="BI33" s="22">
        <f t="shared" si="124"/>
        <v>0</v>
      </c>
      <c r="BJ33" s="22">
        <f t="shared" si="124"/>
        <v>0</v>
      </c>
      <c r="BN33">
        <v>32</v>
      </c>
      <c r="BO33" s="23">
        <f t="shared" si="63"/>
        <v>0</v>
      </c>
      <c r="BP33" s="23">
        <f t="shared" si="64"/>
        <v>0</v>
      </c>
      <c r="BQ33" s="23">
        <f t="shared" si="65"/>
        <v>0</v>
      </c>
      <c r="BR33" s="23">
        <f t="shared" si="66"/>
        <v>0</v>
      </c>
      <c r="BS33" s="23">
        <f t="shared" si="67"/>
        <v>0</v>
      </c>
      <c r="BT33" s="23">
        <f t="shared" si="68"/>
        <v>0</v>
      </c>
      <c r="BU33" s="23">
        <f t="shared" si="69"/>
        <v>0</v>
      </c>
      <c r="BV33" s="23">
        <f t="shared" si="70"/>
        <v>0</v>
      </c>
      <c r="BW33" s="23">
        <f t="shared" si="71"/>
        <v>0</v>
      </c>
      <c r="BX33" s="23">
        <f t="shared" si="72"/>
        <v>0</v>
      </c>
      <c r="BY33" s="23">
        <f t="shared" si="73"/>
        <v>0</v>
      </c>
      <c r="BZ33" s="23">
        <f t="shared" si="74"/>
        <v>0</v>
      </c>
      <c r="CA33" s="23">
        <f t="shared" si="75"/>
        <v>0</v>
      </c>
      <c r="CB33" s="23">
        <f t="shared" si="76"/>
        <v>0</v>
      </c>
      <c r="CC33" s="23">
        <f t="shared" si="77"/>
        <v>0</v>
      </c>
      <c r="CD33" s="23">
        <f t="shared" si="78"/>
        <v>0</v>
      </c>
      <c r="CE33" s="23">
        <f t="shared" si="79"/>
        <v>0</v>
      </c>
      <c r="CF33" s="23">
        <f t="shared" si="80"/>
        <v>0</v>
      </c>
      <c r="CG33" s="23">
        <f t="shared" si="81"/>
        <v>0</v>
      </c>
      <c r="CH33" s="23">
        <f t="shared" si="82"/>
        <v>0</v>
      </c>
      <c r="CI33" s="23">
        <f t="shared" si="83"/>
        <v>0</v>
      </c>
      <c r="CJ33" s="23">
        <f t="shared" si="84"/>
        <v>0</v>
      </c>
      <c r="CK33" s="23">
        <f t="shared" si="85"/>
        <v>0</v>
      </c>
      <c r="CL33" s="23">
        <f t="shared" si="86"/>
        <v>0</v>
      </c>
      <c r="CM33" s="23">
        <f t="shared" si="87"/>
        <v>0</v>
      </c>
      <c r="CN33" s="23">
        <f t="shared" si="88"/>
        <v>0</v>
      </c>
      <c r="CO33" s="23">
        <f t="shared" si="89"/>
        <v>0</v>
      </c>
      <c r="CP33" s="23">
        <f t="shared" si="90"/>
        <v>0</v>
      </c>
      <c r="CU33" s="21">
        <v>32</v>
      </c>
      <c r="CV33" s="24">
        <f t="shared" si="91"/>
        <v>0</v>
      </c>
      <c r="CW33" s="24">
        <f t="shared" si="92"/>
        <v>0</v>
      </c>
      <c r="CX33" s="24">
        <f t="shared" si="93"/>
        <v>0</v>
      </c>
      <c r="CY33" s="24">
        <f t="shared" si="94"/>
        <v>0</v>
      </c>
      <c r="CZ33" s="24">
        <f t="shared" si="95"/>
        <v>0</v>
      </c>
      <c r="DA33" s="24">
        <f t="shared" si="96"/>
        <v>0</v>
      </c>
      <c r="DB33" s="24">
        <f t="shared" si="97"/>
        <v>0</v>
      </c>
      <c r="DC33" s="24">
        <f t="shared" si="98"/>
        <v>0</v>
      </c>
      <c r="DF33" s="30">
        <v>32</v>
      </c>
      <c r="DG33" s="26">
        <f t="shared" si="99"/>
        <v>0</v>
      </c>
      <c r="DH33" s="26">
        <f t="shared" si="100"/>
        <v>0</v>
      </c>
      <c r="DI33" s="26">
        <f t="shared" si="101"/>
        <v>0</v>
      </c>
      <c r="DJ33" s="26">
        <f t="shared" si="102"/>
        <v>0</v>
      </c>
      <c r="DK33" s="26">
        <f t="shared" si="103"/>
        <v>0</v>
      </c>
      <c r="DL33" s="26">
        <f t="shared" si="104"/>
        <v>0</v>
      </c>
      <c r="DM33" s="26">
        <f t="shared" si="105"/>
        <v>0</v>
      </c>
      <c r="DN33" s="26">
        <f t="shared" si="106"/>
        <v>0</v>
      </c>
      <c r="DO33" s="26">
        <f t="shared" si="107"/>
        <v>0</v>
      </c>
      <c r="DP33" s="26">
        <f t="shared" si="108"/>
        <v>0</v>
      </c>
      <c r="DQ33" s="26">
        <f t="shared" si="109"/>
        <v>0</v>
      </c>
      <c r="DR33" s="26">
        <f t="shared" si="110"/>
        <v>0</v>
      </c>
      <c r="DS33" s="47">
        <f t="shared" si="111"/>
        <v>0</v>
      </c>
      <c r="DT33" s="47">
        <f t="shared" si="112"/>
        <v>0</v>
      </c>
      <c r="DX33">
        <v>32</v>
      </c>
      <c r="DY33" s="19">
        <f t="shared" si="113"/>
        <v>0</v>
      </c>
      <c r="EM33" s="21">
        <v>32</v>
      </c>
      <c r="EN33" s="16">
        <f t="shared" si="114"/>
        <v>0</v>
      </c>
      <c r="EO33" s="16">
        <f t="shared" si="115"/>
        <v>0</v>
      </c>
      <c r="EP33" s="16">
        <f t="shared" si="116"/>
        <v>0</v>
      </c>
      <c r="EQ33" s="16">
        <f t="shared" si="117"/>
        <v>0</v>
      </c>
      <c r="ER33" s="16">
        <f t="shared" si="118"/>
        <v>0</v>
      </c>
      <c r="ES33" s="16">
        <f t="shared" si="119"/>
        <v>0</v>
      </c>
      <c r="ET33" s="16">
        <f t="shared" si="120"/>
        <v>0</v>
      </c>
      <c r="EU33" s="16">
        <f t="shared" si="121"/>
        <v>0</v>
      </c>
      <c r="FK33" s="20"/>
      <c r="FL33" s="20"/>
    </row>
    <row r="34" spans="3:168" ht="14.4" thickBot="1" x14ac:dyDescent="0.35"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H34" s="13">
        <v>33</v>
      </c>
      <c r="AI34" s="27">
        <f t="shared" si="122"/>
        <v>0</v>
      </c>
      <c r="AJ34" s="27">
        <f t="shared" si="122"/>
        <v>0</v>
      </c>
      <c r="AK34" s="27">
        <f t="shared" si="122"/>
        <v>0</v>
      </c>
      <c r="AL34" s="27">
        <f t="shared" si="122"/>
        <v>0</v>
      </c>
      <c r="AM34" s="27">
        <f t="shared" si="122"/>
        <v>0</v>
      </c>
      <c r="AN34" s="27">
        <f t="shared" si="122"/>
        <v>0</v>
      </c>
      <c r="AO34" s="27">
        <f t="shared" si="122"/>
        <v>0</v>
      </c>
      <c r="AP34" s="27">
        <f t="shared" si="122"/>
        <v>0</v>
      </c>
      <c r="AQ34" s="27">
        <f t="shared" si="122"/>
        <v>0</v>
      </c>
      <c r="AR34" s="27">
        <f t="shared" si="122"/>
        <v>0</v>
      </c>
      <c r="AS34" s="27">
        <f t="shared" si="123"/>
        <v>0</v>
      </c>
      <c r="AT34" s="27">
        <f t="shared" si="123"/>
        <v>0</v>
      </c>
      <c r="AU34" s="27">
        <f t="shared" si="123"/>
        <v>0</v>
      </c>
      <c r="AV34" s="27">
        <f t="shared" si="123"/>
        <v>0</v>
      </c>
      <c r="AW34" s="27">
        <f t="shared" si="123"/>
        <v>0</v>
      </c>
      <c r="AX34" s="27">
        <f t="shared" si="123"/>
        <v>0</v>
      </c>
      <c r="AY34" s="27">
        <f t="shared" si="123"/>
        <v>0</v>
      </c>
      <c r="AZ34" s="27">
        <f t="shared" si="123"/>
        <v>0</v>
      </c>
      <c r="BA34" s="27">
        <f t="shared" si="123"/>
        <v>0</v>
      </c>
      <c r="BB34" s="27">
        <f t="shared" si="123"/>
        <v>0</v>
      </c>
      <c r="BC34" s="27">
        <f t="shared" si="124"/>
        <v>0</v>
      </c>
      <c r="BD34" s="27">
        <f t="shared" si="124"/>
        <v>0</v>
      </c>
      <c r="BE34" s="27">
        <f t="shared" si="124"/>
        <v>0</v>
      </c>
      <c r="BF34" s="27">
        <f t="shared" si="124"/>
        <v>0</v>
      </c>
      <c r="BG34" s="27">
        <f t="shared" si="124"/>
        <v>0</v>
      </c>
      <c r="BH34" s="27">
        <f t="shared" si="124"/>
        <v>0</v>
      </c>
      <c r="BI34" s="27">
        <f t="shared" si="124"/>
        <v>0</v>
      </c>
      <c r="BJ34" s="27">
        <f t="shared" si="124"/>
        <v>0</v>
      </c>
      <c r="BN34">
        <v>33</v>
      </c>
      <c r="BO34" s="28">
        <f t="shared" si="63"/>
        <v>0</v>
      </c>
      <c r="BP34" s="28">
        <f t="shared" si="64"/>
        <v>0</v>
      </c>
      <c r="BQ34" s="28">
        <f t="shared" si="65"/>
        <v>0</v>
      </c>
      <c r="BR34" s="28">
        <f t="shared" si="66"/>
        <v>0</v>
      </c>
      <c r="BS34" s="28">
        <f t="shared" si="67"/>
        <v>0</v>
      </c>
      <c r="BT34" s="28">
        <f t="shared" si="68"/>
        <v>0</v>
      </c>
      <c r="BU34" s="28">
        <f t="shared" si="69"/>
        <v>0</v>
      </c>
      <c r="BV34" s="28">
        <f t="shared" si="70"/>
        <v>0</v>
      </c>
      <c r="BW34" s="28">
        <f t="shared" si="71"/>
        <v>0</v>
      </c>
      <c r="BX34" s="28">
        <f t="shared" si="72"/>
        <v>0</v>
      </c>
      <c r="BY34" s="28">
        <f t="shared" si="73"/>
        <v>0</v>
      </c>
      <c r="BZ34" s="28">
        <f t="shared" si="74"/>
        <v>0</v>
      </c>
      <c r="CA34" s="28">
        <f t="shared" si="75"/>
        <v>0</v>
      </c>
      <c r="CB34" s="28">
        <f t="shared" si="76"/>
        <v>0</v>
      </c>
      <c r="CC34" s="28">
        <f t="shared" si="77"/>
        <v>0</v>
      </c>
      <c r="CD34" s="28">
        <f t="shared" si="78"/>
        <v>0</v>
      </c>
      <c r="CE34" s="28">
        <f t="shared" si="79"/>
        <v>0</v>
      </c>
      <c r="CF34" s="28">
        <f t="shared" si="80"/>
        <v>0</v>
      </c>
      <c r="CG34" s="28">
        <f t="shared" si="81"/>
        <v>0</v>
      </c>
      <c r="CH34" s="28">
        <f t="shared" si="82"/>
        <v>0</v>
      </c>
      <c r="CI34" s="28">
        <f t="shared" si="83"/>
        <v>0</v>
      </c>
      <c r="CJ34" s="28">
        <f t="shared" si="84"/>
        <v>0</v>
      </c>
      <c r="CK34" s="28">
        <f t="shared" si="85"/>
        <v>0</v>
      </c>
      <c r="CL34" s="28">
        <f t="shared" si="86"/>
        <v>0</v>
      </c>
      <c r="CM34" s="28">
        <f t="shared" si="87"/>
        <v>0</v>
      </c>
      <c r="CN34" s="28">
        <f t="shared" si="88"/>
        <v>0</v>
      </c>
      <c r="CO34" s="28">
        <f t="shared" si="89"/>
        <v>0</v>
      </c>
      <c r="CP34" s="28">
        <f t="shared" si="90"/>
        <v>0</v>
      </c>
      <c r="CU34" s="21">
        <v>33</v>
      </c>
      <c r="CV34" s="29">
        <f t="shared" si="91"/>
        <v>0</v>
      </c>
      <c r="CW34" s="29">
        <f t="shared" si="92"/>
        <v>0</v>
      </c>
      <c r="CX34" s="29">
        <f t="shared" si="93"/>
        <v>0</v>
      </c>
      <c r="CY34" s="29">
        <f t="shared" si="94"/>
        <v>0</v>
      </c>
      <c r="CZ34" s="29">
        <f t="shared" si="95"/>
        <v>0</v>
      </c>
      <c r="DA34" s="29">
        <f t="shared" si="96"/>
        <v>0</v>
      </c>
      <c r="DB34" s="29">
        <f t="shared" si="97"/>
        <v>0</v>
      </c>
      <c r="DC34" s="29">
        <f t="shared" si="98"/>
        <v>0</v>
      </c>
      <c r="DF34" s="25">
        <v>33</v>
      </c>
      <c r="DG34" s="31">
        <f t="shared" si="99"/>
        <v>0</v>
      </c>
      <c r="DH34" s="31">
        <f t="shared" si="100"/>
        <v>0</v>
      </c>
      <c r="DI34" s="31">
        <f t="shared" si="101"/>
        <v>0</v>
      </c>
      <c r="DJ34" s="31">
        <f t="shared" si="102"/>
        <v>0</v>
      </c>
      <c r="DK34" s="31">
        <f t="shared" si="103"/>
        <v>0</v>
      </c>
      <c r="DL34" s="31">
        <f t="shared" si="104"/>
        <v>0</v>
      </c>
      <c r="DM34" s="31">
        <f t="shared" si="105"/>
        <v>0</v>
      </c>
      <c r="DN34" s="31">
        <f t="shared" si="106"/>
        <v>0</v>
      </c>
      <c r="DO34" s="31">
        <f t="shared" si="107"/>
        <v>0</v>
      </c>
      <c r="DP34" s="31">
        <f t="shared" si="108"/>
        <v>0</v>
      </c>
      <c r="DQ34" s="31">
        <f t="shared" si="109"/>
        <v>0</v>
      </c>
      <c r="DR34" s="31">
        <f t="shared" si="110"/>
        <v>0</v>
      </c>
      <c r="DS34" s="49">
        <f t="shared" si="111"/>
        <v>0</v>
      </c>
      <c r="DT34" s="49">
        <f t="shared" si="112"/>
        <v>0</v>
      </c>
      <c r="DX34">
        <v>33</v>
      </c>
      <c r="DY34" s="19">
        <f t="shared" si="113"/>
        <v>0</v>
      </c>
      <c r="EM34" s="21">
        <v>33</v>
      </c>
      <c r="EN34" s="16">
        <f t="shared" si="114"/>
        <v>0</v>
      </c>
      <c r="EO34" s="16">
        <f t="shared" si="115"/>
        <v>0</v>
      </c>
      <c r="EP34" s="16">
        <f t="shared" si="116"/>
        <v>0</v>
      </c>
      <c r="EQ34" s="16">
        <f t="shared" si="117"/>
        <v>0</v>
      </c>
      <c r="ER34" s="16">
        <f t="shared" si="118"/>
        <v>0</v>
      </c>
      <c r="ES34" s="16">
        <f t="shared" si="119"/>
        <v>0</v>
      </c>
      <c r="ET34" s="16">
        <f t="shared" si="120"/>
        <v>0</v>
      </c>
      <c r="EU34" s="16">
        <f t="shared" si="121"/>
        <v>0</v>
      </c>
      <c r="FK34" s="20"/>
      <c r="FL34" s="20"/>
    </row>
    <row r="35" spans="3:168" ht="14.4" thickBot="1" x14ac:dyDescent="0.35"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H35" s="21">
        <v>34</v>
      </c>
      <c r="AI35" s="22">
        <f t="shared" si="122"/>
        <v>0</v>
      </c>
      <c r="AJ35" s="22">
        <f t="shared" si="122"/>
        <v>0</v>
      </c>
      <c r="AK35" s="22">
        <f t="shared" si="122"/>
        <v>0</v>
      </c>
      <c r="AL35" s="22">
        <f t="shared" si="122"/>
        <v>0</v>
      </c>
      <c r="AM35" s="22">
        <f t="shared" si="122"/>
        <v>0</v>
      </c>
      <c r="AN35" s="22">
        <f t="shared" si="122"/>
        <v>0</v>
      </c>
      <c r="AO35" s="22">
        <f t="shared" si="122"/>
        <v>0</v>
      </c>
      <c r="AP35" s="22">
        <f t="shared" si="122"/>
        <v>0</v>
      </c>
      <c r="AQ35" s="22">
        <f t="shared" si="122"/>
        <v>0</v>
      </c>
      <c r="AR35" s="22">
        <f t="shared" si="122"/>
        <v>0</v>
      </c>
      <c r="AS35" s="22">
        <f t="shared" si="123"/>
        <v>0</v>
      </c>
      <c r="AT35" s="22">
        <f t="shared" si="123"/>
        <v>0</v>
      </c>
      <c r="AU35" s="22">
        <f t="shared" si="123"/>
        <v>0</v>
      </c>
      <c r="AV35" s="22">
        <f t="shared" si="123"/>
        <v>0</v>
      </c>
      <c r="AW35" s="22">
        <f t="shared" si="123"/>
        <v>0</v>
      </c>
      <c r="AX35" s="22">
        <f t="shared" si="123"/>
        <v>0</v>
      </c>
      <c r="AY35" s="22">
        <f t="shared" si="123"/>
        <v>0</v>
      </c>
      <c r="AZ35" s="22">
        <f t="shared" si="123"/>
        <v>0</v>
      </c>
      <c r="BA35" s="22">
        <f t="shared" si="123"/>
        <v>0</v>
      </c>
      <c r="BB35" s="22">
        <f t="shared" si="123"/>
        <v>0</v>
      </c>
      <c r="BC35" s="22">
        <f t="shared" si="124"/>
        <v>0</v>
      </c>
      <c r="BD35" s="22">
        <f t="shared" si="124"/>
        <v>0</v>
      </c>
      <c r="BE35" s="22">
        <f t="shared" si="124"/>
        <v>0</v>
      </c>
      <c r="BF35" s="22">
        <f t="shared" si="124"/>
        <v>0</v>
      </c>
      <c r="BG35" s="22">
        <f t="shared" si="124"/>
        <v>0</v>
      </c>
      <c r="BH35" s="22">
        <f t="shared" si="124"/>
        <v>0</v>
      </c>
      <c r="BI35" s="22">
        <f t="shared" si="124"/>
        <v>0</v>
      </c>
      <c r="BJ35" s="22">
        <f t="shared" si="124"/>
        <v>0</v>
      </c>
      <c r="BN35">
        <v>34</v>
      </c>
      <c r="BO35" s="23">
        <f t="shared" si="63"/>
        <v>0</v>
      </c>
      <c r="BP35" s="23">
        <f t="shared" si="64"/>
        <v>0</v>
      </c>
      <c r="BQ35" s="23">
        <f t="shared" si="65"/>
        <v>0</v>
      </c>
      <c r="BR35" s="23">
        <f t="shared" si="66"/>
        <v>0</v>
      </c>
      <c r="BS35" s="23">
        <f t="shared" si="67"/>
        <v>0</v>
      </c>
      <c r="BT35" s="23">
        <f t="shared" si="68"/>
        <v>0</v>
      </c>
      <c r="BU35" s="23">
        <f t="shared" si="69"/>
        <v>0</v>
      </c>
      <c r="BV35" s="23">
        <f t="shared" si="70"/>
        <v>0</v>
      </c>
      <c r="BW35" s="23">
        <f t="shared" si="71"/>
        <v>0</v>
      </c>
      <c r="BX35" s="23">
        <f t="shared" si="72"/>
        <v>0</v>
      </c>
      <c r="BY35" s="23">
        <f t="shared" si="73"/>
        <v>0</v>
      </c>
      <c r="BZ35" s="23">
        <f t="shared" si="74"/>
        <v>0</v>
      </c>
      <c r="CA35" s="23">
        <f t="shared" si="75"/>
        <v>0</v>
      </c>
      <c r="CB35" s="23">
        <f t="shared" si="76"/>
        <v>0</v>
      </c>
      <c r="CC35" s="23">
        <f t="shared" si="77"/>
        <v>0</v>
      </c>
      <c r="CD35" s="23">
        <f t="shared" si="78"/>
        <v>0</v>
      </c>
      <c r="CE35" s="23">
        <f t="shared" si="79"/>
        <v>0</v>
      </c>
      <c r="CF35" s="23">
        <f t="shared" si="80"/>
        <v>0</v>
      </c>
      <c r="CG35" s="23">
        <f t="shared" si="81"/>
        <v>0</v>
      </c>
      <c r="CH35" s="23">
        <f t="shared" si="82"/>
        <v>0</v>
      </c>
      <c r="CI35" s="23">
        <f t="shared" si="83"/>
        <v>0</v>
      </c>
      <c r="CJ35" s="23">
        <f t="shared" si="84"/>
        <v>0</v>
      </c>
      <c r="CK35" s="23">
        <f t="shared" si="85"/>
        <v>0</v>
      </c>
      <c r="CL35" s="23">
        <f t="shared" si="86"/>
        <v>0</v>
      </c>
      <c r="CM35" s="23">
        <f t="shared" si="87"/>
        <v>0</v>
      </c>
      <c r="CN35" s="23">
        <f t="shared" si="88"/>
        <v>0</v>
      </c>
      <c r="CO35" s="23">
        <f t="shared" si="89"/>
        <v>0</v>
      </c>
      <c r="CP35" s="23">
        <f t="shared" si="90"/>
        <v>0</v>
      </c>
      <c r="CU35" s="21">
        <v>34</v>
      </c>
      <c r="CV35" s="24">
        <f t="shared" si="91"/>
        <v>0</v>
      </c>
      <c r="CW35" s="24">
        <f t="shared" si="92"/>
        <v>0</v>
      </c>
      <c r="CX35" s="24">
        <f t="shared" si="93"/>
        <v>0</v>
      </c>
      <c r="CY35" s="24">
        <f t="shared" si="94"/>
        <v>0</v>
      </c>
      <c r="CZ35" s="24">
        <f t="shared" si="95"/>
        <v>0</v>
      </c>
      <c r="DA35" s="24">
        <f t="shared" si="96"/>
        <v>0</v>
      </c>
      <c r="DB35" s="24">
        <f t="shared" si="97"/>
        <v>0</v>
      </c>
      <c r="DC35" s="24">
        <f t="shared" si="98"/>
        <v>0</v>
      </c>
      <c r="DF35" s="30">
        <v>34</v>
      </c>
      <c r="DG35" s="26">
        <f t="shared" si="99"/>
        <v>0</v>
      </c>
      <c r="DH35" s="26">
        <f t="shared" si="100"/>
        <v>0</v>
      </c>
      <c r="DI35" s="26">
        <f t="shared" si="101"/>
        <v>0</v>
      </c>
      <c r="DJ35" s="26">
        <f t="shared" si="102"/>
        <v>0</v>
      </c>
      <c r="DK35" s="26">
        <f t="shared" si="103"/>
        <v>0</v>
      </c>
      <c r="DL35" s="26">
        <f t="shared" si="104"/>
        <v>0</v>
      </c>
      <c r="DM35" s="26">
        <f t="shared" si="105"/>
        <v>0</v>
      </c>
      <c r="DN35" s="26">
        <f t="shared" si="106"/>
        <v>0</v>
      </c>
      <c r="DO35" s="26">
        <f t="shared" si="107"/>
        <v>0</v>
      </c>
      <c r="DP35" s="26">
        <f t="shared" si="108"/>
        <v>0</v>
      </c>
      <c r="DQ35" s="26">
        <f t="shared" si="109"/>
        <v>0</v>
      </c>
      <c r="DR35" s="26">
        <f t="shared" si="110"/>
        <v>0</v>
      </c>
      <c r="DS35" s="47">
        <f t="shared" si="111"/>
        <v>0</v>
      </c>
      <c r="DT35" s="47">
        <f t="shared" si="112"/>
        <v>0</v>
      </c>
      <c r="DX35">
        <v>34</v>
      </c>
      <c r="DY35" s="19">
        <f t="shared" si="113"/>
        <v>0</v>
      </c>
      <c r="EM35" s="21">
        <v>34</v>
      </c>
      <c r="EN35" s="16">
        <f t="shared" si="114"/>
        <v>0</v>
      </c>
      <c r="EO35" s="16">
        <f t="shared" si="115"/>
        <v>0</v>
      </c>
      <c r="EP35" s="16">
        <f t="shared" si="116"/>
        <v>0</v>
      </c>
      <c r="EQ35" s="16">
        <f t="shared" si="117"/>
        <v>0</v>
      </c>
      <c r="ER35" s="16">
        <f t="shared" si="118"/>
        <v>0</v>
      </c>
      <c r="ES35" s="16">
        <f t="shared" si="119"/>
        <v>0</v>
      </c>
      <c r="ET35" s="16">
        <f t="shared" si="120"/>
        <v>0</v>
      </c>
      <c r="EU35" s="16">
        <f t="shared" si="121"/>
        <v>0</v>
      </c>
      <c r="FK35" s="20"/>
      <c r="FL35" s="20"/>
    </row>
    <row r="36" spans="3:168" ht="14.4" thickBot="1" x14ac:dyDescent="0.35"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H36" s="21">
        <v>35</v>
      </c>
      <c r="AI36" s="27">
        <f t="shared" si="122"/>
        <v>0</v>
      </c>
      <c r="AJ36" s="27">
        <f t="shared" si="122"/>
        <v>0</v>
      </c>
      <c r="AK36" s="27">
        <f t="shared" si="122"/>
        <v>0</v>
      </c>
      <c r="AL36" s="27">
        <f t="shared" si="122"/>
        <v>0</v>
      </c>
      <c r="AM36" s="27">
        <f t="shared" si="122"/>
        <v>0</v>
      </c>
      <c r="AN36" s="27">
        <f t="shared" si="122"/>
        <v>0</v>
      </c>
      <c r="AO36" s="27">
        <f t="shared" si="122"/>
        <v>0</v>
      </c>
      <c r="AP36" s="27">
        <f t="shared" si="122"/>
        <v>0</v>
      </c>
      <c r="AQ36" s="27">
        <f t="shared" si="122"/>
        <v>0</v>
      </c>
      <c r="AR36" s="27">
        <f t="shared" si="122"/>
        <v>0</v>
      </c>
      <c r="AS36" s="27">
        <f t="shared" si="123"/>
        <v>0</v>
      </c>
      <c r="AT36" s="27">
        <f t="shared" si="123"/>
        <v>0</v>
      </c>
      <c r="AU36" s="27">
        <f t="shared" si="123"/>
        <v>0</v>
      </c>
      <c r="AV36" s="27">
        <f t="shared" si="123"/>
        <v>0</v>
      </c>
      <c r="AW36" s="27">
        <f t="shared" si="123"/>
        <v>0</v>
      </c>
      <c r="AX36" s="27">
        <f t="shared" si="123"/>
        <v>0</v>
      </c>
      <c r="AY36" s="27">
        <f t="shared" si="123"/>
        <v>0</v>
      </c>
      <c r="AZ36" s="27">
        <f t="shared" si="123"/>
        <v>0</v>
      </c>
      <c r="BA36" s="27">
        <f t="shared" si="123"/>
        <v>0</v>
      </c>
      <c r="BB36" s="27">
        <f t="shared" si="123"/>
        <v>0</v>
      </c>
      <c r="BC36" s="27">
        <f t="shared" si="124"/>
        <v>0</v>
      </c>
      <c r="BD36" s="27">
        <f t="shared" si="124"/>
        <v>0</v>
      </c>
      <c r="BE36" s="27">
        <f t="shared" si="124"/>
        <v>0</v>
      </c>
      <c r="BF36" s="27">
        <f t="shared" si="124"/>
        <v>0</v>
      </c>
      <c r="BG36" s="27">
        <f t="shared" si="124"/>
        <v>0</v>
      </c>
      <c r="BH36" s="27">
        <f t="shared" si="124"/>
        <v>0</v>
      </c>
      <c r="BI36" s="27">
        <f t="shared" si="124"/>
        <v>0</v>
      </c>
      <c r="BJ36" s="27">
        <f t="shared" si="124"/>
        <v>0</v>
      </c>
      <c r="BN36">
        <v>35</v>
      </c>
      <c r="BO36" s="28">
        <f t="shared" si="63"/>
        <v>0</v>
      </c>
      <c r="BP36" s="28">
        <f t="shared" si="64"/>
        <v>0</v>
      </c>
      <c r="BQ36" s="28">
        <f t="shared" si="65"/>
        <v>0</v>
      </c>
      <c r="BR36" s="28">
        <f t="shared" si="66"/>
        <v>0</v>
      </c>
      <c r="BS36" s="28">
        <f t="shared" si="67"/>
        <v>0</v>
      </c>
      <c r="BT36" s="28">
        <f t="shared" si="68"/>
        <v>0</v>
      </c>
      <c r="BU36" s="28">
        <f t="shared" si="69"/>
        <v>0</v>
      </c>
      <c r="BV36" s="28">
        <f t="shared" si="70"/>
        <v>0</v>
      </c>
      <c r="BW36" s="28">
        <f t="shared" si="71"/>
        <v>0</v>
      </c>
      <c r="BX36" s="28">
        <f t="shared" si="72"/>
        <v>0</v>
      </c>
      <c r="BY36" s="28">
        <f t="shared" si="73"/>
        <v>0</v>
      </c>
      <c r="BZ36" s="28">
        <f t="shared" si="74"/>
        <v>0</v>
      </c>
      <c r="CA36" s="28">
        <f t="shared" si="75"/>
        <v>0</v>
      </c>
      <c r="CB36" s="28">
        <f t="shared" si="76"/>
        <v>0</v>
      </c>
      <c r="CC36" s="28">
        <f t="shared" si="77"/>
        <v>0</v>
      </c>
      <c r="CD36" s="28">
        <f t="shared" si="78"/>
        <v>0</v>
      </c>
      <c r="CE36" s="28">
        <f t="shared" si="79"/>
        <v>0</v>
      </c>
      <c r="CF36" s="28">
        <f t="shared" si="80"/>
        <v>0</v>
      </c>
      <c r="CG36" s="28">
        <f t="shared" si="81"/>
        <v>0</v>
      </c>
      <c r="CH36" s="28">
        <f t="shared" si="82"/>
        <v>0</v>
      </c>
      <c r="CI36" s="28">
        <f t="shared" si="83"/>
        <v>0</v>
      </c>
      <c r="CJ36" s="28">
        <f t="shared" si="84"/>
        <v>0</v>
      </c>
      <c r="CK36" s="28">
        <f t="shared" si="85"/>
        <v>0</v>
      </c>
      <c r="CL36" s="28">
        <f t="shared" si="86"/>
        <v>0</v>
      </c>
      <c r="CM36" s="28">
        <f t="shared" si="87"/>
        <v>0</v>
      </c>
      <c r="CN36" s="28">
        <f t="shared" si="88"/>
        <v>0</v>
      </c>
      <c r="CO36" s="28">
        <f t="shared" si="89"/>
        <v>0</v>
      </c>
      <c r="CP36" s="28">
        <f t="shared" si="90"/>
        <v>0</v>
      </c>
      <c r="CU36" s="21">
        <v>35</v>
      </c>
      <c r="CV36" s="29">
        <f t="shared" si="91"/>
        <v>0</v>
      </c>
      <c r="CW36" s="29">
        <f t="shared" si="92"/>
        <v>0</v>
      </c>
      <c r="CX36" s="29">
        <f t="shared" si="93"/>
        <v>0</v>
      </c>
      <c r="CY36" s="29">
        <f t="shared" si="94"/>
        <v>0</v>
      </c>
      <c r="CZ36" s="29">
        <f t="shared" si="95"/>
        <v>0</v>
      </c>
      <c r="DA36" s="29">
        <f t="shared" si="96"/>
        <v>0</v>
      </c>
      <c r="DB36" s="29">
        <f t="shared" si="97"/>
        <v>0</v>
      </c>
      <c r="DC36" s="29">
        <f t="shared" si="98"/>
        <v>0</v>
      </c>
      <c r="DF36" s="25">
        <v>35</v>
      </c>
      <c r="DG36" s="31">
        <f t="shared" si="99"/>
        <v>0</v>
      </c>
      <c r="DH36" s="31">
        <f t="shared" si="100"/>
        <v>0</v>
      </c>
      <c r="DI36" s="31">
        <f t="shared" si="101"/>
        <v>0</v>
      </c>
      <c r="DJ36" s="31">
        <f t="shared" si="102"/>
        <v>0</v>
      </c>
      <c r="DK36" s="31">
        <f t="shared" si="103"/>
        <v>0</v>
      </c>
      <c r="DL36" s="31">
        <f t="shared" si="104"/>
        <v>0</v>
      </c>
      <c r="DM36" s="31">
        <f t="shared" si="105"/>
        <v>0</v>
      </c>
      <c r="DN36" s="31">
        <f t="shared" si="106"/>
        <v>0</v>
      </c>
      <c r="DO36" s="31">
        <f t="shared" si="107"/>
        <v>0</v>
      </c>
      <c r="DP36" s="31">
        <f t="shared" si="108"/>
        <v>0</v>
      </c>
      <c r="DQ36" s="31">
        <f t="shared" si="109"/>
        <v>0</v>
      </c>
      <c r="DR36" s="31">
        <f t="shared" si="110"/>
        <v>0</v>
      </c>
      <c r="DS36" s="49">
        <f t="shared" si="111"/>
        <v>0</v>
      </c>
      <c r="DT36" s="49">
        <f t="shared" si="112"/>
        <v>0</v>
      </c>
      <c r="DX36">
        <v>35</v>
      </c>
      <c r="DY36" s="19">
        <f t="shared" si="113"/>
        <v>0</v>
      </c>
      <c r="EM36" s="21">
        <v>35</v>
      </c>
      <c r="EN36" s="16">
        <f t="shared" si="114"/>
        <v>0</v>
      </c>
      <c r="EO36" s="16">
        <f t="shared" si="115"/>
        <v>0</v>
      </c>
      <c r="EP36" s="16">
        <f t="shared" si="116"/>
        <v>0</v>
      </c>
      <c r="EQ36" s="16">
        <f t="shared" si="117"/>
        <v>0</v>
      </c>
      <c r="ER36" s="16">
        <f t="shared" si="118"/>
        <v>0</v>
      </c>
      <c r="ES36" s="16">
        <f t="shared" si="119"/>
        <v>0</v>
      </c>
      <c r="ET36" s="16">
        <f t="shared" si="120"/>
        <v>0</v>
      </c>
      <c r="EU36" s="16">
        <f t="shared" si="121"/>
        <v>0</v>
      </c>
      <c r="FK36" s="20"/>
      <c r="FL36" s="20"/>
    </row>
    <row r="37" spans="3:168" x14ac:dyDescent="0.3"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H37" s="21">
        <v>36</v>
      </c>
      <c r="AI37" s="22">
        <f>IF(C37=0,0,(C37-#REF!)*100/#REF!)</f>
        <v>0</v>
      </c>
      <c r="AJ37" s="22">
        <f>IF(D37=0,0,(D37-#REF!)*100/#REF!)</f>
        <v>0</v>
      </c>
      <c r="AK37" s="22">
        <f>IF(E37=0,0,(E37-#REF!)*100/#REF!)</f>
        <v>0</v>
      </c>
      <c r="AL37" s="22">
        <f>IF(F37=0,0,(F37-#REF!)*100/#REF!)</f>
        <v>0</v>
      </c>
      <c r="AM37" s="22">
        <f>IF(G37=0,0,(G37-#REF!)*100/#REF!)</f>
        <v>0</v>
      </c>
      <c r="AN37" s="22">
        <f>IF(H37=0,0,(H37-#REF!)*100/#REF!)</f>
        <v>0</v>
      </c>
      <c r="AO37" s="22">
        <f>IF(I37=0,0,(I37-#REF!)*100/#REF!)</f>
        <v>0</v>
      </c>
      <c r="AP37" s="22">
        <f>IF(J37=0,0,(J37-#REF!)*100/#REF!)</f>
        <v>0</v>
      </c>
      <c r="AQ37" s="22">
        <f>IF(K37=0,0,(K37-#REF!)*100/#REF!)</f>
        <v>0</v>
      </c>
      <c r="AR37" s="22">
        <f>IF(L37=0,0,(L37-#REF!)*100/#REF!)</f>
        <v>0</v>
      </c>
      <c r="AS37" s="22">
        <f>IF(M37=0,0,(M37-#REF!)*100/#REF!)</f>
        <v>0</v>
      </c>
      <c r="AT37" s="22">
        <f>IF(N37=0,0,(N37-#REF!)*100/#REF!)</f>
        <v>0</v>
      </c>
      <c r="AU37" s="22">
        <f>IF(O37=0,0,(O37-#REF!)*100/#REF!)</f>
        <v>0</v>
      </c>
      <c r="AV37" s="22">
        <f>IF(P37=0,0,(P37-#REF!)*100/#REF!)</f>
        <v>0</v>
      </c>
      <c r="AW37" s="22">
        <f>IF(Q37=0,0,(Q37-#REF!)*100/#REF!)</f>
        <v>0</v>
      </c>
      <c r="AX37" s="22">
        <f>IF(R37=0,0,(R37-#REF!)*100/#REF!)</f>
        <v>0</v>
      </c>
      <c r="AY37" s="22">
        <f>IF(S37=0,0,(S37-#REF!)*100/#REF!)</f>
        <v>0</v>
      </c>
      <c r="AZ37" s="22">
        <f>IF(T37=0,0,(T37-#REF!)*100/#REF!)</f>
        <v>0</v>
      </c>
      <c r="BA37" s="22">
        <f>IF(U37=0,0,(U37-#REF!)*100/#REF!)</f>
        <v>0</v>
      </c>
      <c r="BB37" s="22">
        <f>IF(V37=0,0,(V37-#REF!)*100/#REF!)</f>
        <v>0</v>
      </c>
      <c r="BC37" s="22">
        <f>IF(W37=0,0,(W37-#REF!)*100/#REF!)</f>
        <v>0</v>
      </c>
      <c r="BD37" s="22">
        <f>IF(X37=0,0,(X37-#REF!)*100/#REF!)</f>
        <v>0</v>
      </c>
      <c r="BE37" s="22">
        <f>IF(Y37=0,0,(Y37-#REF!)*100/#REF!)</f>
        <v>0</v>
      </c>
      <c r="BF37" s="22">
        <f>IF(Z37=0,0,(Z37-#REF!)*100/#REF!)</f>
        <v>0</v>
      </c>
      <c r="BG37" s="22">
        <f>IF(AA37=0,0,(AA37-#REF!)*100/#REF!)</f>
        <v>0</v>
      </c>
      <c r="BH37" s="22">
        <f>IF(AB37=0,0,(AB37-#REF!)*100/#REF!)</f>
        <v>0</v>
      </c>
      <c r="BI37" s="22">
        <f>IF(AC37=0,0,(AC37-#REF!)*100/#REF!)</f>
        <v>0</v>
      </c>
      <c r="BJ37" s="22">
        <f>IF(AD37=0,0,(AD37-#REF!)*100/#REF!)</f>
        <v>0</v>
      </c>
      <c r="BN37">
        <v>36</v>
      </c>
      <c r="BO37" s="23">
        <f t="shared" si="63"/>
        <v>0</v>
      </c>
      <c r="BP37" s="23">
        <f t="shared" si="64"/>
        <v>0</v>
      </c>
      <c r="BQ37" s="23">
        <f t="shared" si="65"/>
        <v>0</v>
      </c>
      <c r="BR37" s="23">
        <f t="shared" si="66"/>
        <v>0</v>
      </c>
      <c r="BS37" s="23">
        <f t="shared" si="67"/>
        <v>0</v>
      </c>
      <c r="BT37" s="23">
        <f t="shared" si="68"/>
        <v>0</v>
      </c>
      <c r="BU37" s="23">
        <f t="shared" si="69"/>
        <v>0</v>
      </c>
      <c r="BV37" s="23">
        <f t="shared" si="70"/>
        <v>0</v>
      </c>
      <c r="BW37" s="23">
        <f t="shared" si="71"/>
        <v>0</v>
      </c>
      <c r="BX37" s="23">
        <f t="shared" si="72"/>
        <v>0</v>
      </c>
      <c r="BY37" s="23">
        <f t="shared" si="73"/>
        <v>0</v>
      </c>
      <c r="BZ37" s="23">
        <f t="shared" si="74"/>
        <v>0</v>
      </c>
      <c r="CA37" s="23">
        <f t="shared" si="75"/>
        <v>0</v>
      </c>
      <c r="CB37" s="23">
        <f t="shared" si="76"/>
        <v>0</v>
      </c>
      <c r="CC37" s="23">
        <f t="shared" si="77"/>
        <v>0</v>
      </c>
      <c r="CD37" s="23">
        <f t="shared" si="78"/>
        <v>0</v>
      </c>
      <c r="CE37" s="23">
        <f t="shared" si="79"/>
        <v>0</v>
      </c>
      <c r="CF37" s="23">
        <f t="shared" si="80"/>
        <v>0</v>
      </c>
      <c r="CG37" s="23">
        <f t="shared" si="81"/>
        <v>0</v>
      </c>
      <c r="CH37" s="23">
        <f t="shared" si="82"/>
        <v>0</v>
      </c>
      <c r="CI37" s="23">
        <f t="shared" si="83"/>
        <v>0</v>
      </c>
      <c r="CJ37" s="23">
        <f t="shared" si="84"/>
        <v>0</v>
      </c>
      <c r="CK37" s="23">
        <f t="shared" si="85"/>
        <v>0</v>
      </c>
      <c r="CL37" s="23">
        <f t="shared" si="86"/>
        <v>0</v>
      </c>
      <c r="CM37" s="23">
        <f t="shared" si="87"/>
        <v>0</v>
      </c>
      <c r="CN37" s="23">
        <f t="shared" si="88"/>
        <v>0</v>
      </c>
      <c r="CO37" s="23">
        <f t="shared" si="89"/>
        <v>0</v>
      </c>
      <c r="CP37" s="23">
        <f t="shared" si="90"/>
        <v>0</v>
      </c>
      <c r="CU37" s="13">
        <v>36</v>
      </c>
      <c r="CV37" s="24">
        <f t="shared" si="91"/>
        <v>0</v>
      </c>
      <c r="CW37" s="24">
        <f t="shared" si="92"/>
        <v>0</v>
      </c>
      <c r="CX37" s="24">
        <f t="shared" si="93"/>
        <v>0</v>
      </c>
      <c r="CY37" s="24">
        <f t="shared" si="94"/>
        <v>0</v>
      </c>
      <c r="CZ37" s="24">
        <f t="shared" si="95"/>
        <v>0</v>
      </c>
      <c r="DA37" s="24">
        <f t="shared" si="96"/>
        <v>0</v>
      </c>
      <c r="DB37" s="24">
        <f t="shared" si="97"/>
        <v>0</v>
      </c>
      <c r="DC37" s="24">
        <f t="shared" si="98"/>
        <v>0</v>
      </c>
      <c r="DF37" s="30">
        <v>36</v>
      </c>
      <c r="DG37" s="26">
        <f t="shared" si="99"/>
        <v>0</v>
      </c>
      <c r="DH37" s="26">
        <f t="shared" si="100"/>
        <v>0</v>
      </c>
      <c r="DI37" s="26">
        <f t="shared" si="101"/>
        <v>0</v>
      </c>
      <c r="DJ37" s="26">
        <f t="shared" si="102"/>
        <v>0</v>
      </c>
      <c r="DK37" s="26">
        <f t="shared" si="103"/>
        <v>0</v>
      </c>
      <c r="DL37" s="26">
        <f t="shared" si="104"/>
        <v>0</v>
      </c>
      <c r="DM37" s="26">
        <f t="shared" si="105"/>
        <v>0</v>
      </c>
      <c r="DN37" s="26">
        <f t="shared" si="106"/>
        <v>0</v>
      </c>
      <c r="DO37" s="26">
        <f t="shared" si="107"/>
        <v>0</v>
      </c>
      <c r="DP37" s="26">
        <f t="shared" si="108"/>
        <v>0</v>
      </c>
      <c r="DQ37" s="26">
        <f t="shared" si="109"/>
        <v>0</v>
      </c>
      <c r="DR37" s="26">
        <f t="shared" si="110"/>
        <v>0</v>
      </c>
      <c r="DS37" s="47">
        <f t="shared" si="111"/>
        <v>0</v>
      </c>
      <c r="DT37" s="47">
        <f t="shared" si="112"/>
        <v>0</v>
      </c>
      <c r="DX37">
        <v>36</v>
      </c>
      <c r="DY37" s="19">
        <f t="shared" si="113"/>
        <v>0</v>
      </c>
      <c r="EM37" s="13">
        <v>36</v>
      </c>
      <c r="EN37" s="16">
        <f t="shared" si="114"/>
        <v>0</v>
      </c>
      <c r="EO37" s="16">
        <f t="shared" si="115"/>
        <v>0</v>
      </c>
      <c r="EP37" s="16">
        <f t="shared" si="116"/>
        <v>0</v>
      </c>
      <c r="EQ37" s="16">
        <f t="shared" si="117"/>
        <v>0</v>
      </c>
      <c r="ER37" s="16">
        <f t="shared" si="118"/>
        <v>0</v>
      </c>
      <c r="ES37" s="16">
        <f t="shared" si="119"/>
        <v>0</v>
      </c>
      <c r="ET37" s="16">
        <f t="shared" si="120"/>
        <v>0</v>
      </c>
      <c r="EU37" s="16">
        <f t="shared" si="121"/>
        <v>0</v>
      </c>
      <c r="FK37" s="20"/>
      <c r="FL37" s="20"/>
    </row>
    <row r="38" spans="3:168" x14ac:dyDescent="0.3">
      <c r="FK38" s="20"/>
      <c r="FL38" s="20"/>
    </row>
    <row r="39" spans="3:168" x14ac:dyDescent="0.3">
      <c r="FK39" s="20"/>
      <c r="FL39" s="20"/>
    </row>
    <row r="40" spans="3:168" x14ac:dyDescent="0.3">
      <c r="FK40" s="20"/>
      <c r="FL40" s="20"/>
    </row>
    <row r="41" spans="3:168" x14ac:dyDescent="0.3">
      <c r="FK41" s="20"/>
      <c r="FL41" s="20"/>
    </row>
    <row r="42" spans="3:168" x14ac:dyDescent="0.3">
      <c r="FK42" s="20"/>
      <c r="FL42" s="20"/>
    </row>
    <row r="43" spans="3:168" x14ac:dyDescent="0.3">
      <c r="FK43" s="20"/>
      <c r="FL43" s="20"/>
    </row>
    <row r="44" spans="3:168" x14ac:dyDescent="0.3">
      <c r="FK44" s="20"/>
      <c r="FL44" s="20"/>
    </row>
    <row r="45" spans="3:168" x14ac:dyDescent="0.3">
      <c r="FK45" s="20"/>
      <c r="FL45" s="20"/>
    </row>
    <row r="46" spans="3:168" x14ac:dyDescent="0.3">
      <c r="FK46" s="20"/>
      <c r="FL46" s="20"/>
    </row>
    <row r="47" spans="3:168" x14ac:dyDescent="0.3">
      <c r="FK47" s="20"/>
      <c r="FL47" s="20"/>
    </row>
    <row r="48" spans="3:168" x14ac:dyDescent="0.3">
      <c r="FK48" s="20"/>
      <c r="FL48" s="20"/>
    </row>
    <row r="49" spans="167:168" x14ac:dyDescent="0.3">
      <c r="FK49" s="20"/>
      <c r="FL49" s="20"/>
    </row>
    <row r="50" spans="167:168" x14ac:dyDescent="0.3">
      <c r="FK50" s="20"/>
      <c r="FL50" s="20"/>
    </row>
    <row r="51" spans="167:168" x14ac:dyDescent="0.3">
      <c r="FK51" s="20"/>
      <c r="FL51" s="20"/>
    </row>
    <row r="52" spans="167:168" x14ac:dyDescent="0.3">
      <c r="FK52" s="20"/>
      <c r="FL52" s="20"/>
    </row>
    <row r="53" spans="167:168" x14ac:dyDescent="0.3">
      <c r="FK53" s="20"/>
      <c r="FL53" s="20"/>
    </row>
    <row r="54" spans="167:168" x14ac:dyDescent="0.3">
      <c r="FK54" s="20"/>
      <c r="FL54" s="20"/>
    </row>
    <row r="55" spans="167:168" x14ac:dyDescent="0.3">
      <c r="FK55" s="20"/>
      <c r="FL55" s="20"/>
    </row>
    <row r="56" spans="167:168" x14ac:dyDescent="0.3">
      <c r="FK56" s="20"/>
      <c r="FL56" s="20"/>
    </row>
    <row r="57" spans="167:168" x14ac:dyDescent="0.3">
      <c r="FK57" s="20"/>
      <c r="FL57" s="20"/>
    </row>
    <row r="58" spans="167:168" x14ac:dyDescent="0.3">
      <c r="FK58" s="20"/>
      <c r="FL58" s="20"/>
    </row>
    <row r="59" spans="167:168" x14ac:dyDescent="0.3">
      <c r="FK59" s="20"/>
      <c r="FL59" s="20"/>
    </row>
    <row r="60" spans="167:168" x14ac:dyDescent="0.3">
      <c r="FK60" s="20"/>
      <c r="FL60" s="20"/>
    </row>
    <row r="61" spans="167:168" x14ac:dyDescent="0.3">
      <c r="FK61" s="20"/>
      <c r="FL61" s="20"/>
    </row>
    <row r="62" spans="167:168" x14ac:dyDescent="0.3">
      <c r="FK62" s="20"/>
      <c r="FL62" s="20"/>
    </row>
    <row r="63" spans="167:168" x14ac:dyDescent="0.3">
      <c r="FK63" s="20"/>
      <c r="FL63" s="20"/>
    </row>
    <row r="64" spans="167:168" x14ac:dyDescent="0.3">
      <c r="FK64" s="20"/>
      <c r="FL64" s="20"/>
    </row>
    <row r="65" spans="167:168" x14ac:dyDescent="0.3">
      <c r="FK65" s="20"/>
      <c r="FL65" s="20"/>
    </row>
    <row r="66" spans="167:168" x14ac:dyDescent="0.3">
      <c r="FK66" s="20"/>
      <c r="FL66" s="20"/>
    </row>
    <row r="67" spans="167:168" x14ac:dyDescent="0.3">
      <c r="FK67" s="20"/>
      <c r="FL67" s="20"/>
    </row>
    <row r="68" spans="167:168" x14ac:dyDescent="0.3">
      <c r="FK68" s="20"/>
      <c r="FL68" s="20"/>
    </row>
    <row r="69" spans="167:168" x14ac:dyDescent="0.3">
      <c r="FK69" s="20"/>
      <c r="FL69" s="20"/>
    </row>
    <row r="70" spans="167:168" x14ac:dyDescent="0.3">
      <c r="FK70" s="20"/>
      <c r="FL70" s="20"/>
    </row>
    <row r="71" spans="167:168" x14ac:dyDescent="0.3">
      <c r="FK71" s="20"/>
      <c r="FL71" s="20"/>
    </row>
    <row r="72" spans="167:168" x14ac:dyDescent="0.3">
      <c r="FK72" s="20"/>
      <c r="FL72" s="20"/>
    </row>
    <row r="73" spans="167:168" x14ac:dyDescent="0.3">
      <c r="FK73" s="20"/>
      <c r="FL73" s="20"/>
    </row>
    <row r="74" spans="167:168" x14ac:dyDescent="0.3">
      <c r="FK74" s="20"/>
      <c r="FL74" s="20"/>
    </row>
    <row r="75" spans="167:168" x14ac:dyDescent="0.3">
      <c r="FK75" s="20"/>
      <c r="FL75" s="20"/>
    </row>
    <row r="76" spans="167:168" x14ac:dyDescent="0.3">
      <c r="FK76" s="20"/>
      <c r="FL76" s="20"/>
    </row>
    <row r="77" spans="167:168" x14ac:dyDescent="0.3">
      <c r="FK77" s="20"/>
      <c r="FL77" s="20"/>
    </row>
    <row r="78" spans="167:168" x14ac:dyDescent="0.3">
      <c r="FK78" s="20"/>
      <c r="FL78" s="20"/>
    </row>
    <row r="79" spans="167:168" x14ac:dyDescent="0.3">
      <c r="FK79" s="20"/>
      <c r="FL79" s="20"/>
    </row>
    <row r="80" spans="167:168" x14ac:dyDescent="0.3">
      <c r="FK80" s="20"/>
      <c r="FL80" s="20"/>
    </row>
    <row r="81" spans="167:168" x14ac:dyDescent="0.3">
      <c r="FK81" s="20"/>
      <c r="FL81" s="20"/>
    </row>
    <row r="82" spans="167:168" x14ac:dyDescent="0.3">
      <c r="FK82" s="20"/>
      <c r="FL82" s="20"/>
    </row>
    <row r="83" spans="167:168" x14ac:dyDescent="0.3">
      <c r="FK83" s="20"/>
      <c r="FL83" s="20"/>
    </row>
    <row r="84" spans="167:168" x14ac:dyDescent="0.3">
      <c r="FK84" s="20"/>
      <c r="FL84" s="20"/>
    </row>
    <row r="85" spans="167:168" x14ac:dyDescent="0.3">
      <c r="FK85" s="20"/>
      <c r="FL85" s="20"/>
    </row>
    <row r="86" spans="167:168" x14ac:dyDescent="0.3">
      <c r="FK86" s="20"/>
      <c r="FL86" s="20"/>
    </row>
    <row r="87" spans="167:168" x14ac:dyDescent="0.3">
      <c r="FK87" s="20"/>
      <c r="FL87" s="20"/>
    </row>
    <row r="88" spans="167:168" x14ac:dyDescent="0.3">
      <c r="FK88" s="20"/>
      <c r="FL88" s="20"/>
    </row>
    <row r="89" spans="167:168" x14ac:dyDescent="0.3">
      <c r="FK89" s="20"/>
      <c r="FL89" s="20"/>
    </row>
    <row r="90" spans="167:168" x14ac:dyDescent="0.3">
      <c r="FK90" s="20"/>
      <c r="FL90" s="20"/>
    </row>
    <row r="91" spans="167:168" x14ac:dyDescent="0.3">
      <c r="FK91" s="20"/>
      <c r="FL91" s="20"/>
    </row>
    <row r="92" spans="167:168" x14ac:dyDescent="0.3">
      <c r="FK92" s="20"/>
      <c r="FL92" s="20"/>
    </row>
    <row r="93" spans="167:168" x14ac:dyDescent="0.3">
      <c r="FK93" s="20"/>
      <c r="FL93" s="20"/>
    </row>
    <row r="94" spans="167:168" x14ac:dyDescent="0.3">
      <c r="FK94" s="20"/>
      <c r="FL94" s="20"/>
    </row>
    <row r="95" spans="167:168" x14ac:dyDescent="0.3">
      <c r="FK95" s="20"/>
      <c r="FL95" s="20"/>
    </row>
    <row r="96" spans="167:168" x14ac:dyDescent="0.3">
      <c r="FK96" s="20"/>
      <c r="FL96" s="20"/>
    </row>
    <row r="97" spans="167:168" x14ac:dyDescent="0.3">
      <c r="FK97" s="20"/>
      <c r="FL97" s="20"/>
    </row>
    <row r="98" spans="167:168" x14ac:dyDescent="0.3">
      <c r="FK98" s="20"/>
      <c r="FL98" s="20"/>
    </row>
    <row r="99" spans="167:168" x14ac:dyDescent="0.3">
      <c r="FK99" s="20"/>
      <c r="FL99" s="20"/>
    </row>
    <row r="100" spans="167:168" x14ac:dyDescent="0.3">
      <c r="FK100" s="20"/>
      <c r="FL100" s="20"/>
    </row>
    <row r="101" spans="167:168" x14ac:dyDescent="0.3">
      <c r="FK101" s="20"/>
      <c r="FL101" s="20"/>
    </row>
    <row r="102" spans="167:168" x14ac:dyDescent="0.3">
      <c r="FK102" s="20"/>
      <c r="FL102" s="20"/>
    </row>
    <row r="103" spans="167:168" x14ac:dyDescent="0.3">
      <c r="FK103" s="20"/>
      <c r="FL103" s="20"/>
    </row>
    <row r="104" spans="167:168" x14ac:dyDescent="0.3">
      <c r="FK104" s="20"/>
      <c r="FL104" s="20"/>
    </row>
    <row r="105" spans="167:168" x14ac:dyDescent="0.3">
      <c r="FK105" s="20"/>
      <c r="FL105" s="20"/>
    </row>
    <row r="106" spans="167:168" x14ac:dyDescent="0.3">
      <c r="FK106" s="20"/>
      <c r="FL106" s="20"/>
    </row>
    <row r="107" spans="167:168" x14ac:dyDescent="0.3">
      <c r="FK107" s="20"/>
      <c r="FL107" s="20"/>
    </row>
    <row r="108" spans="167:168" x14ac:dyDescent="0.3">
      <c r="FK108" s="20"/>
      <c r="FL108" s="20"/>
    </row>
    <row r="109" spans="167:168" x14ac:dyDescent="0.3">
      <c r="FK109" s="20"/>
      <c r="FL109" s="20"/>
    </row>
    <row r="110" spans="167:168" x14ac:dyDescent="0.3">
      <c r="FK110" s="20"/>
      <c r="FL110" s="20"/>
    </row>
    <row r="111" spans="167:168" x14ac:dyDescent="0.3">
      <c r="FK111" s="20"/>
      <c r="FL111" s="20"/>
    </row>
    <row r="112" spans="167:168" x14ac:dyDescent="0.3">
      <c r="FK112" s="20"/>
      <c r="FL112" s="20"/>
    </row>
    <row r="113" spans="167:168" x14ac:dyDescent="0.3">
      <c r="FK113" s="20"/>
      <c r="FL113" s="20"/>
    </row>
    <row r="114" spans="167:168" x14ac:dyDescent="0.3">
      <c r="FK114" s="20"/>
      <c r="FL114" s="20"/>
    </row>
    <row r="115" spans="167:168" x14ac:dyDescent="0.3">
      <c r="FK115" s="20"/>
      <c r="FL115" s="20"/>
    </row>
    <row r="116" spans="167:168" x14ac:dyDescent="0.3">
      <c r="FK116" s="20"/>
      <c r="FL116" s="20"/>
    </row>
    <row r="117" spans="167:168" x14ac:dyDescent="0.3">
      <c r="FK117" s="20"/>
      <c r="FL117" s="20"/>
    </row>
    <row r="118" spans="167:168" x14ac:dyDescent="0.3">
      <c r="FK118" s="20"/>
      <c r="FL118" s="20"/>
    </row>
    <row r="119" spans="167:168" x14ac:dyDescent="0.3">
      <c r="FK119" s="20"/>
      <c r="FL119" s="20"/>
    </row>
  </sheetData>
  <conditionalFormatting sqref="EW2:EW9">
    <cfRule type="top10" dxfId="12" priority="37" bottom="1" rank="2"/>
    <cfRule type="top10" dxfId="11" priority="38" rank="2"/>
  </conditionalFormatting>
  <conditionalFormatting sqref="EB2:EI2">
    <cfRule type="containsText" dxfId="5" priority="1" operator="containsText" text="Sell">
      <formula>NOT(ISERROR(SEARCH("Sell",EB2)))</formula>
    </cfRule>
    <cfRule type="containsText" dxfId="4" priority="2" operator="containsText" text="Buy">
      <formula>NOT(ISERROR(SEARCH("Buy",EB2)))</formula>
    </cfRule>
    <cfRule type="expression" dxfId="3" priority="3">
      <formula>"EC2=""Buy"""</formula>
    </cfRule>
  </conditionalFormatting>
  <dataValidations count="1">
    <dataValidation type="list" allowBlank="1" showInputMessage="1" showErrorMessage="1" sqref="EB2:EI2" xr:uid="{E9D37C49-DA21-4EDA-994B-13344D878419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51A5-7B57-4AC8-AB27-9E318D34D459}">
  <dimension ref="A1:FN119"/>
  <sheetViews>
    <sheetView topLeftCell="DQ1" zoomScale="55" zoomScaleNormal="55" workbookViewId="0">
      <selection activeCell="EH41" sqref="EH41"/>
    </sheetView>
  </sheetViews>
  <sheetFormatPr defaultRowHeight="13.8" x14ac:dyDescent="0.3"/>
  <cols>
    <col min="1" max="1" width="15.109375" bestFit="1" customWidth="1"/>
    <col min="2" max="2" width="15.109375" customWidth="1"/>
    <col min="3" max="3" width="17.33203125" bestFit="1" customWidth="1"/>
    <col min="4" max="4" width="17" bestFit="1" customWidth="1"/>
    <col min="5" max="5" width="16.6640625" bestFit="1" customWidth="1"/>
    <col min="6" max="6" width="17" bestFit="1" customWidth="1"/>
    <col min="7" max="7" width="17.33203125" bestFit="1" customWidth="1"/>
    <col min="8" max="10" width="17" bestFit="1" customWidth="1"/>
    <col min="11" max="11" width="16.6640625" bestFit="1" customWidth="1"/>
    <col min="12" max="12" width="16.44140625" bestFit="1" customWidth="1"/>
    <col min="13" max="13" width="17" bestFit="1" customWidth="1"/>
    <col min="14" max="14" width="16.6640625" bestFit="1" customWidth="1"/>
    <col min="15" max="16" width="17.33203125" bestFit="1" customWidth="1"/>
    <col min="17" max="17" width="17" bestFit="1" customWidth="1"/>
    <col min="18" max="18" width="17.33203125" bestFit="1" customWidth="1"/>
    <col min="19" max="19" width="17" bestFit="1" customWidth="1"/>
    <col min="20" max="20" width="16.6640625" bestFit="1" customWidth="1"/>
    <col min="21" max="21" width="16.44140625" bestFit="1" customWidth="1"/>
    <col min="22" max="22" width="16.6640625" bestFit="1" customWidth="1"/>
    <col min="23" max="24" width="17" bestFit="1" customWidth="1"/>
    <col min="25" max="25" width="16.6640625" bestFit="1" customWidth="1"/>
    <col min="26" max="26" width="17" bestFit="1" customWidth="1"/>
    <col min="27" max="27" width="16.44140625" bestFit="1" customWidth="1"/>
    <col min="28" max="28" width="17.33203125" bestFit="1" customWidth="1"/>
    <col min="29" max="29" width="17" bestFit="1" customWidth="1"/>
    <col min="30" max="30" width="16.6640625" bestFit="1" customWidth="1"/>
    <col min="34" max="34" width="9.5546875" bestFit="1" customWidth="1"/>
    <col min="35" max="35" width="17.33203125" bestFit="1" customWidth="1"/>
    <col min="36" max="36" width="17" bestFit="1" customWidth="1"/>
    <col min="37" max="37" width="16.6640625" bestFit="1" customWidth="1"/>
    <col min="38" max="38" width="17" bestFit="1" customWidth="1"/>
    <col min="39" max="39" width="17.33203125" bestFit="1" customWidth="1"/>
    <col min="40" max="42" width="17" bestFit="1" customWidth="1"/>
    <col min="43" max="43" width="16.6640625" bestFit="1" customWidth="1"/>
    <col min="44" max="44" width="16.44140625" bestFit="1" customWidth="1"/>
    <col min="45" max="45" width="17" bestFit="1" customWidth="1"/>
    <col min="46" max="46" width="16.6640625" bestFit="1" customWidth="1"/>
    <col min="47" max="48" width="17.33203125" bestFit="1" customWidth="1"/>
    <col min="49" max="49" width="17" bestFit="1" customWidth="1"/>
    <col min="50" max="50" width="17.33203125" bestFit="1" customWidth="1"/>
    <col min="51" max="51" width="17" bestFit="1" customWidth="1"/>
    <col min="52" max="52" width="16.6640625" bestFit="1" customWidth="1"/>
    <col min="53" max="53" width="16.44140625" bestFit="1" customWidth="1"/>
    <col min="54" max="54" width="16.6640625" bestFit="1" customWidth="1"/>
    <col min="55" max="56" width="17" bestFit="1" customWidth="1"/>
    <col min="57" max="57" width="16.6640625" bestFit="1" customWidth="1"/>
    <col min="58" max="58" width="17" bestFit="1" customWidth="1"/>
    <col min="59" max="59" width="16.44140625" bestFit="1" customWidth="1"/>
    <col min="60" max="60" width="17.33203125" bestFit="1" customWidth="1"/>
    <col min="61" max="61" width="17" bestFit="1" customWidth="1"/>
    <col min="62" max="62" width="16.6640625" customWidth="1"/>
    <col min="67" max="84" width="14.6640625" bestFit="1" customWidth="1"/>
    <col min="85" max="91" width="14.6640625" hidden="1" customWidth="1"/>
    <col min="92" max="92" width="13.88671875" hidden="1" customWidth="1"/>
    <col min="93" max="94" width="14.6640625" hidden="1" customWidth="1"/>
    <col min="99" max="99" width="5" bestFit="1" customWidth="1"/>
    <col min="100" max="106" width="9.5546875" bestFit="1" customWidth="1"/>
    <col min="107" max="107" width="9.33203125" bestFit="1" customWidth="1"/>
    <col min="108" max="108" width="12.44140625" bestFit="1" customWidth="1"/>
    <col min="109" max="109" width="12.109375" customWidth="1"/>
    <col min="110" max="111" width="12.6640625" customWidth="1"/>
    <col min="112" max="112" width="12.44140625" customWidth="1"/>
    <col min="113" max="113" width="12.6640625" customWidth="1"/>
    <col min="114" max="114" width="12.44140625" customWidth="1"/>
    <col min="115" max="115" width="12.109375" customWidth="1"/>
    <col min="116" max="116" width="11.88671875" customWidth="1"/>
    <col min="117" max="117" width="12.109375" customWidth="1"/>
    <col min="118" max="119" width="12.44140625" customWidth="1"/>
    <col min="120" max="120" width="12.109375" customWidth="1"/>
    <col min="121" max="121" width="12.44140625" customWidth="1"/>
    <col min="122" max="122" width="11.88671875" customWidth="1"/>
    <col min="123" max="123" width="12.6640625" customWidth="1"/>
    <col min="124" max="124" width="12.44140625" customWidth="1"/>
    <col min="125" max="125" width="12.109375" customWidth="1"/>
    <col min="126" max="126" width="9.109375" customWidth="1"/>
    <col min="129" max="129" width="21.109375" bestFit="1" customWidth="1"/>
    <col min="131" max="131" width="11.44140625" bestFit="1" customWidth="1"/>
    <col min="143" max="143" width="4.44140625" customWidth="1"/>
    <col min="144" max="144" width="8.6640625" customWidth="1"/>
    <col min="145" max="145" width="9.88671875" customWidth="1"/>
    <col min="146" max="147" width="9.33203125" customWidth="1"/>
    <col min="148" max="151" width="9.88671875" customWidth="1"/>
    <col min="152" max="152" width="8.88671875" customWidth="1"/>
    <col min="153" max="153" width="27.21875" bestFit="1" customWidth="1"/>
    <col min="154" max="154" width="10.77734375" bestFit="1" customWidth="1"/>
    <col min="155" max="155" width="4.44140625" bestFit="1" customWidth="1"/>
    <col min="156" max="156" width="4.5546875" bestFit="1" customWidth="1"/>
    <col min="157" max="157" width="4.88671875" bestFit="1" customWidth="1"/>
    <col min="158" max="158" width="5.109375" bestFit="1" customWidth="1"/>
    <col min="159" max="166" width="11.109375" bestFit="1" customWidth="1"/>
    <col min="168" max="168" width="10.88671875" bestFit="1" customWidth="1"/>
  </cols>
  <sheetData>
    <row r="1" spans="1:170" s="2" customFormat="1" ht="21" customHeight="1" thickBot="1" x14ac:dyDescent="0.35">
      <c r="A1" s="1" t="s">
        <v>0</v>
      </c>
      <c r="B1" s="1"/>
      <c r="C1" s="32" t="s">
        <v>1</v>
      </c>
      <c r="D1" s="32" t="s">
        <v>2</v>
      </c>
      <c r="E1" s="33" t="s">
        <v>3</v>
      </c>
      <c r="F1" s="33" t="s">
        <v>4</v>
      </c>
      <c r="G1" s="33" t="s">
        <v>5</v>
      </c>
      <c r="H1" s="33" t="s">
        <v>6</v>
      </c>
      <c r="I1" s="33" t="s">
        <v>7</v>
      </c>
      <c r="J1" s="33" t="s">
        <v>8</v>
      </c>
      <c r="K1" s="33" t="s">
        <v>9</v>
      </c>
      <c r="L1" s="33" t="s">
        <v>10</v>
      </c>
      <c r="M1" s="33" t="s">
        <v>11</v>
      </c>
      <c r="N1" s="33" t="s">
        <v>12</v>
      </c>
      <c r="O1" s="33" t="s">
        <v>13</v>
      </c>
      <c r="P1" s="33" t="s">
        <v>14</v>
      </c>
      <c r="Q1" s="33" t="s">
        <v>15</v>
      </c>
      <c r="R1" s="33" t="s">
        <v>16</v>
      </c>
      <c r="S1" s="33" t="s">
        <v>17</v>
      </c>
      <c r="T1" s="33" t="s">
        <v>18</v>
      </c>
      <c r="U1" s="33" t="s">
        <v>19</v>
      </c>
      <c r="V1" s="33" t="s">
        <v>20</v>
      </c>
      <c r="W1" s="33" t="s">
        <v>21</v>
      </c>
      <c r="X1" s="33" t="s">
        <v>22</v>
      </c>
      <c r="Y1" s="33" t="s">
        <v>23</v>
      </c>
      <c r="Z1" s="33" t="s">
        <v>24</v>
      </c>
      <c r="AA1" s="33" t="s">
        <v>25</v>
      </c>
      <c r="AB1" s="33" t="s">
        <v>26</v>
      </c>
      <c r="AC1" s="33" t="s">
        <v>27</v>
      </c>
      <c r="AD1" s="33" t="s">
        <v>28</v>
      </c>
      <c r="AH1" s="3" t="s">
        <v>29</v>
      </c>
      <c r="AI1" s="4" t="s">
        <v>1</v>
      </c>
      <c r="AJ1" s="4" t="s">
        <v>2</v>
      </c>
      <c r="AK1" s="5" t="s">
        <v>3</v>
      </c>
      <c r="AL1" s="5" t="s">
        <v>4</v>
      </c>
      <c r="AM1" s="5" t="s">
        <v>5</v>
      </c>
      <c r="AN1" s="5" t="s">
        <v>6</v>
      </c>
      <c r="AO1" s="5" t="s">
        <v>7</v>
      </c>
      <c r="AP1" s="5" t="s">
        <v>8</v>
      </c>
      <c r="AQ1" s="5" t="s">
        <v>9</v>
      </c>
      <c r="AR1" s="5" t="s">
        <v>10</v>
      </c>
      <c r="AS1" s="5" t="s">
        <v>11</v>
      </c>
      <c r="AT1" s="5" t="s">
        <v>12</v>
      </c>
      <c r="AU1" s="5" t="s">
        <v>13</v>
      </c>
      <c r="AV1" s="5" t="s">
        <v>14</v>
      </c>
      <c r="AW1" s="5" t="s">
        <v>15</v>
      </c>
      <c r="AX1" s="5" t="s">
        <v>16</v>
      </c>
      <c r="AY1" s="5" t="s">
        <v>17</v>
      </c>
      <c r="AZ1" s="5" t="s">
        <v>18</v>
      </c>
      <c r="BA1" s="5" t="s">
        <v>19</v>
      </c>
      <c r="BB1" s="5" t="s">
        <v>20</v>
      </c>
      <c r="BC1" s="5" t="s">
        <v>21</v>
      </c>
      <c r="BD1" s="5" t="s">
        <v>22</v>
      </c>
      <c r="BE1" s="5" t="s">
        <v>23</v>
      </c>
      <c r="BF1" s="5" t="s">
        <v>24</v>
      </c>
      <c r="BG1" s="5" t="s">
        <v>25</v>
      </c>
      <c r="BH1" s="5" t="s">
        <v>26</v>
      </c>
      <c r="BI1" s="5" t="s">
        <v>27</v>
      </c>
      <c r="BJ1" s="5" t="s">
        <v>28</v>
      </c>
      <c r="BN1" s="6" t="s">
        <v>29</v>
      </c>
      <c r="BO1" s="7" t="s">
        <v>1</v>
      </c>
      <c r="BP1" s="7" t="s">
        <v>2</v>
      </c>
      <c r="BQ1" s="8" t="s">
        <v>3</v>
      </c>
      <c r="BR1" s="8" t="s">
        <v>4</v>
      </c>
      <c r="BS1" s="8" t="s">
        <v>5</v>
      </c>
      <c r="BT1" s="8" t="s">
        <v>6</v>
      </c>
      <c r="BU1" s="8" t="s">
        <v>7</v>
      </c>
      <c r="BV1" s="8" t="s">
        <v>8</v>
      </c>
      <c r="BW1" s="8" t="s">
        <v>9</v>
      </c>
      <c r="BX1" s="8" t="s">
        <v>10</v>
      </c>
      <c r="BY1" s="8" t="s">
        <v>11</v>
      </c>
      <c r="BZ1" s="8" t="s">
        <v>12</v>
      </c>
      <c r="CA1" s="8" t="s">
        <v>13</v>
      </c>
      <c r="CB1" s="8" t="s">
        <v>14</v>
      </c>
      <c r="CC1" s="8" t="s">
        <v>15</v>
      </c>
      <c r="CD1" s="8" t="s">
        <v>16</v>
      </c>
      <c r="CE1" s="8" t="s">
        <v>17</v>
      </c>
      <c r="CF1" s="8" t="s">
        <v>18</v>
      </c>
      <c r="CG1" s="8" t="s">
        <v>19</v>
      </c>
      <c r="CH1" s="8" t="s">
        <v>20</v>
      </c>
      <c r="CI1" s="8" t="s">
        <v>21</v>
      </c>
      <c r="CJ1" s="8" t="s">
        <v>22</v>
      </c>
      <c r="CK1" s="8" t="s">
        <v>23</v>
      </c>
      <c r="CL1" s="8" t="s">
        <v>24</v>
      </c>
      <c r="CM1" s="8" t="s">
        <v>25</v>
      </c>
      <c r="CN1" s="8" t="s">
        <v>26</v>
      </c>
      <c r="CO1" s="8" t="s">
        <v>27</v>
      </c>
      <c r="CP1" s="8" t="s">
        <v>28</v>
      </c>
      <c r="CU1" s="9" t="s">
        <v>29</v>
      </c>
      <c r="CV1" s="9" t="s">
        <v>30</v>
      </c>
      <c r="CW1" s="9" t="s">
        <v>31</v>
      </c>
      <c r="CX1" s="9" t="s">
        <v>32</v>
      </c>
      <c r="CY1" s="9" t="s">
        <v>33</v>
      </c>
      <c r="CZ1" s="9" t="s">
        <v>34</v>
      </c>
      <c r="DA1" s="9" t="s">
        <v>35</v>
      </c>
      <c r="DB1" s="9" t="s">
        <v>36</v>
      </c>
      <c r="DC1" s="9" t="s">
        <v>37</v>
      </c>
      <c r="DF1" s="43" t="s">
        <v>29</v>
      </c>
      <c r="DG1" s="43" t="s">
        <v>26</v>
      </c>
      <c r="DH1" s="43" t="s">
        <v>7</v>
      </c>
      <c r="DI1" s="43" t="s">
        <v>27</v>
      </c>
      <c r="DJ1" s="43" t="s">
        <v>9</v>
      </c>
      <c r="DK1" s="43" t="s">
        <v>38</v>
      </c>
      <c r="DL1" s="43" t="s">
        <v>8</v>
      </c>
      <c r="DM1" s="43" t="s">
        <v>39</v>
      </c>
      <c r="DN1" s="43" t="s">
        <v>11</v>
      </c>
      <c r="DO1" s="43" t="s">
        <v>40</v>
      </c>
      <c r="DP1" s="43" t="s">
        <v>12</v>
      </c>
      <c r="DQ1" s="43" t="s">
        <v>28</v>
      </c>
      <c r="DR1" s="43" t="s">
        <v>10</v>
      </c>
      <c r="DS1" s="43" t="s">
        <v>41</v>
      </c>
      <c r="DT1" s="43" t="s">
        <v>56</v>
      </c>
      <c r="DX1" s="10" t="s">
        <v>29</v>
      </c>
      <c r="DY1" s="10" t="s">
        <v>43</v>
      </c>
      <c r="DZ1" s="10"/>
      <c r="EA1" s="10" t="s">
        <v>44</v>
      </c>
      <c r="EB1" s="10" t="s">
        <v>30</v>
      </c>
      <c r="EC1" s="10" t="s">
        <v>31</v>
      </c>
      <c r="ED1" s="10" t="s">
        <v>32</v>
      </c>
      <c r="EE1" s="10" t="s">
        <v>33</v>
      </c>
      <c r="EF1" s="10" t="s">
        <v>45</v>
      </c>
      <c r="EG1" s="10" t="s">
        <v>35</v>
      </c>
      <c r="EH1" s="10" t="s">
        <v>36</v>
      </c>
      <c r="EI1" s="10" t="s">
        <v>37</v>
      </c>
      <c r="EJ1" s="2" t="s">
        <v>46</v>
      </c>
      <c r="EM1" s="9" t="s">
        <v>29</v>
      </c>
      <c r="EN1" s="9" t="s">
        <v>30</v>
      </c>
      <c r="EO1" s="9" t="s">
        <v>31</v>
      </c>
      <c r="EP1" s="9" t="s">
        <v>32</v>
      </c>
      <c r="EQ1" s="9" t="s">
        <v>33</v>
      </c>
      <c r="ER1" s="9" t="s">
        <v>34</v>
      </c>
      <c r="ES1" s="9" t="s">
        <v>35</v>
      </c>
      <c r="ET1" s="9" t="s">
        <v>36</v>
      </c>
      <c r="EU1" s="9" t="s">
        <v>37</v>
      </c>
      <c r="EW1" s="11" t="s">
        <v>47</v>
      </c>
      <c r="FB1" s="9" t="s">
        <v>29</v>
      </c>
      <c r="FC1" s="9" t="s">
        <v>30</v>
      </c>
      <c r="FD1" s="9" t="s">
        <v>31</v>
      </c>
      <c r="FE1" s="9" t="s">
        <v>32</v>
      </c>
      <c r="FF1" s="9" t="s">
        <v>33</v>
      </c>
      <c r="FG1" s="9" t="s">
        <v>34</v>
      </c>
      <c r="FH1" s="9" t="s">
        <v>35</v>
      </c>
      <c r="FI1" s="9" t="s">
        <v>36</v>
      </c>
      <c r="FJ1" s="9" t="s">
        <v>37</v>
      </c>
    </row>
    <row r="2" spans="1:170" ht="14.4" thickBot="1" x14ac:dyDescent="0.35">
      <c r="A2" s="12">
        <f ca="1">NOW()</f>
        <v>45525.889024999997</v>
      </c>
      <c r="B2" s="12" t="s">
        <v>50</v>
      </c>
      <c r="C2" s="34">
        <f>RTD("fxbluelabs.excelrtd", , "21422436","@bh,AUDUSD,d1,close,0")</f>
        <v>0.67374999999999996</v>
      </c>
      <c r="D2" s="34">
        <f>RTD("fxbluelabs.excelrtd", , "21422436","@bh,AUDNZD,d1,close,0")</f>
        <v>1.09659</v>
      </c>
      <c r="E2" s="35">
        <f>RTD("fxbluelabs.excelrtd", , "21422436","@bh,AUDJPY,d1,close,0")</f>
        <v>98.275000000000006</v>
      </c>
      <c r="F2" s="34">
        <f>RTD("fxbluelabs.excelrtd", , "21422436","@bh,AUDCHF,d1,close,0")</f>
        <v>0.57557000000000003</v>
      </c>
      <c r="G2" s="34">
        <f>RTD("fxbluelabs.excelrtd", , "21422436","@bh,AUDCAD,d1,close,0")</f>
        <v>0.91644000000000003</v>
      </c>
      <c r="H2" s="34">
        <f>RTD("fxbluelabs.excelrtd", , "21422436","@bh,EURUSD,d1,close,0")</f>
        <v>1.11154</v>
      </c>
      <c r="I2" s="34">
        <f>RTD("fxbluelabs.excelrtd", , "21422436","@bh,EURCAD,d1,close,0")</f>
        <v>1.5118</v>
      </c>
      <c r="J2" s="34">
        <f>RTD("fxbluelabs.excelrtd", , "21422436","@bh,EURGBP,d1,close,0")</f>
        <v>0.85167000000000004</v>
      </c>
      <c r="K2" s="34">
        <f>RTD("fxbluelabs.excelrtd", , "21422436","@bh,EURCHF,d1,close,0")</f>
        <v>0.94925999999999999</v>
      </c>
      <c r="L2" s="35">
        <f>RTD("fxbluelabs.excelrtd", , "21422436","@bh,EURJPY,d1,close,0")</f>
        <v>162.12200000000001</v>
      </c>
      <c r="M2" s="34">
        <f>RTD("fxbluelabs.excelrtd", , "21422436","@bh,EURAUD,d1,close,0")</f>
        <v>1.6496900000000001</v>
      </c>
      <c r="N2" s="34">
        <f>RTD("fxbluelabs.excelrtd", , "21422436","@bh,EURNZD,d1,close,0")</f>
        <v>1.80907</v>
      </c>
      <c r="O2" s="34">
        <f>RTD("fxbluelabs.excelrtd", , "21422436","@bh,GBPUSD,d1,close,0")</f>
        <v>1.3048999999999999</v>
      </c>
      <c r="P2" s="34">
        <f>RTD("fxbluelabs.excelrtd", , "21422436","@bh,GBPAUD,d1,close,0")</f>
        <v>1.9369700000000001</v>
      </c>
      <c r="Q2" s="34">
        <f>RTD("fxbluelabs.excelrtd", , "21422436","@bh,GBPNZD,d1,close,0")</f>
        <v>2.1241099999999999</v>
      </c>
      <c r="R2" s="34">
        <f>RTD("fxbluelabs.excelrtd", , "21422436","@bh,GBPCAD,d1,close,0")</f>
        <v>1.77498</v>
      </c>
      <c r="S2" s="34">
        <f>RTD("fxbluelabs.excelrtd", , "21422436","@bh,GBPCHF,d1,close,0")</f>
        <v>1.1149</v>
      </c>
      <c r="T2" s="35">
        <f>RTD("fxbluelabs.excelrtd", , "21422436","@bh,GBPJPY,d1,close,0")</f>
        <v>190.36</v>
      </c>
      <c r="U2" s="35">
        <f>RTD("fxbluelabs.excelrtd", , "21422436","@bh,NZDJPY,d1,close,0")</f>
        <v>89.61</v>
      </c>
      <c r="V2" s="34">
        <f>RTD("fxbluelabs.excelrtd", , "21422436","@bh,NZDCHF,d1,close,0")</f>
        <v>0.52483000000000002</v>
      </c>
      <c r="W2" s="34">
        <f>RTD("fxbluelabs.excelrtd", , "21422436","@bh,NZDUSD,d1,close,0")</f>
        <v>0.61433000000000004</v>
      </c>
      <c r="X2" s="34">
        <f>RTD("fxbluelabs.excelrtd", , "21422436","@bh,NZDCAD,d1,close,0")</f>
        <v>0.83562999999999998</v>
      </c>
      <c r="Y2" s="35">
        <f>RTD("fxbluelabs.excelrtd", , "21422436","@bh,CADJPY,d1,close,0")</f>
        <v>107.236</v>
      </c>
      <c r="Z2" s="34">
        <f>RTD("fxbluelabs.excelrtd", , "21422436","@bh,CADCHF,d1,close,0")</f>
        <v>0.62802999999999998</v>
      </c>
      <c r="AA2" s="35">
        <f>RTD("fxbluelabs.excelrtd", , "21422436","@bh,CHFJPY,d1,close,0")</f>
        <v>170.73599999999999</v>
      </c>
      <c r="AB2" s="34">
        <f>RTD("fxbluelabs.excelrtd", , "21422436","@bh,USDCAD,d1,close,0")</f>
        <v>1.3602700000000001</v>
      </c>
      <c r="AC2" s="34">
        <f>RTD("fxbluelabs.excelrtd", , "21422436","@bh,USDCHF,d1,close,0")</f>
        <v>0.85428999999999999</v>
      </c>
      <c r="AD2" s="35">
        <f>RTD("fxbluelabs.excelrtd", , "21422436","@bh,USDJPY,d1,close,0")</f>
        <v>145.86600000000001</v>
      </c>
      <c r="AH2" s="13">
        <v>1</v>
      </c>
      <c r="AI2" s="14">
        <f>IF(C2=0,0,(C2-C3)*100/C3)</f>
        <v>-0.13636296263358855</v>
      </c>
      <c r="AJ2" s="14">
        <f t="shared" ref="AJ2:AY3" si="0">IF(D2=0,0,(D2-D3)*100/D3)</f>
        <v>2.9189889352064357E-2</v>
      </c>
      <c r="AK2" s="14">
        <f t="shared" si="0"/>
        <v>0.27856574355626451</v>
      </c>
      <c r="AL2" s="14">
        <f t="shared" si="0"/>
        <v>-0.10413593210336081</v>
      </c>
      <c r="AM2" s="14">
        <f t="shared" si="0"/>
        <v>-0.26445525482385235</v>
      </c>
      <c r="AN2" s="14">
        <f>IF(H2=0,0,(H2-H3)*100/H3)</f>
        <v>-0.13117699910152891</v>
      </c>
      <c r="AO2" s="14">
        <f t="shared" si="0"/>
        <v>-0.26980849533936679</v>
      </c>
      <c r="AP2" s="14">
        <f t="shared" si="0"/>
        <v>-0.26933030434324023</v>
      </c>
      <c r="AQ2" s="14">
        <f t="shared" si="0"/>
        <v>-0.13255902032572053</v>
      </c>
      <c r="AR2" s="14">
        <f t="shared" si="0"/>
        <v>0.27524013929007934</v>
      </c>
      <c r="AS2" s="14">
        <f t="shared" si="0"/>
        <v>6.0621124037009829E-3</v>
      </c>
      <c r="AT2" s="14">
        <f t="shared" si="0"/>
        <v>2.7093078547804322E-2</v>
      </c>
      <c r="AU2" s="14">
        <f t="shared" si="0"/>
        <v>0.1173880018720725</v>
      </c>
      <c r="AV2" s="14">
        <f t="shared" si="0"/>
        <v>0.27074036878669322</v>
      </c>
      <c r="AW2" s="14">
        <f t="shared" si="0"/>
        <v>0.29605635930947455</v>
      </c>
      <c r="AX2" s="14">
        <f t="shared" si="0"/>
        <v>-1.0703200256871876E-2</v>
      </c>
      <c r="AY2" s="14">
        <f t="shared" si="0"/>
        <v>0.16171053813673739</v>
      </c>
      <c r="AZ2" s="14">
        <f t="shared" ref="AY2:BJ17" si="1">IF(T2=0,0,(T2-T3)*100/T3)</f>
        <v>0.54455471692134105</v>
      </c>
      <c r="BA2" s="14">
        <f t="shared" si="1"/>
        <v>0.26293706293706232</v>
      </c>
      <c r="BB2" s="14">
        <f t="shared" si="1"/>
        <v>-0.11989494918738237</v>
      </c>
      <c r="BC2" s="14">
        <f t="shared" si="1"/>
        <v>-0.16738169526780672</v>
      </c>
      <c r="BD2" s="14">
        <f t="shared" si="1"/>
        <v>-0.29233486063383723</v>
      </c>
      <c r="BE2" s="14">
        <f t="shared" si="1"/>
        <v>0.55228932834491229</v>
      </c>
      <c r="BF2" s="14">
        <f t="shared" si="1"/>
        <v>0.16587186398506035</v>
      </c>
      <c r="BG2" s="14">
        <f t="shared" si="1"/>
        <v>0.38747155700064784</v>
      </c>
      <c r="BH2" s="14">
        <f t="shared" si="1"/>
        <v>-0.12921888651498012</v>
      </c>
      <c r="BI2" s="14">
        <f t="shared" si="1"/>
        <v>3.0443895413514513E-2</v>
      </c>
      <c r="BJ2" s="14">
        <f t="shared" si="1"/>
        <v>0.41580041580042504</v>
      </c>
      <c r="BN2">
        <v>1</v>
      </c>
      <c r="BO2" s="15">
        <f>AI2+SUM(AI3:AI37)</f>
        <v>-0.29634129903936796</v>
      </c>
      <c r="BP2" s="15">
        <f t="shared" ref="BP2:BP28" si="2">AJ2+SUM(AJ3:AJ37)</f>
        <v>-1.4389521621102033</v>
      </c>
      <c r="BQ2" s="15">
        <f t="shared" ref="BQ2:CP11" si="3">AK2+SUM(AK3:AK37)</f>
        <v>-8.2198503841480246</v>
      </c>
      <c r="BR2" s="15">
        <f t="shared" si="3"/>
        <v>-4.9705939378042752</v>
      </c>
      <c r="BS2" s="15">
        <f t="shared" si="3"/>
        <v>-0.89105185767957529</v>
      </c>
      <c r="BT2" s="15">
        <f t="shared" si="3"/>
        <v>2.0247400259813526</v>
      </c>
      <c r="BU2" s="15">
        <f t="shared" si="3"/>
        <v>1.4279101768247888</v>
      </c>
      <c r="BV2" s="15">
        <f t="shared" si="3"/>
        <v>1.3763836484133303</v>
      </c>
      <c r="BW2" s="15">
        <f t="shared" si="3"/>
        <v>-2.7309672878492828</v>
      </c>
      <c r="BX2" s="15">
        <f t="shared" si="3"/>
        <v>-5.9642659387870296</v>
      </c>
      <c r="BY2" s="15">
        <f t="shared" si="3"/>
        <v>2.3649587362740339</v>
      </c>
      <c r="BZ2" s="15">
        <f t="shared" si="3"/>
        <v>0.90782903895667877</v>
      </c>
      <c r="CA2" s="15">
        <f t="shared" si="3"/>
        <v>0.64492842405476491</v>
      </c>
      <c r="CB2" s="15">
        <f t="shared" si="3"/>
        <v>0.98660360624265775</v>
      </c>
      <c r="CC2" s="15">
        <f t="shared" si="3"/>
        <v>-0.46139113785265368</v>
      </c>
      <c r="CD2" s="15">
        <f t="shared" si="3"/>
        <v>5.8149848173585324E-2</v>
      </c>
      <c r="CE2" s="15">
        <f t="shared" si="3"/>
        <v>-4.0336454492581293</v>
      </c>
      <c r="CF2" s="15">
        <f t="shared" si="3"/>
        <v>-7.2889687365191111</v>
      </c>
      <c r="CG2" s="15">
        <f t="shared" si="3"/>
        <v>-6.7763177708136784</v>
      </c>
      <c r="CH2" s="15">
        <f t="shared" si="3"/>
        <v>-3.5149922239357512</v>
      </c>
      <c r="CI2" s="15">
        <f t="shared" si="3"/>
        <v>1.1711822392420799</v>
      </c>
      <c r="CJ2" s="15">
        <f t="shared" si="3"/>
        <v>0.5762217758611059</v>
      </c>
      <c r="CK2" s="15">
        <f t="shared" si="3"/>
        <v>-7.3395683888603838</v>
      </c>
      <c r="CL2" s="15">
        <f t="shared" si="3"/>
        <v>-4.0922224938853553</v>
      </c>
      <c r="CM2" s="15">
        <f t="shared" si="3"/>
        <v>-3.2689342094079881</v>
      </c>
      <c r="CN2" s="15">
        <f t="shared" si="3"/>
        <v>-0.57689886916409605</v>
      </c>
      <c r="CO2" s="15">
        <f t="shared" si="3"/>
        <v>-4.6813105706761045</v>
      </c>
      <c r="CP2" s="15">
        <f t="shared" si="3"/>
        <v>-7.9284038385599969</v>
      </c>
      <c r="CU2" s="13">
        <v>1</v>
      </c>
      <c r="CV2" s="16">
        <f>BT2+BU2+BV2+BW2+BX2+BY2+BZ2</f>
        <v>-0.59341160018612804</v>
      </c>
      <c r="CW2" s="16">
        <f>CN2+CO2+CP2-CI2-CA2-BT2-BO2</f>
        <v>-16.731122668639028</v>
      </c>
      <c r="CX2" s="16">
        <f>CK2+CL2-CN2-CJ2-CD2-BU2-BS2</f>
        <v>-12.026121956761548</v>
      </c>
      <c r="CY2" s="16">
        <f>CM2-CO2-CH2-CE2-BW2-BR2</f>
        <v>16.662575260115553</v>
      </c>
      <c r="CZ2" s="16">
        <f>CA2+CB2+CC2+CD2+CE2+CF2-BV2</f>
        <v>-11.470707093572216</v>
      </c>
      <c r="DA2" s="16">
        <f>BO2+BP2+BQ2+BR2+BS2-BY2-CB2</f>
        <v>-19.168351983298134</v>
      </c>
      <c r="DB2" s="16">
        <f>CG2+CH2+CI2+CJ2-CC2-BZ2-BP2</f>
        <v>-7.5513917186400654</v>
      </c>
      <c r="DC2" s="16">
        <f>-BQ2-BX2-CF2-CG2-CK2-CM2-CP2</f>
        <v>46.786309267096208</v>
      </c>
      <c r="DF2" s="44">
        <v>1</v>
      </c>
      <c r="DG2" s="45">
        <f>CN2</f>
        <v>-0.57689886916409605</v>
      </c>
      <c r="DH2" s="45">
        <f>BU2</f>
        <v>1.4279101768247888</v>
      </c>
      <c r="DI2" s="45">
        <f>CO2</f>
        <v>-4.6813105706761045</v>
      </c>
      <c r="DJ2" s="45">
        <f>BW2</f>
        <v>-2.7309672878492828</v>
      </c>
      <c r="DK2" s="45">
        <f>-(CA2)</f>
        <v>-0.64492842405476491</v>
      </c>
      <c r="DL2" s="45">
        <f>BV2</f>
        <v>1.3763836484133303</v>
      </c>
      <c r="DM2" s="45">
        <f>-(BO2)</f>
        <v>0.29634129903936796</v>
      </c>
      <c r="DN2" s="45">
        <f>BY2</f>
        <v>2.3649587362740339</v>
      </c>
      <c r="DO2" s="45">
        <f>-(CI2)</f>
        <v>-1.1711822392420799</v>
      </c>
      <c r="DP2" s="45">
        <f>BZ2</f>
        <v>0.90782903895667877</v>
      </c>
      <c r="DQ2" s="45">
        <f>CP2</f>
        <v>-7.9284038385599969</v>
      </c>
      <c r="DR2" s="45">
        <f>BX2</f>
        <v>-5.9642659387870296</v>
      </c>
      <c r="DS2" s="45">
        <f>-(BT2)</f>
        <v>-2.0247400259813526</v>
      </c>
      <c r="DT2" s="45">
        <f>BT2</f>
        <v>2.0247400259813526</v>
      </c>
      <c r="DX2">
        <v>1</v>
      </c>
      <c r="DY2" s="19">
        <f>SUM(IF($EB$2="Buy", EN2, IF($EB$2="Sell", -EN2, 0)),
     IF($EC$2="Buy", EO2, IF($EC$2="Sell", -EO2, 0)),
     IF($ED$2="Buy", EP2, IF($ED$2="Sell", -EP2, 0)),
     IF($EE$2="Buy", EQ2, IF($EE$2="Sell", -EQ2, 0)),
     IF($EF$2="Buy", ER2, IF($EF$2="Sell", -ER2, 0)),
     IF($EG$2="Buy", ES2, IF($EG$2="Sell", -ES2, 0)),
     IF($EH$2="Buy", ET2, IF($EH$2="Sell", -ET2, 0)),
     IF($EI$2="Buy", EU2, IF($EI$2="Sell", -EU2, 0)))</f>
        <v>9.1797309499989623</v>
      </c>
      <c r="EC2" t="s">
        <v>49</v>
      </c>
      <c r="ED2" t="s">
        <v>57</v>
      </c>
      <c r="EH2" t="s">
        <v>48</v>
      </c>
      <c r="EJ2" t="s">
        <v>48</v>
      </c>
      <c r="EM2" s="13">
        <v>1</v>
      </c>
      <c r="EN2" s="16">
        <f>BT2+BU2+BV2+BW2+BX2+BY2+BZ2</f>
        <v>-0.59341160018612804</v>
      </c>
      <c r="EO2" s="16">
        <f t="shared" ref="EO2:EO37" si="4">CN2+CO2+CP2-CI2-CA2-BT2-BO2</f>
        <v>-16.731122668639028</v>
      </c>
      <c r="EP2" s="16">
        <f>CK2+CL2-CN2-CJ2-CD2-BU2-BS2</f>
        <v>-12.026121956761548</v>
      </c>
      <c r="EQ2" s="16">
        <f>CM2-CO2-CH2-CE2-BW2-BR2</f>
        <v>16.662575260115553</v>
      </c>
      <c r="ER2" s="16">
        <f>CA2+CB2+CC2+CD2+CE2+CF2-BV2</f>
        <v>-11.470707093572216</v>
      </c>
      <c r="ES2" s="16">
        <f>BO2+BP2+BQ2+BR2+BS2-BY2-CB2</f>
        <v>-19.168351983298134</v>
      </c>
      <c r="ET2" s="16">
        <f>CG2+CH2+CI2+CJ2-CC2-BZ2-BP2</f>
        <v>-7.5513917186400654</v>
      </c>
      <c r="EU2" s="16">
        <f>-BQ2-BX2-CF2-CG2-CK2-CM2-CP2</f>
        <v>46.786309267096208</v>
      </c>
      <c r="EW2" s="20">
        <f>LARGE($EN$2:$EU$2,1)</f>
        <v>46.786309267096208</v>
      </c>
      <c r="EX2" s="39" t="str">
        <f>INDEX(EN1:EU1,MATCH(EW2,EN2:EU2,0))</f>
        <v>JPY</v>
      </c>
      <c r="FK2" s="20"/>
      <c r="FL2" s="20"/>
    </row>
    <row r="3" spans="1:170" ht="14.4" thickBot="1" x14ac:dyDescent="0.35">
      <c r="A3" s="37" t="s">
        <v>51</v>
      </c>
      <c r="B3" s="38">
        <v>1</v>
      </c>
      <c r="C3" s="34">
        <f>RTD("fxbluelabs.excelrtd", , "21422436","@bh,AUDUSD,d1,close,1")</f>
        <v>0.67466999999999999</v>
      </c>
      <c r="D3" s="34">
        <f>RTD("fxbluelabs.excelrtd", , "21422436","@bh,AUDNZD,d1,close,1")</f>
        <v>1.0962700000000001</v>
      </c>
      <c r="E3" s="35">
        <f>RTD("fxbluelabs.excelrtd", , "21422436","@bh,AUDJPY,d1,close,1")</f>
        <v>98.001999999999995</v>
      </c>
      <c r="F3" s="34">
        <f>RTD("fxbluelabs.excelrtd", , "21422436","@bh,AUDCHF,d1,close,1")</f>
        <v>0.57616999999999996</v>
      </c>
      <c r="G3" s="34">
        <f>RTD("fxbluelabs.excelrtd", , "21422436","@bh,AUDCAD,d1,close,1")</f>
        <v>0.91886999999999996</v>
      </c>
      <c r="H3" s="34">
        <f>RTD("fxbluelabs.excelrtd", , "21422436","@bh,EURUSD,d1,close,1")</f>
        <v>1.113</v>
      </c>
      <c r="I3" s="34">
        <f>RTD("fxbluelabs.excelrtd", , "21422436","@bh,EURCAD,d1,close,1")</f>
        <v>1.51589</v>
      </c>
      <c r="J3" s="34">
        <f>RTD("fxbluelabs.excelrtd", , "21422436","@bh,EURGBP,d1,close,1")</f>
        <v>0.85397000000000001</v>
      </c>
      <c r="K3" s="34">
        <f>RTD("fxbluelabs.excelrtd", , "21422436","@bh,EURCHF,d1,close,1")</f>
        <v>0.95052000000000003</v>
      </c>
      <c r="L3" s="35">
        <f>RTD("fxbluelabs.excelrtd", , "21422436","@bh,EURJPY,d1,close,1")</f>
        <v>161.67699999999999</v>
      </c>
      <c r="M3" s="34">
        <f>RTD("fxbluelabs.excelrtd", , "21422436","@bh,EURAUD,d1,close,1")</f>
        <v>1.6495899999999999</v>
      </c>
      <c r="N3" s="34">
        <f>RTD("fxbluelabs.excelrtd", , "21422436","@bh,EURNZD,d1,close,1")</f>
        <v>1.8085800000000001</v>
      </c>
      <c r="O3" s="34">
        <f>RTD("fxbluelabs.excelrtd", , "21422436","@bh,GBPUSD,d1,close,1")</f>
        <v>1.3033699999999999</v>
      </c>
      <c r="P3" s="34">
        <f>RTD("fxbluelabs.excelrtd", , "21422436","@bh,GBPAUD,d1,close,1")</f>
        <v>1.93174</v>
      </c>
      <c r="Q3" s="34">
        <f>RTD("fxbluelabs.excelrtd", , "21422436","@bh,GBPNZD,d1,close,1")</f>
        <v>2.1178400000000002</v>
      </c>
      <c r="R3" s="34">
        <f>RTD("fxbluelabs.excelrtd", , "21422436","@bh,GBPCAD,d1,close,1")</f>
        <v>1.7751699999999999</v>
      </c>
      <c r="S3" s="34">
        <f>RTD("fxbluelabs.excelrtd", , "21422436","@bh,GBPCHF,d1,close,1")</f>
        <v>1.1131</v>
      </c>
      <c r="T3" s="35">
        <f>RTD("fxbluelabs.excelrtd", , "21422436","@bh,GBPJPY,d1,close,1")</f>
        <v>189.32900000000001</v>
      </c>
      <c r="U3" s="35">
        <f>RTD("fxbluelabs.excelrtd", , "21422436","@bh,NZDJPY,d1,close,1")</f>
        <v>89.375</v>
      </c>
      <c r="V3" s="34">
        <f>RTD("fxbluelabs.excelrtd", , "21422436","@bh,NZDCHF,d1,close,1")</f>
        <v>0.52546000000000004</v>
      </c>
      <c r="W3" s="34">
        <f>RTD("fxbluelabs.excelrtd", , "21422436","@bh,NZDUSD,d1,close,1")</f>
        <v>0.61536000000000002</v>
      </c>
      <c r="X3" s="34">
        <f>RTD("fxbluelabs.excelrtd", , "21422436","@bh,NZDCAD,d1,close,1")</f>
        <v>0.83808000000000005</v>
      </c>
      <c r="Y3" s="35">
        <f>RTD("fxbluelabs.excelrtd", , "21422436","@bh,CADJPY,d1,close,1")</f>
        <v>106.64700000000001</v>
      </c>
      <c r="Z3" s="34">
        <f>RTD("fxbluelabs.excelrtd", , "21422436","@bh,CADCHF,d1,close,1")</f>
        <v>0.62699000000000005</v>
      </c>
      <c r="AA3" s="35">
        <f>RTD("fxbluelabs.excelrtd", , "21422436","@bh,CHFJPY,d1,close,1")</f>
        <v>170.077</v>
      </c>
      <c r="AB3" s="34">
        <f>RTD("fxbluelabs.excelrtd", , "21422436","@bh,USDCAD,d1,close,1")</f>
        <v>1.3620300000000001</v>
      </c>
      <c r="AC3" s="34">
        <f>RTD("fxbluelabs.excelrtd", , "21422436","@bh,USDCHF,d1,close,1")</f>
        <v>0.85402999999999996</v>
      </c>
      <c r="AD3" s="35">
        <f>RTD("fxbluelabs.excelrtd", , "21422436","@bh,USDJPY,d1,close,1")</f>
        <v>145.262</v>
      </c>
      <c r="AH3" s="21">
        <v>2</v>
      </c>
      <c r="AI3" s="22">
        <f>IF(C3=0,0,(C3-C4)*100/C4)</f>
        <v>0.21836007130124352</v>
      </c>
      <c r="AJ3" s="22">
        <f t="shared" si="0"/>
        <v>-0.42056499227903643</v>
      </c>
      <c r="AK3" s="22">
        <f t="shared" si="0"/>
        <v>-0.6981386347286046</v>
      </c>
      <c r="AL3" s="22">
        <f t="shared" si="0"/>
        <v>-0.80913113088987854</v>
      </c>
      <c r="AM3" s="22">
        <f t="shared" si="0"/>
        <v>0.12203759193680304</v>
      </c>
      <c r="AN3" s="22">
        <f>IF(H3=0,0,(H3-H4)*100/H4)</f>
        <v>0.40504821787804191</v>
      </c>
      <c r="AO3" s="22">
        <f t="shared" si="0"/>
        <v>0.30902184989610726</v>
      </c>
      <c r="AP3" s="22">
        <f t="shared" si="0"/>
        <v>8.672925237039987E-2</v>
      </c>
      <c r="AQ3" s="22">
        <f t="shared" si="0"/>
        <v>-0.62519602718243439</v>
      </c>
      <c r="AR3" s="22">
        <f t="shared" si="0"/>
        <v>-0.5113594407660037</v>
      </c>
      <c r="AS3" s="22">
        <f t="shared" si="0"/>
        <v>0.18706233184128684</v>
      </c>
      <c r="AT3" s="22">
        <f t="shared" si="0"/>
        <v>-0.23388974084575531</v>
      </c>
      <c r="AU3" s="22">
        <f t="shared" si="0"/>
        <v>0.33100602738882207</v>
      </c>
      <c r="AV3" s="22">
        <f t="shared" si="0"/>
        <v>0.11349796584695468</v>
      </c>
      <c r="AW3" s="22">
        <f t="shared" si="0"/>
        <v>-0.30785452696785737</v>
      </c>
      <c r="AX3" s="22">
        <f t="shared" si="0"/>
        <v>0.23489421290675613</v>
      </c>
      <c r="AY3" s="22">
        <f t="shared" si="1"/>
        <v>-0.6967553148780985</v>
      </c>
      <c r="AZ3" s="22">
        <f t="shared" si="1"/>
        <v>-0.5859959568379246</v>
      </c>
      <c r="BA3" s="22">
        <f t="shared" si="1"/>
        <v>-0.27337647846463348</v>
      </c>
      <c r="BB3" s="22">
        <f t="shared" si="1"/>
        <v>-0.38672985781989211</v>
      </c>
      <c r="BC3" s="22">
        <f t="shared" si="1"/>
        <v>0.64604766032613292</v>
      </c>
      <c r="BD3" s="22">
        <f t="shared" si="1"/>
        <v>0.54828376384207433</v>
      </c>
      <c r="BE3" s="22">
        <f t="shared" si="1"/>
        <v>-0.81563185893381507</v>
      </c>
      <c r="BF3" s="22">
        <f t="shared" si="1"/>
        <v>-0.9275353158676376</v>
      </c>
      <c r="BG3" s="22">
        <f t="shared" si="1"/>
        <v>0.1112497645507587</v>
      </c>
      <c r="BH3" s="22">
        <f t="shared" si="1"/>
        <v>-9.6087549694127833E-2</v>
      </c>
      <c r="BI3" s="22">
        <f t="shared" si="1"/>
        <v>-1.0256350825143734</v>
      </c>
      <c r="BJ3" s="22">
        <f t="shared" si="1"/>
        <v>-0.9140393719048876</v>
      </c>
      <c r="BN3">
        <v>2</v>
      </c>
      <c r="BO3" s="23">
        <f t="shared" ref="BO3:BO28" si="5">AI3+SUM(AI4:AI38)</f>
        <v>-0.15997833640577869</v>
      </c>
      <c r="BP3" s="23">
        <f t="shared" si="2"/>
        <v>-1.4681420514622676</v>
      </c>
      <c r="BQ3" s="23">
        <f t="shared" si="3"/>
        <v>-8.4984161277042887</v>
      </c>
      <c r="BR3" s="23">
        <f t="shared" si="3"/>
        <v>-4.8664580057009124</v>
      </c>
      <c r="BS3" s="23">
        <f t="shared" si="3"/>
        <v>-0.62659660285572305</v>
      </c>
      <c r="BT3" s="23">
        <f t="shared" si="3"/>
        <v>2.1559170250828821</v>
      </c>
      <c r="BU3" s="23">
        <f t="shared" si="3"/>
        <v>1.697718672164156</v>
      </c>
      <c r="BV3" s="23">
        <f t="shared" si="3"/>
        <v>1.6457139527565707</v>
      </c>
      <c r="BW3" s="23">
        <f t="shared" si="3"/>
        <v>-2.5984082675235625</v>
      </c>
      <c r="BX3" s="23">
        <f t="shared" si="3"/>
        <v>-6.2395060780771106</v>
      </c>
      <c r="BY3" s="23">
        <f t="shared" si="3"/>
        <v>2.3588966238703337</v>
      </c>
      <c r="BZ3" s="23">
        <f t="shared" si="3"/>
        <v>0.88073596040887436</v>
      </c>
      <c r="CA3" s="23">
        <f t="shared" si="3"/>
        <v>0.5275404221826927</v>
      </c>
      <c r="CB3" s="23">
        <f t="shared" si="3"/>
        <v>0.71586323745596436</v>
      </c>
      <c r="CC3" s="23">
        <f t="shared" si="3"/>
        <v>-0.75744749716212789</v>
      </c>
      <c r="CD3" s="23">
        <f t="shared" si="3"/>
        <v>6.8853048430457336E-2</v>
      </c>
      <c r="CE3" s="23">
        <f t="shared" si="3"/>
        <v>-4.1953559873948665</v>
      </c>
      <c r="CF3" s="23">
        <f t="shared" si="3"/>
        <v>-7.8335234534404528</v>
      </c>
      <c r="CG3" s="23">
        <f t="shared" si="3"/>
        <v>-7.039254833750741</v>
      </c>
      <c r="CH3" s="23">
        <f t="shared" si="3"/>
        <v>-3.3950972747483688</v>
      </c>
      <c r="CI3" s="23">
        <f t="shared" si="3"/>
        <v>1.3385639345098859</v>
      </c>
      <c r="CJ3" s="23">
        <f t="shared" si="3"/>
        <v>0.86855663649494363</v>
      </c>
      <c r="CK3" s="23">
        <f t="shared" si="3"/>
        <v>-7.8918577172052968</v>
      </c>
      <c r="CL3" s="23">
        <f t="shared" si="3"/>
        <v>-4.258094357870414</v>
      </c>
      <c r="CM3" s="23">
        <f t="shared" si="3"/>
        <v>-3.656405766408636</v>
      </c>
      <c r="CN3" s="23">
        <f t="shared" si="3"/>
        <v>-0.44767998264911602</v>
      </c>
      <c r="CO3" s="23">
        <f t="shared" si="3"/>
        <v>-4.7117544660896193</v>
      </c>
      <c r="CP3" s="23">
        <f t="shared" si="3"/>
        <v>-8.344204254360422</v>
      </c>
      <c r="CU3" s="21">
        <v>2</v>
      </c>
      <c r="CV3" s="24">
        <f t="shared" ref="CV3:CV37" si="6">BT3+BU3+BV3+BW3+BX3+BY3+BZ3</f>
        <v>-9.8932111317856175E-2</v>
      </c>
      <c r="CW3" s="24">
        <f t="shared" ref="CW3:CW37" si="7">CN3+CO3+CP3-CI3-CA3-BT3-BO3</f>
        <v>-17.365681748468837</v>
      </c>
      <c r="CX3" s="24">
        <f t="shared" ref="CX3:CX37" si="8">CK3+CL3-CN3-CJ3-CD3-BU3-BS3</f>
        <v>-13.710803846660426</v>
      </c>
      <c r="CY3" s="24">
        <f t="shared" ref="CY3:CY37" si="9">CM3-CO3-CH3-CE3-BW3-BR3</f>
        <v>16.110668235048696</v>
      </c>
      <c r="CZ3" s="24">
        <f t="shared" ref="CZ3:CZ37" si="10">CA3+CB3+CC3+CD3+CE3+CF3-BV3</f>
        <v>-13.119784182684905</v>
      </c>
      <c r="DA3" s="24">
        <f t="shared" ref="DA3:DA37" si="11">BO3+BP3+BQ3+BR3+BS3-BY3-CB3</f>
        <v>-18.694350985455266</v>
      </c>
      <c r="DB3" s="24">
        <f t="shared" ref="DB3:DB37" si="12">CG3+CH3+CI3+CJ3-CC3-BZ3-BP3</f>
        <v>-6.8823779492787587</v>
      </c>
      <c r="DC3" s="24">
        <f t="shared" ref="DC3:DC37" si="13">-BQ3-BX3-CF3-CG3-CK3-CM3-CP3</f>
        <v>49.503168230946947</v>
      </c>
      <c r="DF3" s="46">
        <v>2</v>
      </c>
      <c r="DG3" s="47">
        <f>CN3</f>
        <v>-0.44767998264911602</v>
      </c>
      <c r="DH3" s="47">
        <f t="shared" ref="DH3:DH37" si="14">BU3</f>
        <v>1.697718672164156</v>
      </c>
      <c r="DI3" s="47">
        <f t="shared" ref="DI3:DI37" si="15">CO3</f>
        <v>-4.7117544660896193</v>
      </c>
      <c r="DJ3" s="47">
        <f t="shared" ref="DJ3:DJ37" si="16">BW3</f>
        <v>-2.5984082675235625</v>
      </c>
      <c r="DK3" s="47">
        <f t="shared" ref="DK3:DK37" si="17">-(CA3)</f>
        <v>-0.5275404221826927</v>
      </c>
      <c r="DL3" s="47">
        <f t="shared" ref="DL3:DL37" si="18">BV3</f>
        <v>1.6457139527565707</v>
      </c>
      <c r="DM3" s="47">
        <f t="shared" ref="DM3:DM37" si="19">-(BO3)</f>
        <v>0.15997833640577869</v>
      </c>
      <c r="DN3" s="47">
        <f t="shared" ref="DN3:DN37" si="20">BY3</f>
        <v>2.3588966238703337</v>
      </c>
      <c r="DO3" s="47">
        <f t="shared" ref="DO3:DO37" si="21">-(CI3)</f>
        <v>-1.3385639345098859</v>
      </c>
      <c r="DP3" s="47">
        <f t="shared" ref="DP3:DP37" si="22">BZ3</f>
        <v>0.88073596040887436</v>
      </c>
      <c r="DQ3" s="47">
        <f t="shared" ref="DQ3:DQ37" si="23">CP3</f>
        <v>-8.344204254360422</v>
      </c>
      <c r="DR3" s="47">
        <f t="shared" ref="DR3:DR37" si="24">BX3</f>
        <v>-6.2395060780771106</v>
      </c>
      <c r="DS3" s="47">
        <f t="shared" ref="DS3:DS37" si="25">-(BT3)</f>
        <v>-2.1559170250828821</v>
      </c>
      <c r="DT3" s="47">
        <f t="shared" ref="DT3:DT37" si="26">BT3</f>
        <v>2.1559170250828821</v>
      </c>
      <c r="DX3">
        <v>2</v>
      </c>
      <c r="DY3" s="19">
        <f t="shared" ref="DY3:DY37" si="27">SUM(IF($EB$2="Buy", EN3, IF($EB$2="Sell", -EN3, 0)),
     IF($EC$2="Buy", EO3, IF($EC$2="Sell", -EO3, 0)),
     IF($ED$2="Buy", EP3, IF($ED$2="Sell", -EP3, 0)),
     IF($EE$2="Buy", EQ3, IF($EE$2="Sell", -EQ3, 0)),
     IF($EF$2="Buy", ER3, IF($EF$2="Sell", -ER3, 0)),
     IF($EG$2="Buy", ES3, IF($EG$2="Sell", -ES3, 0)),
     IF($EH$2="Buy", ET3, IF($EH$2="Sell", -ET3, 0)),
     IF($EI$2="Buy", EU3, IF($EI$2="Sell", -EU3, 0)))</f>
        <v>10.483303799190079</v>
      </c>
      <c r="EJ3" t="s">
        <v>49</v>
      </c>
      <c r="EM3" s="21">
        <v>2</v>
      </c>
      <c r="EN3" s="16">
        <f t="shared" ref="EN3:EN37" si="28">BT3+BU3+BV3+BW3+BX3+BY3+BZ3</f>
        <v>-9.8932111317856175E-2</v>
      </c>
      <c r="EO3" s="16">
        <f t="shared" si="4"/>
        <v>-17.365681748468837</v>
      </c>
      <c r="EP3" s="16">
        <f t="shared" ref="EP3:EP37" si="29">CK3+CL3-CN3-CJ3-CD3-BU3-BS3</f>
        <v>-13.710803846660426</v>
      </c>
      <c r="EQ3" s="16">
        <f t="shared" ref="EQ3:EQ37" si="30">CM3-CO3-CH3-CE3-BW3-BR3</f>
        <v>16.110668235048696</v>
      </c>
      <c r="ER3" s="16">
        <f t="shared" ref="ER3:ER37" si="31">CA3+CB3+CC3+CD3+CE3+CF3-BV3</f>
        <v>-13.119784182684905</v>
      </c>
      <c r="ES3" s="16">
        <f t="shared" ref="ES3:ES37" si="32">BO3+BP3+BQ3+BR3+BS3-BY3-CB3</f>
        <v>-18.694350985455266</v>
      </c>
      <c r="ET3" s="16">
        <f t="shared" ref="ET3:ET37" si="33">CG3+CH3+CI3+CJ3-CC3-BZ3-BP3</f>
        <v>-6.8823779492787587</v>
      </c>
      <c r="EU3" s="16">
        <f t="shared" ref="EU3:EU37" si="34">-BQ3-BX3-CF3-CG3-CK3-CM3-CP3</f>
        <v>49.503168230946947</v>
      </c>
      <c r="EW3" s="20">
        <f>LARGE($EN$2:$EU$2,2)</f>
        <v>16.662575260115553</v>
      </c>
      <c r="EX3" s="39" t="str">
        <f>INDEX(EN1:EU1,MATCH(EW3,EN2:EU2,0))</f>
        <v>CHF</v>
      </c>
      <c r="FK3" s="20"/>
      <c r="FL3" s="20"/>
    </row>
    <row r="4" spans="1:170" ht="14.4" thickBot="1" x14ac:dyDescent="0.35">
      <c r="A4" s="37" t="s">
        <v>51</v>
      </c>
      <c r="B4" s="38">
        <v>2</v>
      </c>
      <c r="C4" s="34">
        <f>RTD("fxbluelabs.excelrtd", , "21422436","@bh,AUDUSD,d1,close,2")</f>
        <v>0.67320000000000002</v>
      </c>
      <c r="D4" s="34">
        <f>RTD("fxbluelabs.excelrtd", , "21422436","@bh,AUDNZD,d1,close,2")</f>
        <v>1.1009</v>
      </c>
      <c r="E4" s="35">
        <f>RTD("fxbluelabs.excelrtd", , "21422436","@bh,AUDJPY,d1,close,2")</f>
        <v>98.691000000000003</v>
      </c>
      <c r="F4" s="34">
        <f>RTD("fxbluelabs.excelrtd", , "21422436","@bh,AUDCHF,d1,close,2")</f>
        <v>0.58087</v>
      </c>
      <c r="G4" s="34">
        <f>RTD("fxbluelabs.excelrtd", , "21422436","@bh,AUDCAD,d1,close,2")</f>
        <v>0.91774999999999995</v>
      </c>
      <c r="H4" s="34">
        <f>RTD("fxbluelabs.excelrtd", , "21422436","@bh,EURUSD,d1,close,2")</f>
        <v>1.1085100000000001</v>
      </c>
      <c r="I4" s="34">
        <f>RTD("fxbluelabs.excelrtd", , "21422436","@bh,EURCAD,d1,close,2")</f>
        <v>1.51122</v>
      </c>
      <c r="J4" s="34">
        <f>RTD("fxbluelabs.excelrtd", , "21422436","@bh,EURGBP,d1,close,2")</f>
        <v>0.85323000000000004</v>
      </c>
      <c r="K4" s="34">
        <f>RTD("fxbluelabs.excelrtd", , "21422436","@bh,EURCHF,d1,close,2")</f>
        <v>0.95650000000000002</v>
      </c>
      <c r="L4" s="35">
        <f>RTD("fxbluelabs.excelrtd", , "21422436","@bh,EURJPY,d1,close,2")</f>
        <v>162.50800000000001</v>
      </c>
      <c r="M4" s="34">
        <f>RTD("fxbluelabs.excelrtd", , "21422436","@bh,EURAUD,d1,close,2")</f>
        <v>1.6465099999999999</v>
      </c>
      <c r="N4" s="34">
        <f>RTD("fxbluelabs.excelrtd", , "21422436","@bh,EURNZD,d1,close,2")</f>
        <v>1.8128200000000001</v>
      </c>
      <c r="O4" s="34">
        <f>RTD("fxbluelabs.excelrtd", , "21422436","@bh,GBPUSD,d1,close,2")</f>
        <v>1.2990699999999999</v>
      </c>
      <c r="P4" s="34">
        <f>RTD("fxbluelabs.excelrtd", , "21422436","@bh,GBPAUD,d1,close,2")</f>
        <v>1.9295500000000001</v>
      </c>
      <c r="Q4" s="34">
        <f>RTD("fxbluelabs.excelrtd", , "21422436","@bh,GBPNZD,d1,close,2")</f>
        <v>2.1243799999999999</v>
      </c>
      <c r="R4" s="34">
        <f>RTD("fxbluelabs.excelrtd", , "21422436","@bh,GBPCAD,d1,close,2")</f>
        <v>1.77101</v>
      </c>
      <c r="S4" s="34">
        <f>RTD("fxbluelabs.excelrtd", , "21422436","@bh,GBPCHF,d1,close,2")</f>
        <v>1.1209100000000001</v>
      </c>
      <c r="T4" s="35">
        <f>RTD("fxbluelabs.excelrtd", , "21422436","@bh,GBPJPY,d1,close,2")</f>
        <v>190.44499999999999</v>
      </c>
      <c r="U4" s="35">
        <f>RTD("fxbluelabs.excelrtd", , "21422436","@bh,NZDJPY,d1,close,2")</f>
        <v>89.62</v>
      </c>
      <c r="V4" s="34">
        <f>RTD("fxbluelabs.excelrtd", , "21422436","@bh,NZDCHF,d1,close,2")</f>
        <v>0.52749999999999997</v>
      </c>
      <c r="W4" s="34">
        <f>RTD("fxbluelabs.excelrtd", , "21422436","@bh,NZDUSD,d1,close,2")</f>
        <v>0.61141000000000001</v>
      </c>
      <c r="X4" s="34">
        <f>RTD("fxbluelabs.excelrtd", , "21422436","@bh,NZDCAD,d1,close,2")</f>
        <v>0.83350999999999997</v>
      </c>
      <c r="Y4" s="35">
        <f>RTD("fxbluelabs.excelrtd", , "21422436","@bh,CADJPY,d1,close,2")</f>
        <v>107.524</v>
      </c>
      <c r="Z4" s="34">
        <f>RTD("fxbluelabs.excelrtd", , "21422436","@bh,CADCHF,d1,close,2")</f>
        <v>0.63285999999999998</v>
      </c>
      <c r="AA4" s="35">
        <f>RTD("fxbluelabs.excelrtd", , "21422436","@bh,CHFJPY,d1,close,2")</f>
        <v>169.88800000000001</v>
      </c>
      <c r="AB4" s="34">
        <f>RTD("fxbluelabs.excelrtd", , "21422436","@bh,USDCAD,d1,close,2")</f>
        <v>1.36334</v>
      </c>
      <c r="AC4" s="34">
        <f>RTD("fxbluelabs.excelrtd", , "21422436","@bh,USDCHF,d1,close,2")</f>
        <v>0.86287999999999998</v>
      </c>
      <c r="AD4" s="35">
        <f>RTD("fxbluelabs.excelrtd", , "21422436","@bh,USDJPY,d1,close,2")</f>
        <v>146.602</v>
      </c>
      <c r="AH4" s="21">
        <v>3</v>
      </c>
      <c r="AI4" s="27">
        <f t="shared" ref="AI4:AX19" si="35">IF(C4=0,0,(C4-C5)*100/C5)</f>
        <v>0.92802206863465753</v>
      </c>
      <c r="AJ4" s="27">
        <f t="shared" si="35"/>
        <v>-5.0841610226437267E-2</v>
      </c>
      <c r="AK4" s="27">
        <f t="shared" si="35"/>
        <v>0.25905156650005634</v>
      </c>
      <c r="AL4" s="27">
        <f t="shared" si="35"/>
        <v>0.5731006302375572</v>
      </c>
      <c r="AM4" s="27">
        <f t="shared" si="35"/>
        <v>0.59849389996600966</v>
      </c>
      <c r="AN4" s="27">
        <f>IF(H4=0,0,(H4-H5)*100/H5)</f>
        <v>0.51230437226847969</v>
      </c>
      <c r="AO4" s="27">
        <f t="shared" si="35"/>
        <v>0.17699115044247457</v>
      </c>
      <c r="AP4" s="27">
        <f t="shared" si="35"/>
        <v>0.17611214821599061</v>
      </c>
      <c r="AQ4" s="27">
        <f t="shared" si="35"/>
        <v>0.15392186632880342</v>
      </c>
      <c r="AR4" s="27">
        <f t="shared" si="35"/>
        <v>-0.16403010290277739</v>
      </c>
      <c r="AS4" s="27">
        <f t="shared" si="35"/>
        <v>-0.41491015320225288</v>
      </c>
      <c r="AT4" s="27">
        <f t="shared" si="35"/>
        <v>-0.46888039706592832</v>
      </c>
      <c r="AU4" s="27">
        <f t="shared" si="35"/>
        <v>0.35303205870992377</v>
      </c>
      <c r="AV4" s="27">
        <f t="shared" si="35"/>
        <v>-0.57094860947218062</v>
      </c>
      <c r="AW4" s="27">
        <f t="shared" si="35"/>
        <v>-0.62914263528906333</v>
      </c>
      <c r="AX4" s="27">
        <f t="shared" si="35"/>
        <v>2.0331516674662747E-2</v>
      </c>
      <c r="AY4" s="27">
        <f t="shared" si="1"/>
        <v>-6.2445360309741913E-3</v>
      </c>
      <c r="AZ4" s="27">
        <f t="shared" si="1"/>
        <v>-0.31771454891861867</v>
      </c>
      <c r="BA4" s="27">
        <f t="shared" si="1"/>
        <v>0.29881481315681635</v>
      </c>
      <c r="BB4" s="27">
        <f t="shared" si="1"/>
        <v>0.61609476033340738</v>
      </c>
      <c r="BC4" s="27">
        <f t="shared" si="1"/>
        <v>0.99106390710427728</v>
      </c>
      <c r="BD4" s="27">
        <f t="shared" si="1"/>
        <v>0.65208728309040587</v>
      </c>
      <c r="BE4" s="27">
        <f t="shared" si="1"/>
        <v>-0.34292917122361255</v>
      </c>
      <c r="BF4" s="27">
        <f t="shared" si="1"/>
        <v>-3.0013427059477685E-2</v>
      </c>
      <c r="BG4" s="27">
        <f t="shared" si="1"/>
        <v>-0.31158497585363482</v>
      </c>
      <c r="BH4" s="27">
        <f t="shared" si="1"/>
        <v>-0.3333577015863658</v>
      </c>
      <c r="BI4" s="27">
        <f t="shared" si="1"/>
        <v>-0.35912654880542005</v>
      </c>
      <c r="BJ4" s="27">
        <f t="shared" si="1"/>
        <v>-0.67480589167875527</v>
      </c>
      <c r="BN4">
        <v>3</v>
      </c>
      <c r="BO4" s="28">
        <f t="shared" si="5"/>
        <v>-0.37833840770702165</v>
      </c>
      <c r="BP4" s="28">
        <f t="shared" si="2"/>
        <v>-1.0475770591832314</v>
      </c>
      <c r="BQ4" s="28">
        <f t="shared" si="3"/>
        <v>-7.8002774929756837</v>
      </c>
      <c r="BR4" s="28">
        <f t="shared" si="3"/>
        <v>-4.057326874811034</v>
      </c>
      <c r="BS4" s="28">
        <f t="shared" si="3"/>
        <v>-0.74863419479252657</v>
      </c>
      <c r="BT4" s="28">
        <f t="shared" si="3"/>
        <v>1.7508688072048406</v>
      </c>
      <c r="BU4" s="28">
        <f t="shared" si="3"/>
        <v>1.3886968222680487</v>
      </c>
      <c r="BV4" s="28">
        <f t="shared" si="3"/>
        <v>1.5589847003861708</v>
      </c>
      <c r="BW4" s="28">
        <f t="shared" si="3"/>
        <v>-1.9732122403411276</v>
      </c>
      <c r="BX4" s="28">
        <f t="shared" si="3"/>
        <v>-5.7281466373111058</v>
      </c>
      <c r="BY4" s="28">
        <f t="shared" si="3"/>
        <v>2.1718342920290463</v>
      </c>
      <c r="BZ4" s="28">
        <f t="shared" si="3"/>
        <v>1.1146257012546295</v>
      </c>
      <c r="CA4" s="28">
        <f t="shared" si="3"/>
        <v>0.19653439479387039</v>
      </c>
      <c r="CB4" s="28">
        <f t="shared" si="3"/>
        <v>0.60236527160900966</v>
      </c>
      <c r="CC4" s="28">
        <f t="shared" si="3"/>
        <v>-0.44959297019427091</v>
      </c>
      <c r="CD4" s="28">
        <f t="shared" si="3"/>
        <v>-0.16604116447629877</v>
      </c>
      <c r="CE4" s="28">
        <f t="shared" si="3"/>
        <v>-3.4986006725167687</v>
      </c>
      <c r="CF4" s="28">
        <f t="shared" si="3"/>
        <v>-7.2475274966025287</v>
      </c>
      <c r="CG4" s="28">
        <f t="shared" si="3"/>
        <v>-6.765878355286107</v>
      </c>
      <c r="CH4" s="28">
        <f t="shared" si="3"/>
        <v>-3.0083674169284764</v>
      </c>
      <c r="CI4" s="28">
        <f t="shared" si="3"/>
        <v>0.69251627418375339</v>
      </c>
      <c r="CJ4" s="28">
        <f t="shared" si="3"/>
        <v>0.32027287265286919</v>
      </c>
      <c r="CK4" s="28">
        <f t="shared" si="3"/>
        <v>-7.0762258582714814</v>
      </c>
      <c r="CL4" s="28">
        <f t="shared" si="3"/>
        <v>-3.3305590420027769</v>
      </c>
      <c r="CM4" s="28">
        <f t="shared" si="3"/>
        <v>-3.7676555309593942</v>
      </c>
      <c r="CN4" s="28">
        <f t="shared" si="3"/>
        <v>-0.35159243295498799</v>
      </c>
      <c r="CO4" s="28">
        <f t="shared" si="3"/>
        <v>-3.686119383575245</v>
      </c>
      <c r="CP4" s="28">
        <f t="shared" si="3"/>
        <v>-7.430164882455534</v>
      </c>
      <c r="CU4" s="21">
        <v>3</v>
      </c>
      <c r="CV4" s="29">
        <f t="shared" si="6"/>
        <v>0.28365144549050236</v>
      </c>
      <c r="CW4" s="29">
        <f t="shared" si="7"/>
        <v>-13.729457767461211</v>
      </c>
      <c r="CX4" s="29">
        <f t="shared" si="8"/>
        <v>-10.849486802971365</v>
      </c>
      <c r="CY4" s="29">
        <f t="shared" si="9"/>
        <v>12.455971057213256</v>
      </c>
      <c r="CZ4" s="29">
        <f t="shared" si="10"/>
        <v>-12.121847337773158</v>
      </c>
      <c r="DA4" s="29">
        <f t="shared" si="11"/>
        <v>-16.806353593107552</v>
      </c>
      <c r="DB4" s="29">
        <f t="shared" si="12"/>
        <v>-8.3789122972550913</v>
      </c>
      <c r="DC4" s="29">
        <f t="shared" si="13"/>
        <v>45.815876253861845</v>
      </c>
      <c r="DF4" s="48">
        <v>3</v>
      </c>
      <c r="DG4" s="49">
        <f t="shared" ref="DG4:DG37" si="36">CN4</f>
        <v>-0.35159243295498799</v>
      </c>
      <c r="DH4" s="49">
        <f t="shared" si="14"/>
        <v>1.3886968222680487</v>
      </c>
      <c r="DI4" s="49">
        <f t="shared" si="15"/>
        <v>-3.686119383575245</v>
      </c>
      <c r="DJ4" s="49">
        <f t="shared" si="16"/>
        <v>-1.9732122403411276</v>
      </c>
      <c r="DK4" s="49">
        <f t="shared" si="17"/>
        <v>-0.19653439479387039</v>
      </c>
      <c r="DL4" s="49">
        <f t="shared" si="18"/>
        <v>1.5589847003861708</v>
      </c>
      <c r="DM4" s="49">
        <f t="shared" si="19"/>
        <v>0.37833840770702165</v>
      </c>
      <c r="DN4" s="49">
        <f t="shared" si="20"/>
        <v>2.1718342920290463</v>
      </c>
      <c r="DO4" s="49">
        <f t="shared" si="21"/>
        <v>-0.69251627418375339</v>
      </c>
      <c r="DP4" s="49">
        <f t="shared" si="22"/>
        <v>1.1146257012546295</v>
      </c>
      <c r="DQ4" s="49">
        <f t="shared" si="23"/>
        <v>-7.430164882455534</v>
      </c>
      <c r="DR4" s="49">
        <f t="shared" si="24"/>
        <v>-5.7281466373111058</v>
      </c>
      <c r="DS4" s="49">
        <f t="shared" si="25"/>
        <v>-1.7508688072048406</v>
      </c>
      <c r="DT4" s="49">
        <f t="shared" si="26"/>
        <v>1.7508688072048406</v>
      </c>
      <c r="DX4">
        <v>3</v>
      </c>
      <c r="DY4" s="19">
        <f t="shared" si="27"/>
        <v>5.3505454702061197</v>
      </c>
      <c r="EJ4" t="str">
        <f>"-"</f>
        <v>-</v>
      </c>
      <c r="EM4" s="21">
        <v>3</v>
      </c>
      <c r="EN4" s="16">
        <f t="shared" si="28"/>
        <v>0.28365144549050236</v>
      </c>
      <c r="EO4" s="16">
        <f t="shared" si="4"/>
        <v>-13.729457767461211</v>
      </c>
      <c r="EP4" s="16">
        <f t="shared" si="29"/>
        <v>-10.849486802971365</v>
      </c>
      <c r="EQ4" s="16">
        <f t="shared" si="30"/>
        <v>12.455971057213256</v>
      </c>
      <c r="ER4" s="16">
        <f t="shared" si="31"/>
        <v>-12.121847337773158</v>
      </c>
      <c r="ES4" s="16">
        <f t="shared" si="32"/>
        <v>-16.806353593107552</v>
      </c>
      <c r="ET4" s="16">
        <f t="shared" si="33"/>
        <v>-8.3789122972550913</v>
      </c>
      <c r="EU4" s="16">
        <f t="shared" si="34"/>
        <v>45.815876253861845</v>
      </c>
      <c r="EW4" s="20">
        <f>LARGE($EN$2:$EU$2,3)</f>
        <v>-0.59341160018612804</v>
      </c>
      <c r="EX4" s="39" t="str">
        <f>INDEX(EN1:EU1,MATCH(EW4,EN2:EU2,0))</f>
        <v>EUR</v>
      </c>
      <c r="FK4" s="20"/>
      <c r="FL4" s="20"/>
    </row>
    <row r="5" spans="1:170" ht="14.4" thickBot="1" x14ac:dyDescent="0.35">
      <c r="A5" s="37" t="s">
        <v>51</v>
      </c>
      <c r="B5" s="38">
        <v>3</v>
      </c>
      <c r="C5" s="34">
        <f>RTD("fxbluelabs.excelrtd", , "21422436","@bh,AUDUSD,d1,close,3")</f>
        <v>0.66700999999999999</v>
      </c>
      <c r="D5" s="34">
        <f>RTD("fxbluelabs.excelrtd", , "21422436","@bh,AUDNZD,d1,close,3")</f>
        <v>1.1014600000000001</v>
      </c>
      <c r="E5" s="35">
        <f>RTD("fxbluelabs.excelrtd", , "21422436","@bh,AUDJPY,d1,close,3")</f>
        <v>98.436000000000007</v>
      </c>
      <c r="F5" s="34">
        <f>RTD("fxbluelabs.excelrtd", , "21422436","@bh,AUDCHF,d1,close,3")</f>
        <v>0.57755999999999996</v>
      </c>
      <c r="G5" s="34">
        <f>RTD("fxbluelabs.excelrtd", , "21422436","@bh,AUDCAD,d1,close,3")</f>
        <v>0.91229000000000005</v>
      </c>
      <c r="H5" s="34">
        <f>RTD("fxbluelabs.excelrtd", , "21422436","@bh,EURUSD,d1,close,3")</f>
        <v>1.10286</v>
      </c>
      <c r="I5" s="34">
        <f>RTD("fxbluelabs.excelrtd", , "21422436","@bh,EURCAD,d1,close,3")</f>
        <v>1.5085500000000001</v>
      </c>
      <c r="J5" s="34">
        <f>RTD("fxbluelabs.excelrtd", , "21422436","@bh,EURGBP,d1,close,3")</f>
        <v>0.85172999999999999</v>
      </c>
      <c r="K5" s="34">
        <f>RTD("fxbluelabs.excelrtd", , "21422436","@bh,EURCHF,d1,close,3")</f>
        <v>0.95503000000000005</v>
      </c>
      <c r="L5" s="35">
        <f>RTD("fxbluelabs.excelrtd", , "21422436","@bh,EURJPY,d1,close,3")</f>
        <v>162.77500000000001</v>
      </c>
      <c r="M5" s="34">
        <f>RTD("fxbluelabs.excelrtd", , "21422436","@bh,EURAUD,d1,close,3")</f>
        <v>1.65337</v>
      </c>
      <c r="N5" s="34">
        <f>RTD("fxbluelabs.excelrtd", , "21422436","@bh,EURNZD,d1,close,3")</f>
        <v>1.8213600000000001</v>
      </c>
      <c r="O5" s="34">
        <f>RTD("fxbluelabs.excelrtd", , "21422436","@bh,GBPUSD,d1,close,3")</f>
        <v>1.2945</v>
      </c>
      <c r="P5" s="34">
        <f>RTD("fxbluelabs.excelrtd", , "21422436","@bh,GBPAUD,d1,close,3")</f>
        <v>1.9406300000000001</v>
      </c>
      <c r="Q5" s="34">
        <f>RTD("fxbluelabs.excelrtd", , "21422436","@bh,GBPNZD,d1,close,3")</f>
        <v>2.1378300000000001</v>
      </c>
      <c r="R5" s="34">
        <f>RTD("fxbluelabs.excelrtd", , "21422436","@bh,GBPCAD,d1,close,3")</f>
        <v>1.7706500000000001</v>
      </c>
      <c r="S5" s="34">
        <f>RTD("fxbluelabs.excelrtd", , "21422436","@bh,GBPCHF,d1,close,3")</f>
        <v>1.1209800000000001</v>
      </c>
      <c r="T5" s="35">
        <f>RTD("fxbluelabs.excelrtd", , "21422436","@bh,GBPJPY,d1,close,3")</f>
        <v>191.05199999999999</v>
      </c>
      <c r="U5" s="35">
        <f>RTD("fxbluelabs.excelrtd", , "21422436","@bh,NZDJPY,d1,close,3")</f>
        <v>89.352999999999994</v>
      </c>
      <c r="V5" s="34">
        <f>RTD("fxbluelabs.excelrtd", , "21422436","@bh,NZDCHF,d1,close,3")</f>
        <v>0.52427000000000001</v>
      </c>
      <c r="W5" s="34">
        <f>RTD("fxbluelabs.excelrtd", , "21422436","@bh,NZDUSD,d1,close,3")</f>
        <v>0.60541</v>
      </c>
      <c r="X5" s="34">
        <f>RTD("fxbluelabs.excelrtd", , "21422436","@bh,NZDCAD,d1,close,3")</f>
        <v>0.82811000000000001</v>
      </c>
      <c r="Y5" s="35">
        <f>RTD("fxbluelabs.excelrtd", , "21422436","@bh,CADJPY,d1,close,3")</f>
        <v>107.89400000000001</v>
      </c>
      <c r="Z5" s="34">
        <f>RTD("fxbluelabs.excelrtd", , "21422436","@bh,CADCHF,d1,close,3")</f>
        <v>0.63305</v>
      </c>
      <c r="AA5" s="35">
        <f>RTD("fxbluelabs.excelrtd", , "21422436","@bh,CHFJPY,d1,close,3")</f>
        <v>170.41900000000001</v>
      </c>
      <c r="AB5" s="34">
        <f>RTD("fxbluelabs.excelrtd", , "21422436","@bh,USDCAD,d1,close,3")</f>
        <v>1.3678999999999999</v>
      </c>
      <c r="AC5" s="34">
        <f>RTD("fxbluelabs.excelrtd", , "21422436","@bh,USDCHF,d1,close,3")</f>
        <v>0.86599000000000004</v>
      </c>
      <c r="AD5" s="35">
        <f>RTD("fxbluelabs.excelrtd", , "21422436","@bh,USDJPY,d1,close,3")</f>
        <v>147.59800000000001</v>
      </c>
      <c r="AH5" s="21">
        <v>4</v>
      </c>
      <c r="AI5" s="22">
        <f t="shared" si="35"/>
        <v>0.90312235265642493</v>
      </c>
      <c r="AJ5" s="22">
        <f t="shared" si="35"/>
        <v>-0.2779462757915046</v>
      </c>
      <c r="AK5" s="22">
        <f t="shared" si="35"/>
        <v>-0.24524210056951928</v>
      </c>
      <c r="AL5" s="22">
        <f t="shared" si="35"/>
        <v>0.13870587419375682</v>
      </c>
      <c r="AM5" s="22">
        <f t="shared" si="35"/>
        <v>0.53557850192302292</v>
      </c>
      <c r="AN5" s="22">
        <f t="shared" si="35"/>
        <v>0.52318798308296777</v>
      </c>
      <c r="AO5" s="22">
        <f t="shared" si="35"/>
        <v>0.16267180134121662</v>
      </c>
      <c r="AP5" s="22">
        <f t="shared" si="35"/>
        <v>-0.2085505735140776</v>
      </c>
      <c r="AQ5" s="22">
        <f t="shared" si="35"/>
        <v>-0.23504094935650741</v>
      </c>
      <c r="AR5" s="22">
        <f t="shared" si="35"/>
        <v>-0.61484167979387538</v>
      </c>
      <c r="AS5" s="22">
        <f t="shared" si="35"/>
        <v>-0.37719250676355165</v>
      </c>
      <c r="AT5" s="22">
        <f t="shared" si="35"/>
        <v>-0.64965880639512263</v>
      </c>
      <c r="AU5" s="22">
        <f t="shared" si="35"/>
        <v>0.7134354601541939</v>
      </c>
      <c r="AV5" s="22">
        <f t="shared" si="35"/>
        <v>-0.18978357472020918</v>
      </c>
      <c r="AW5" s="22">
        <f t="shared" si="35"/>
        <v>-0.45909791450347853</v>
      </c>
      <c r="AX5" s="22">
        <f t="shared" si="35"/>
        <v>0.35081554696621858</v>
      </c>
      <c r="AY5" s="22">
        <f t="shared" si="1"/>
        <v>-4.2801348242453047E-2</v>
      </c>
      <c r="AZ5" s="22">
        <f t="shared" si="1"/>
        <v>-0.42840614153038076</v>
      </c>
      <c r="BA5" s="22">
        <f t="shared" si="1"/>
        <v>3.9185830403722192E-2</v>
      </c>
      <c r="BB5" s="22">
        <f t="shared" si="1"/>
        <v>0.4233229896946798</v>
      </c>
      <c r="BC5" s="22">
        <f t="shared" si="1"/>
        <v>1.1697665480189179</v>
      </c>
      <c r="BD5" s="22">
        <f t="shared" si="1"/>
        <v>0.81076145839673741</v>
      </c>
      <c r="BE5" s="22">
        <f t="shared" si="1"/>
        <v>-0.77526508916007375</v>
      </c>
      <c r="BF5" s="22">
        <f t="shared" si="1"/>
        <v>-0.39336008181888865</v>
      </c>
      <c r="BG5" s="22">
        <f t="shared" si="1"/>
        <v>-0.37879895011895698</v>
      </c>
      <c r="BH5" s="22">
        <f t="shared" si="1"/>
        <v>-0.364192585038977</v>
      </c>
      <c r="BI5" s="22">
        <f t="shared" si="1"/>
        <v>-0.75068191716138455</v>
      </c>
      <c r="BJ5" s="22">
        <f t="shared" si="1"/>
        <v>-1.1287286563104801</v>
      </c>
      <c r="BN5">
        <v>4</v>
      </c>
      <c r="BO5" s="23">
        <f t="shared" si="5"/>
        <v>-1.3063604763416794</v>
      </c>
      <c r="BP5" s="23">
        <f t="shared" si="2"/>
        <v>-0.99673544895679389</v>
      </c>
      <c r="BQ5" s="23">
        <f t="shared" si="3"/>
        <v>-8.0593290594757416</v>
      </c>
      <c r="BR5" s="23">
        <f t="shared" si="3"/>
        <v>-4.6304275050485915</v>
      </c>
      <c r="BS5" s="23">
        <f t="shared" si="3"/>
        <v>-1.3471280947585362</v>
      </c>
      <c r="BT5" s="23">
        <f t="shared" si="3"/>
        <v>1.2385644349363611</v>
      </c>
      <c r="BU5" s="23">
        <f t="shared" si="3"/>
        <v>1.2117056718255741</v>
      </c>
      <c r="BV5" s="23">
        <f t="shared" si="3"/>
        <v>1.3828725521701801</v>
      </c>
      <c r="BW5" s="23">
        <f t="shared" si="3"/>
        <v>-2.1271341066699314</v>
      </c>
      <c r="BX5" s="23">
        <f t="shared" si="3"/>
        <v>-5.5641165344083285</v>
      </c>
      <c r="BY5" s="23">
        <f t="shared" si="3"/>
        <v>2.5867444452312998</v>
      </c>
      <c r="BZ5" s="23">
        <f t="shared" si="3"/>
        <v>1.5835060983205582</v>
      </c>
      <c r="CA5" s="23">
        <f t="shared" si="3"/>
        <v>-0.1564976639160538</v>
      </c>
      <c r="CB5" s="23">
        <f t="shared" si="3"/>
        <v>1.1733138810811901</v>
      </c>
      <c r="CC5" s="23">
        <f t="shared" si="3"/>
        <v>0.17954966509479259</v>
      </c>
      <c r="CD5" s="23">
        <f t="shared" si="3"/>
        <v>-0.18637268115096134</v>
      </c>
      <c r="CE5" s="23">
        <f t="shared" si="3"/>
        <v>-3.4923561364857938</v>
      </c>
      <c r="CF5" s="23">
        <f t="shared" si="3"/>
        <v>-6.9298129476839101</v>
      </c>
      <c r="CG5" s="23">
        <f t="shared" si="3"/>
        <v>-7.0646931684429237</v>
      </c>
      <c r="CH5" s="23">
        <f t="shared" si="3"/>
        <v>-3.6244621772618837</v>
      </c>
      <c r="CI5" s="23">
        <f t="shared" si="3"/>
        <v>-0.29854763292052366</v>
      </c>
      <c r="CJ5" s="23">
        <f t="shared" si="3"/>
        <v>-0.33181441043753679</v>
      </c>
      <c r="CK5" s="23">
        <f t="shared" si="3"/>
        <v>-6.7332966870478685</v>
      </c>
      <c r="CL5" s="23">
        <f t="shared" si="3"/>
        <v>-3.3005456149432986</v>
      </c>
      <c r="CM5" s="23">
        <f t="shared" si="3"/>
        <v>-3.4560705551057596</v>
      </c>
      <c r="CN5" s="23">
        <f t="shared" si="3"/>
        <v>-1.8234731368622248E-2</v>
      </c>
      <c r="CO5" s="23">
        <f t="shared" si="3"/>
        <v>-3.3269928347698245</v>
      </c>
      <c r="CP5" s="23">
        <f t="shared" si="3"/>
        <v>-6.755358990776779</v>
      </c>
      <c r="CU5" s="21">
        <v>4</v>
      </c>
      <c r="CV5" s="24">
        <f t="shared" si="6"/>
        <v>0.31214256140571317</v>
      </c>
      <c r="CW5" s="24">
        <f t="shared" si="7"/>
        <v>-9.5777452186733285</v>
      </c>
      <c r="CX5" s="24">
        <f t="shared" si="8"/>
        <v>-9.3619980561010845</v>
      </c>
      <c r="CY5" s="24">
        <f t="shared" si="9"/>
        <v>13.745302205130265</v>
      </c>
      <c r="CZ5" s="24">
        <f t="shared" si="10"/>
        <v>-10.795048435230918</v>
      </c>
      <c r="DA5" s="24">
        <f t="shared" si="11"/>
        <v>-20.100038910893829</v>
      </c>
      <c r="DB5" s="24">
        <f t="shared" si="12"/>
        <v>-12.085837703521426</v>
      </c>
      <c r="DC5" s="24">
        <f t="shared" si="13"/>
        <v>44.562677942941313</v>
      </c>
      <c r="DF5" s="46">
        <v>4</v>
      </c>
      <c r="DG5" s="47">
        <f t="shared" si="36"/>
        <v>-1.8234731368622248E-2</v>
      </c>
      <c r="DH5" s="47">
        <f t="shared" si="14"/>
        <v>1.2117056718255741</v>
      </c>
      <c r="DI5" s="47">
        <f t="shared" si="15"/>
        <v>-3.3269928347698245</v>
      </c>
      <c r="DJ5" s="47">
        <f t="shared" si="16"/>
        <v>-2.1271341066699314</v>
      </c>
      <c r="DK5" s="47">
        <f t="shared" si="17"/>
        <v>0.1564976639160538</v>
      </c>
      <c r="DL5" s="47">
        <f t="shared" si="18"/>
        <v>1.3828725521701801</v>
      </c>
      <c r="DM5" s="47">
        <f t="shared" si="19"/>
        <v>1.3063604763416794</v>
      </c>
      <c r="DN5" s="47">
        <f t="shared" si="20"/>
        <v>2.5867444452312998</v>
      </c>
      <c r="DO5" s="47">
        <f t="shared" si="21"/>
        <v>0.29854763292052366</v>
      </c>
      <c r="DP5" s="47">
        <f t="shared" si="22"/>
        <v>1.5835060983205582</v>
      </c>
      <c r="DQ5" s="47">
        <f t="shared" si="23"/>
        <v>-6.755358990776779</v>
      </c>
      <c r="DR5" s="47">
        <f t="shared" si="24"/>
        <v>-5.5641165344083285</v>
      </c>
      <c r="DS5" s="47">
        <f t="shared" si="25"/>
        <v>-1.2385644349363611</v>
      </c>
      <c r="DT5" s="47">
        <f t="shared" si="26"/>
        <v>1.2385644349363611</v>
      </c>
      <c r="DX5">
        <v>4</v>
      </c>
      <c r="DY5" s="19">
        <f t="shared" si="27"/>
        <v>-2.5080924848480972</v>
      </c>
      <c r="EM5" s="21">
        <v>4</v>
      </c>
      <c r="EN5" s="16">
        <f t="shared" si="28"/>
        <v>0.31214256140571317</v>
      </c>
      <c r="EO5" s="16">
        <f t="shared" si="4"/>
        <v>-9.5777452186733285</v>
      </c>
      <c r="EP5" s="16">
        <f t="shared" si="29"/>
        <v>-9.3619980561010845</v>
      </c>
      <c r="EQ5" s="16">
        <f t="shared" si="30"/>
        <v>13.745302205130265</v>
      </c>
      <c r="ER5" s="16">
        <f t="shared" si="31"/>
        <v>-10.795048435230918</v>
      </c>
      <c r="ES5" s="16">
        <f t="shared" si="32"/>
        <v>-20.100038910893829</v>
      </c>
      <c r="ET5" s="16">
        <f t="shared" si="33"/>
        <v>-12.085837703521426</v>
      </c>
      <c r="EU5" s="16">
        <f t="shared" si="34"/>
        <v>44.562677942941313</v>
      </c>
      <c r="EW5" s="20">
        <f>LARGE($EN$2:$EU$2,4)</f>
        <v>-7.5513917186400654</v>
      </c>
      <c r="EX5" s="39" t="str">
        <f>INDEX(EN1:EU1,MATCH(EW5,EN2:EU2,0))</f>
        <v>NZD</v>
      </c>
      <c r="FK5" s="20"/>
      <c r="FL5" s="20"/>
    </row>
    <row r="6" spans="1:170" ht="14.4" thickBot="1" x14ac:dyDescent="0.35">
      <c r="A6" s="37" t="s">
        <v>51</v>
      </c>
      <c r="B6" s="38">
        <v>4</v>
      </c>
      <c r="C6" s="34">
        <f>RTD("fxbluelabs.excelrtd", , "21422436","@bh,AUDUSD,d1,close,4")</f>
        <v>0.66103999999999996</v>
      </c>
      <c r="D6" s="34">
        <f>RTD("fxbluelabs.excelrtd", , "21422436","@bh,AUDNZD,d1,close,4")</f>
        <v>1.10453</v>
      </c>
      <c r="E6" s="35">
        <f>RTD("fxbluelabs.excelrtd", , "21422436","@bh,AUDJPY,d1,close,4")</f>
        <v>98.677999999999997</v>
      </c>
      <c r="F6" s="34">
        <f>RTD("fxbluelabs.excelrtd", , "21422436","@bh,AUDCHF,d1,close,4")</f>
        <v>0.57676000000000005</v>
      </c>
      <c r="G6" s="34">
        <f>RTD("fxbluelabs.excelrtd", , "21422436","@bh,AUDCAD,d1,close,4")</f>
        <v>0.90742999999999996</v>
      </c>
      <c r="H6" s="34">
        <f>RTD("fxbluelabs.excelrtd", , "21422436","@bh,EURUSD,d1,close,4")</f>
        <v>1.0971200000000001</v>
      </c>
      <c r="I6" s="34">
        <f>RTD("fxbluelabs.excelrtd", , "21422436","@bh,EURCAD,d1,close,4")</f>
        <v>1.5061</v>
      </c>
      <c r="J6" s="34">
        <f>RTD("fxbluelabs.excelrtd", , "21422436","@bh,EURGBP,d1,close,4")</f>
        <v>0.85350999999999999</v>
      </c>
      <c r="K6" s="34">
        <f>RTD("fxbluelabs.excelrtd", , "21422436","@bh,EURCHF,d1,close,4")</f>
        <v>0.95728000000000002</v>
      </c>
      <c r="L6" s="35">
        <f>RTD("fxbluelabs.excelrtd", , "21422436","@bh,EURJPY,d1,close,4")</f>
        <v>163.78200000000001</v>
      </c>
      <c r="M6" s="34">
        <f>RTD("fxbluelabs.excelrtd", , "21422436","@bh,EURAUD,d1,close,4")</f>
        <v>1.6596299999999999</v>
      </c>
      <c r="N6" s="34">
        <f>RTD("fxbluelabs.excelrtd", , "21422436","@bh,EURNZD,d1,close,4")</f>
        <v>1.83327</v>
      </c>
      <c r="O6" s="34">
        <f>RTD("fxbluelabs.excelrtd", , "21422436","@bh,GBPUSD,d1,close,4")</f>
        <v>1.2853300000000001</v>
      </c>
      <c r="P6" s="34">
        <f>RTD("fxbluelabs.excelrtd", , "21422436","@bh,GBPAUD,d1,close,4")</f>
        <v>1.94432</v>
      </c>
      <c r="Q6" s="34">
        <f>RTD("fxbluelabs.excelrtd", , "21422436","@bh,GBPNZD,d1,close,4")</f>
        <v>2.1476899999999999</v>
      </c>
      <c r="R6" s="34">
        <f>RTD("fxbluelabs.excelrtd", , "21422436","@bh,GBPCAD,d1,close,4")</f>
        <v>1.7644599999999999</v>
      </c>
      <c r="S6" s="34">
        <f>RTD("fxbluelabs.excelrtd", , "21422436","@bh,GBPCHF,d1,close,4")</f>
        <v>1.1214599999999999</v>
      </c>
      <c r="T6" s="35">
        <f>RTD("fxbluelabs.excelrtd", , "21422436","@bh,GBPJPY,d1,close,4")</f>
        <v>191.874</v>
      </c>
      <c r="U6" s="35">
        <f>RTD("fxbluelabs.excelrtd", , "21422436","@bh,NZDJPY,d1,close,4")</f>
        <v>89.317999999999998</v>
      </c>
      <c r="V6" s="34">
        <f>RTD("fxbluelabs.excelrtd", , "21422436","@bh,NZDCHF,d1,close,4")</f>
        <v>0.52205999999999997</v>
      </c>
      <c r="W6" s="34">
        <f>RTD("fxbluelabs.excelrtd", , "21422436","@bh,NZDUSD,d1,close,4")</f>
        <v>0.59841</v>
      </c>
      <c r="X6" s="34">
        <f>RTD("fxbluelabs.excelrtd", , "21422436","@bh,NZDCAD,d1,close,4")</f>
        <v>0.82145000000000001</v>
      </c>
      <c r="Y6" s="35">
        <f>RTD("fxbluelabs.excelrtd", , "21422436","@bh,CADJPY,d1,close,4")</f>
        <v>108.73699999999999</v>
      </c>
      <c r="Z6" s="34">
        <f>RTD("fxbluelabs.excelrtd", , "21422436","@bh,CADCHF,d1,close,4")</f>
        <v>0.63554999999999995</v>
      </c>
      <c r="AA6" s="35">
        <f>RTD("fxbluelabs.excelrtd", , "21422436","@bh,CHFJPY,d1,close,4")</f>
        <v>171.06700000000001</v>
      </c>
      <c r="AB6" s="34">
        <f>RTD("fxbluelabs.excelrtd", , "21422436","@bh,USDCAD,d1,close,4")</f>
        <v>1.3729</v>
      </c>
      <c r="AC6" s="34">
        <f>RTD("fxbluelabs.excelrtd", , "21422436","@bh,USDCHF,d1,close,4")</f>
        <v>0.87253999999999998</v>
      </c>
      <c r="AD6" s="35">
        <f>RTD("fxbluelabs.excelrtd", , "21422436","@bh,USDJPY,d1,close,4")</f>
        <v>149.28299999999999</v>
      </c>
      <c r="AH6" s="13">
        <v>5</v>
      </c>
      <c r="AI6" s="27">
        <f t="shared" si="35"/>
        <v>0.21071780489653641</v>
      </c>
      <c r="AJ6" s="27">
        <f t="shared" si="35"/>
        <v>0.41729548884485468</v>
      </c>
      <c r="AK6" s="27">
        <f t="shared" si="35"/>
        <v>1.5508742320239481</v>
      </c>
      <c r="AL6" s="27">
        <f t="shared" si="35"/>
        <v>1.074251266144451</v>
      </c>
      <c r="AM6" s="27">
        <f t="shared" si="35"/>
        <v>0.3150633443144783</v>
      </c>
      <c r="AN6" s="27">
        <f t="shared" si="35"/>
        <v>-0.37321903689509334</v>
      </c>
      <c r="AO6" s="27">
        <f t="shared" si="35"/>
        <v>-0.26884568522540342</v>
      </c>
      <c r="AP6" s="27">
        <f t="shared" si="35"/>
        <v>-0.57661393658411686</v>
      </c>
      <c r="AQ6" s="27">
        <f t="shared" si="35"/>
        <v>0.48284838560692456</v>
      </c>
      <c r="AR6" s="27">
        <f t="shared" si="35"/>
        <v>0.96040043396786001</v>
      </c>
      <c r="AS6" s="27">
        <f t="shared" si="35"/>
        <v>-0.58166700612218647</v>
      </c>
      <c r="AT6" s="27">
        <f t="shared" si="35"/>
        <v>-0.17098578204214432</v>
      </c>
      <c r="AU6" s="27">
        <f t="shared" si="35"/>
        <v>0.21675568203968693</v>
      </c>
      <c r="AV6" s="27">
        <f t="shared" si="35"/>
        <v>7.2009793331908045E-3</v>
      </c>
      <c r="AW6" s="27">
        <f t="shared" si="35"/>
        <v>0.42692278916653542</v>
      </c>
      <c r="AX6" s="27">
        <f t="shared" si="35"/>
        <v>0.32181032522174202</v>
      </c>
      <c r="AY6" s="27">
        <f t="shared" si="1"/>
        <v>1.0779630464173025</v>
      </c>
      <c r="AZ6" s="27">
        <f t="shared" si="1"/>
        <v>1.5587866341323953</v>
      </c>
      <c r="BA6" s="27">
        <f t="shared" si="1"/>
        <v>1.1517423358738812</v>
      </c>
      <c r="BB6" s="27">
        <f t="shared" si="1"/>
        <v>0.66912204246128404</v>
      </c>
      <c r="BC6" s="27">
        <f t="shared" si="1"/>
        <v>-0.21344361253313346</v>
      </c>
      <c r="BD6" s="27">
        <f t="shared" si="1"/>
        <v>-0.10336860026754437</v>
      </c>
      <c r="BE6" s="27">
        <f t="shared" si="1"/>
        <v>1.2279133850937352</v>
      </c>
      <c r="BF6" s="27">
        <f t="shared" si="1"/>
        <v>0.75301204819275847</v>
      </c>
      <c r="BG6" s="27">
        <f t="shared" si="1"/>
        <v>0.47162054221679112</v>
      </c>
      <c r="BH6" s="27">
        <f t="shared" si="1"/>
        <v>0.11010726343344346</v>
      </c>
      <c r="BI6" s="27">
        <f t="shared" si="1"/>
        <v>0.86118207354147625</v>
      </c>
      <c r="BJ6" s="27">
        <f t="shared" si="1"/>
        <v>1.3366007304125842</v>
      </c>
      <c r="BN6">
        <v>5</v>
      </c>
      <c r="BO6" s="28">
        <f t="shared" si="5"/>
        <v>-2.2094828289981039</v>
      </c>
      <c r="BP6" s="28">
        <f t="shared" si="2"/>
        <v>-0.71878917316528923</v>
      </c>
      <c r="BQ6" s="28">
        <f t="shared" si="3"/>
        <v>-7.8140869589062225</v>
      </c>
      <c r="BR6" s="28">
        <f t="shared" si="3"/>
        <v>-4.7691333792423487</v>
      </c>
      <c r="BS6" s="28">
        <f t="shared" si="3"/>
        <v>-1.8827065966815588</v>
      </c>
      <c r="BT6" s="28">
        <f t="shared" si="3"/>
        <v>0.71537645185339338</v>
      </c>
      <c r="BU6" s="28">
        <f t="shared" si="3"/>
        <v>1.0490338704843576</v>
      </c>
      <c r="BV6" s="28">
        <f t="shared" si="3"/>
        <v>1.5914231256842579</v>
      </c>
      <c r="BW6" s="28">
        <f t="shared" si="3"/>
        <v>-1.8920931573134239</v>
      </c>
      <c r="BX6" s="28">
        <f t="shared" si="3"/>
        <v>-4.9492748546144529</v>
      </c>
      <c r="BY6" s="28">
        <f t="shared" si="3"/>
        <v>2.9639369519948504</v>
      </c>
      <c r="BZ6" s="28">
        <f t="shared" si="3"/>
        <v>2.233164904715681</v>
      </c>
      <c r="CA6" s="28">
        <f t="shared" si="3"/>
        <v>-0.86993312407024703</v>
      </c>
      <c r="CB6" s="28">
        <f t="shared" si="3"/>
        <v>1.3630974558013995</v>
      </c>
      <c r="CC6" s="28">
        <f t="shared" si="3"/>
        <v>0.6386475795982709</v>
      </c>
      <c r="CD6" s="28">
        <f t="shared" si="3"/>
        <v>-0.53718822811718003</v>
      </c>
      <c r="CE6" s="28">
        <f t="shared" si="3"/>
        <v>-3.4495547882433408</v>
      </c>
      <c r="CF6" s="28">
        <f t="shared" si="3"/>
        <v>-6.5014068061535299</v>
      </c>
      <c r="CG6" s="28">
        <f t="shared" si="3"/>
        <v>-7.1038789988466453</v>
      </c>
      <c r="CH6" s="28">
        <f t="shared" si="3"/>
        <v>-4.0477851669565634</v>
      </c>
      <c r="CI6" s="28">
        <f t="shared" si="3"/>
        <v>-1.4683141809394415</v>
      </c>
      <c r="CJ6" s="28">
        <f t="shared" si="3"/>
        <v>-1.1425758688342744</v>
      </c>
      <c r="CK6" s="28">
        <f t="shared" si="3"/>
        <v>-5.9580315978877945</v>
      </c>
      <c r="CL6" s="28">
        <f t="shared" si="3"/>
        <v>-2.9071855331244114</v>
      </c>
      <c r="CM6" s="28">
        <f t="shared" si="3"/>
        <v>-3.0772716049868025</v>
      </c>
      <c r="CN6" s="28">
        <f t="shared" si="3"/>
        <v>0.3459578536703547</v>
      </c>
      <c r="CO6" s="28">
        <f t="shared" si="3"/>
        <v>-2.5763109176084407</v>
      </c>
      <c r="CP6" s="28">
        <f t="shared" si="3"/>
        <v>-5.6266303344662987</v>
      </c>
      <c r="CU6" s="21">
        <v>5</v>
      </c>
      <c r="CV6" s="29">
        <f t="shared" si="6"/>
        <v>1.7115672928046632</v>
      </c>
      <c r="CW6" s="29">
        <f t="shared" si="7"/>
        <v>-4.0246297162499864</v>
      </c>
      <c r="CX6" s="29">
        <f t="shared" si="8"/>
        <v>-6.6977381615339029</v>
      </c>
      <c r="CY6" s="29">
        <f t="shared" si="9"/>
        <v>13.657605804377315</v>
      </c>
      <c r="CZ6" s="29">
        <f t="shared" si="10"/>
        <v>-10.947761036868886</v>
      </c>
      <c r="DA6" s="29">
        <f t="shared" si="11"/>
        <v>-21.72123334478977</v>
      </c>
      <c r="DB6" s="29">
        <f t="shared" si="12"/>
        <v>-15.915577526725587</v>
      </c>
      <c r="DC6" s="29">
        <f t="shared" si="13"/>
        <v>41.030581155861746</v>
      </c>
      <c r="DF6" s="48">
        <v>5</v>
      </c>
      <c r="DG6" s="49">
        <f t="shared" si="36"/>
        <v>0.3459578536703547</v>
      </c>
      <c r="DH6" s="49">
        <f t="shared" si="14"/>
        <v>1.0490338704843576</v>
      </c>
      <c r="DI6" s="49">
        <f t="shared" si="15"/>
        <v>-2.5763109176084407</v>
      </c>
      <c r="DJ6" s="49">
        <f t="shared" si="16"/>
        <v>-1.8920931573134239</v>
      </c>
      <c r="DK6" s="49">
        <f t="shared" si="17"/>
        <v>0.86993312407024703</v>
      </c>
      <c r="DL6" s="49">
        <f t="shared" si="18"/>
        <v>1.5914231256842579</v>
      </c>
      <c r="DM6" s="49">
        <f t="shared" si="19"/>
        <v>2.2094828289981039</v>
      </c>
      <c r="DN6" s="49">
        <f t="shared" si="20"/>
        <v>2.9639369519948504</v>
      </c>
      <c r="DO6" s="49">
        <f t="shared" si="21"/>
        <v>1.4683141809394415</v>
      </c>
      <c r="DP6" s="49">
        <f t="shared" si="22"/>
        <v>2.233164904715681</v>
      </c>
      <c r="DQ6" s="49">
        <f t="shared" si="23"/>
        <v>-5.6266303344662987</v>
      </c>
      <c r="DR6" s="49">
        <f t="shared" si="24"/>
        <v>-4.9492748546144529</v>
      </c>
      <c r="DS6" s="49">
        <f t="shared" si="25"/>
        <v>-0.71537645185339338</v>
      </c>
      <c r="DT6" s="49">
        <f t="shared" si="26"/>
        <v>0.71537645185339338</v>
      </c>
      <c r="DX6">
        <v>5</v>
      </c>
      <c r="DY6" s="19">
        <f t="shared" si="27"/>
        <v>-11.8909478104756</v>
      </c>
      <c r="EM6" s="21">
        <v>5</v>
      </c>
      <c r="EN6" s="16">
        <f t="shared" si="28"/>
        <v>1.7115672928046632</v>
      </c>
      <c r="EO6" s="16">
        <f t="shared" si="4"/>
        <v>-4.0246297162499864</v>
      </c>
      <c r="EP6" s="16">
        <f t="shared" si="29"/>
        <v>-6.6977381615339029</v>
      </c>
      <c r="EQ6" s="16">
        <f t="shared" si="30"/>
        <v>13.657605804377315</v>
      </c>
      <c r="ER6" s="16">
        <f t="shared" si="31"/>
        <v>-10.947761036868886</v>
      </c>
      <c r="ES6" s="16">
        <f t="shared" si="32"/>
        <v>-21.72123334478977</v>
      </c>
      <c r="ET6" s="16">
        <f t="shared" si="33"/>
        <v>-15.915577526725587</v>
      </c>
      <c r="EU6" s="16">
        <f t="shared" si="34"/>
        <v>41.030581155861746</v>
      </c>
      <c r="EW6" s="20">
        <f>LARGE($EN$2:$EU$2,5)</f>
        <v>-11.470707093572216</v>
      </c>
      <c r="EX6" s="39" t="str">
        <f>INDEX(EN1:EU1,MATCH(EW6,EN2:EU2,0))</f>
        <v>GBP</v>
      </c>
      <c r="FK6" s="20"/>
    </row>
    <row r="7" spans="1:170" ht="14.4" thickBot="1" x14ac:dyDescent="0.35">
      <c r="A7" s="37" t="s">
        <v>51</v>
      </c>
      <c r="B7" s="38">
        <v>5</v>
      </c>
      <c r="C7" s="34">
        <f>RTD("fxbluelabs.excelrtd", , "21422436","@bh,AUDUSD,d1,close,5")</f>
        <v>0.65964999999999996</v>
      </c>
      <c r="D7" s="34">
        <f>RTD("fxbluelabs.excelrtd", , "21422436","@bh,AUDNZD,d1,close,5")</f>
        <v>1.0999399999999999</v>
      </c>
      <c r="E7" s="35">
        <f>RTD("fxbluelabs.excelrtd", , "21422436","@bh,AUDJPY,d1,close,5")</f>
        <v>97.171000000000006</v>
      </c>
      <c r="F7" s="34">
        <f>RTD("fxbluelabs.excelrtd", , "21422436","@bh,AUDCHF,d1,close,5")</f>
        <v>0.57062999999999997</v>
      </c>
      <c r="G7" s="34">
        <f>RTD("fxbluelabs.excelrtd", , "21422436","@bh,AUDCAD,d1,close,5")</f>
        <v>0.90458000000000005</v>
      </c>
      <c r="H7" s="34">
        <f>RTD("fxbluelabs.excelrtd", , "21422436","@bh,EURUSD,d1,close,5")</f>
        <v>1.1012299999999999</v>
      </c>
      <c r="I7" s="34">
        <f>RTD("fxbluelabs.excelrtd", , "21422436","@bh,EURCAD,d1,close,5")</f>
        <v>1.5101599999999999</v>
      </c>
      <c r="J7" s="34">
        <f>RTD("fxbluelabs.excelrtd", , "21422436","@bh,EURGBP,d1,close,5")</f>
        <v>0.85846</v>
      </c>
      <c r="K7" s="34">
        <f>RTD("fxbluelabs.excelrtd", , "21422436","@bh,EURCHF,d1,close,5")</f>
        <v>0.95267999999999997</v>
      </c>
      <c r="L7" s="35">
        <f>RTD("fxbluelabs.excelrtd", , "21422436","@bh,EURJPY,d1,close,5")</f>
        <v>162.22399999999999</v>
      </c>
      <c r="M7" s="34">
        <f>RTD("fxbluelabs.excelrtd", , "21422436","@bh,EURAUD,d1,close,5")</f>
        <v>1.66934</v>
      </c>
      <c r="N7" s="34">
        <f>RTD("fxbluelabs.excelrtd", , "21422436","@bh,EURNZD,d1,close,5")</f>
        <v>1.8364100000000001</v>
      </c>
      <c r="O7" s="34">
        <f>RTD("fxbluelabs.excelrtd", , "21422436","@bh,GBPUSD,d1,close,5")</f>
        <v>1.2825500000000001</v>
      </c>
      <c r="P7" s="34">
        <f>RTD("fxbluelabs.excelrtd", , "21422436","@bh,GBPAUD,d1,close,5")</f>
        <v>1.94418</v>
      </c>
      <c r="Q7" s="34">
        <f>RTD("fxbluelabs.excelrtd", , "21422436","@bh,GBPNZD,d1,close,5")</f>
        <v>2.13856</v>
      </c>
      <c r="R7" s="34">
        <f>RTD("fxbluelabs.excelrtd", , "21422436","@bh,GBPCAD,d1,close,5")</f>
        <v>1.7587999999999999</v>
      </c>
      <c r="S7" s="34">
        <f>RTD("fxbluelabs.excelrtd", , "21422436","@bh,GBPCHF,d1,close,5")</f>
        <v>1.1094999999999999</v>
      </c>
      <c r="T7" s="35">
        <f>RTD("fxbluelabs.excelrtd", , "21422436","@bh,GBPJPY,d1,close,5")</f>
        <v>188.929</v>
      </c>
      <c r="U7" s="35">
        <f>RTD("fxbluelabs.excelrtd", , "21422436","@bh,NZDJPY,d1,close,5")</f>
        <v>88.301000000000002</v>
      </c>
      <c r="V7" s="34">
        <f>RTD("fxbluelabs.excelrtd", , "21422436","@bh,NZDCHF,d1,close,5")</f>
        <v>0.51859</v>
      </c>
      <c r="W7" s="34">
        <f>RTD("fxbluelabs.excelrtd", , "21422436","@bh,NZDUSD,d1,close,5")</f>
        <v>0.59968999999999995</v>
      </c>
      <c r="X7" s="34">
        <f>RTD("fxbluelabs.excelrtd", , "21422436","@bh,NZDCAD,d1,close,5")</f>
        <v>0.82230000000000003</v>
      </c>
      <c r="Y7" s="35">
        <f>RTD("fxbluelabs.excelrtd", , "21422436","@bh,CADJPY,d1,close,5")</f>
        <v>107.41800000000001</v>
      </c>
      <c r="Z7" s="34">
        <f>RTD("fxbluelabs.excelrtd", , "21422436","@bh,CADCHF,d1,close,5")</f>
        <v>0.63080000000000003</v>
      </c>
      <c r="AA7" s="35">
        <f>RTD("fxbluelabs.excelrtd", , "21422436","@bh,CHFJPY,d1,close,5")</f>
        <v>170.26400000000001</v>
      </c>
      <c r="AB7" s="34">
        <f>RTD("fxbluelabs.excelrtd", , "21422436","@bh,USDCAD,d1,close,5")</f>
        <v>1.3713900000000001</v>
      </c>
      <c r="AC7" s="34">
        <f>RTD("fxbluelabs.excelrtd", , "21422436","@bh,USDCHF,d1,close,5")</f>
        <v>0.86509000000000003</v>
      </c>
      <c r="AD7" s="35">
        <f>RTD("fxbluelabs.excelrtd", , "21422436","@bh,USDJPY,d1,close,5")</f>
        <v>147.31399999999999</v>
      </c>
      <c r="AH7" s="21">
        <v>6</v>
      </c>
      <c r="AI7" s="22">
        <f t="shared" si="35"/>
        <v>-0.56077302259674944</v>
      </c>
      <c r="AJ7" s="22">
        <f t="shared" si="35"/>
        <v>0.77417108722936956</v>
      </c>
      <c r="AK7" s="22">
        <f t="shared" si="35"/>
        <v>-0.24433060600149836</v>
      </c>
      <c r="AL7" s="22">
        <f t="shared" si="35"/>
        <v>-0.52298519951885414</v>
      </c>
      <c r="AM7" s="22">
        <f t="shared" si="35"/>
        <v>-0.50485607752125372</v>
      </c>
      <c r="AN7" s="22">
        <f t="shared" si="35"/>
        <v>0.17738883632922423</v>
      </c>
      <c r="AO7" s="22">
        <f t="shared" si="35"/>
        <v>0.23296717884046739</v>
      </c>
      <c r="AP7" s="22">
        <f t="shared" si="35"/>
        <v>0.44932250590905365</v>
      </c>
      <c r="AQ7" s="22">
        <f t="shared" si="35"/>
        <v>0.21564646602779172</v>
      </c>
      <c r="AR7" s="22">
        <f t="shared" si="35"/>
        <v>0.49434415769454854</v>
      </c>
      <c r="AS7" s="22">
        <f t="shared" si="35"/>
        <v>0.74350339766569562</v>
      </c>
      <c r="AT7" s="22">
        <f t="shared" si="35"/>
        <v>1.5247425131162222</v>
      </c>
      <c r="AU7" s="22">
        <f t="shared" si="35"/>
        <v>-0.29075869360718459</v>
      </c>
      <c r="AV7" s="22">
        <f t="shared" si="35"/>
        <v>0.27283651986445939</v>
      </c>
      <c r="AW7" s="22">
        <f t="shared" si="35"/>
        <v>1.0437190227123438</v>
      </c>
      <c r="AX7" s="22">
        <f t="shared" si="35"/>
        <v>-0.23540089055277222</v>
      </c>
      <c r="AY7" s="22">
        <f t="shared" si="1"/>
        <v>-0.25352416570771402</v>
      </c>
      <c r="AZ7" s="22">
        <f t="shared" si="1"/>
        <v>2.4883260448320666E-2</v>
      </c>
      <c r="BA7" s="22">
        <f t="shared" si="1"/>
        <v>-1.0333658361633178</v>
      </c>
      <c r="BB7" s="22">
        <f t="shared" si="1"/>
        <v>-1.30554762584451</v>
      </c>
      <c r="BC7" s="22">
        <f t="shared" si="1"/>
        <v>-1.3180845812078448</v>
      </c>
      <c r="BD7" s="22">
        <f t="shared" si="1"/>
        <v>-1.2691056227262321</v>
      </c>
      <c r="BE7" s="22">
        <f t="shared" si="1"/>
        <v>0.26602447425164122</v>
      </c>
      <c r="BF7" s="22">
        <f t="shared" si="1"/>
        <v>-1.5850372483751624E-2</v>
      </c>
      <c r="BG7" s="22">
        <f t="shared" si="1"/>
        <v>0.27621543626138728</v>
      </c>
      <c r="BH7" s="22">
        <f t="shared" si="1"/>
        <v>5.5448954130589138E-2</v>
      </c>
      <c r="BI7" s="22">
        <f t="shared" si="1"/>
        <v>3.7004058882707185E-2</v>
      </c>
      <c r="BJ7" s="22">
        <f t="shared" si="1"/>
        <v>0.31870122441196169</v>
      </c>
      <c r="BN7">
        <v>6</v>
      </c>
      <c r="BO7" s="23">
        <f t="shared" si="5"/>
        <v>-2.4202006338946407</v>
      </c>
      <c r="BP7" s="23">
        <f t="shared" si="2"/>
        <v>-1.1360846620101444</v>
      </c>
      <c r="BQ7" s="23">
        <f t="shared" si="3"/>
        <v>-9.3649611909301704</v>
      </c>
      <c r="BR7" s="23">
        <f t="shared" si="3"/>
        <v>-5.8433846453868004</v>
      </c>
      <c r="BS7" s="23">
        <f t="shared" si="3"/>
        <v>-2.1977699409960372</v>
      </c>
      <c r="BT7" s="23">
        <f t="shared" si="3"/>
        <v>1.0885954887484866</v>
      </c>
      <c r="BU7" s="23">
        <f t="shared" si="3"/>
        <v>1.3178795557097609</v>
      </c>
      <c r="BV7" s="23">
        <f t="shared" si="3"/>
        <v>2.1680370622683744</v>
      </c>
      <c r="BW7" s="23">
        <f t="shared" si="3"/>
        <v>-2.374941542920348</v>
      </c>
      <c r="BX7" s="23">
        <f t="shared" si="3"/>
        <v>-5.9096752885823127</v>
      </c>
      <c r="BY7" s="23">
        <f t="shared" si="3"/>
        <v>3.5456039581170371</v>
      </c>
      <c r="BZ7" s="23">
        <f t="shared" si="3"/>
        <v>2.4041506867578253</v>
      </c>
      <c r="CA7" s="23">
        <f t="shared" si="3"/>
        <v>-1.0866888061099345</v>
      </c>
      <c r="CB7" s="23">
        <f t="shared" si="3"/>
        <v>1.3558964764682089</v>
      </c>
      <c r="CC7" s="23">
        <f t="shared" si="3"/>
        <v>0.21172479043173553</v>
      </c>
      <c r="CD7" s="23">
        <f t="shared" si="3"/>
        <v>-0.85899855333892161</v>
      </c>
      <c r="CE7" s="23">
        <f t="shared" si="3"/>
        <v>-4.5275178346606433</v>
      </c>
      <c r="CF7" s="23">
        <f t="shared" si="3"/>
        <v>-8.060193440285925</v>
      </c>
      <c r="CG7" s="23">
        <f t="shared" si="3"/>
        <v>-8.2556213347205265</v>
      </c>
      <c r="CH7" s="23">
        <f t="shared" si="3"/>
        <v>-4.7169072094178475</v>
      </c>
      <c r="CI7" s="23">
        <f t="shared" si="3"/>
        <v>-1.254870568406308</v>
      </c>
      <c r="CJ7" s="23">
        <f t="shared" si="3"/>
        <v>-1.03920726856673</v>
      </c>
      <c r="CK7" s="23">
        <f t="shared" si="3"/>
        <v>-7.1859449829815309</v>
      </c>
      <c r="CL7" s="23">
        <f t="shared" si="3"/>
        <v>-3.6601975813171697</v>
      </c>
      <c r="CM7" s="23">
        <f t="shared" si="3"/>
        <v>-3.5488921472035937</v>
      </c>
      <c r="CN7" s="23">
        <f t="shared" si="3"/>
        <v>0.23585059023691124</v>
      </c>
      <c r="CO7" s="23">
        <f t="shared" si="3"/>
        <v>-3.437492991149917</v>
      </c>
      <c r="CP7" s="23">
        <f t="shared" si="3"/>
        <v>-6.9632310648788831</v>
      </c>
      <c r="CU7" s="13">
        <v>6</v>
      </c>
      <c r="CV7" s="24">
        <f t="shared" si="6"/>
        <v>2.2396499200988234</v>
      </c>
      <c r="CW7" s="24">
        <f t="shared" si="7"/>
        <v>-6.4917089461294921</v>
      </c>
      <c r="CX7" s="24">
        <f t="shared" si="8"/>
        <v>-8.3038969473436843</v>
      </c>
      <c r="CY7" s="24">
        <f t="shared" si="9"/>
        <v>17.351352076331963</v>
      </c>
      <c r="CZ7" s="24">
        <f t="shared" si="10"/>
        <v>-15.133814429763856</v>
      </c>
      <c r="DA7" s="24">
        <f t="shared" si="11"/>
        <v>-25.863901507803043</v>
      </c>
      <c r="DB7" s="24">
        <f t="shared" si="12"/>
        <v>-16.746397196290829</v>
      </c>
      <c r="DC7" s="24">
        <f t="shared" si="13"/>
        <v>49.288519449582942</v>
      </c>
      <c r="DF7" s="46">
        <v>6</v>
      </c>
      <c r="DG7" s="47">
        <f t="shared" si="36"/>
        <v>0.23585059023691124</v>
      </c>
      <c r="DH7" s="47">
        <f t="shared" si="14"/>
        <v>1.3178795557097609</v>
      </c>
      <c r="DI7" s="47">
        <f t="shared" si="15"/>
        <v>-3.437492991149917</v>
      </c>
      <c r="DJ7" s="47">
        <f t="shared" si="16"/>
        <v>-2.374941542920348</v>
      </c>
      <c r="DK7" s="47">
        <f t="shared" si="17"/>
        <v>1.0866888061099345</v>
      </c>
      <c r="DL7" s="47">
        <f t="shared" si="18"/>
        <v>2.1680370622683744</v>
      </c>
      <c r="DM7" s="47">
        <f t="shared" si="19"/>
        <v>2.4202006338946407</v>
      </c>
      <c r="DN7" s="47">
        <f t="shared" si="20"/>
        <v>3.5456039581170371</v>
      </c>
      <c r="DO7" s="47">
        <f t="shared" si="21"/>
        <v>1.254870568406308</v>
      </c>
      <c r="DP7" s="47">
        <f t="shared" si="22"/>
        <v>2.4041506867578253</v>
      </c>
      <c r="DQ7" s="47">
        <f t="shared" si="23"/>
        <v>-6.9632310648788831</v>
      </c>
      <c r="DR7" s="47">
        <f t="shared" si="24"/>
        <v>-5.9096752885823127</v>
      </c>
      <c r="DS7" s="47">
        <f t="shared" si="25"/>
        <v>-1.0885954887484866</v>
      </c>
      <c r="DT7" s="47">
        <f t="shared" si="26"/>
        <v>1.0885954887484866</v>
      </c>
      <c r="DX7">
        <v>6</v>
      </c>
      <c r="DY7" s="19">
        <f t="shared" si="27"/>
        <v>-10.254688250161337</v>
      </c>
      <c r="EM7" s="13">
        <v>6</v>
      </c>
      <c r="EN7" s="16">
        <f t="shared" si="28"/>
        <v>2.2396499200988234</v>
      </c>
      <c r="EO7" s="16">
        <f t="shared" si="4"/>
        <v>-6.4917089461294921</v>
      </c>
      <c r="EP7" s="16">
        <f t="shared" si="29"/>
        <v>-8.3038969473436843</v>
      </c>
      <c r="EQ7" s="16">
        <f t="shared" si="30"/>
        <v>17.351352076331963</v>
      </c>
      <c r="ER7" s="16">
        <f t="shared" si="31"/>
        <v>-15.133814429763856</v>
      </c>
      <c r="ES7" s="16">
        <f t="shared" si="32"/>
        <v>-25.863901507803043</v>
      </c>
      <c r="ET7" s="16">
        <f t="shared" si="33"/>
        <v>-16.746397196290829</v>
      </c>
      <c r="EU7" s="16">
        <f t="shared" si="34"/>
        <v>49.288519449582942</v>
      </c>
      <c r="EW7" s="20">
        <f>LARGE($EN$2:$EU$2,6)</f>
        <v>-12.026121956761548</v>
      </c>
      <c r="EX7" s="39" t="str">
        <f>INDEX(EN1:EU1,MATCH(EW7,EN2:EU2,0))</f>
        <v>CAD</v>
      </c>
      <c r="FK7" s="20"/>
      <c r="FL7" s="20"/>
    </row>
    <row r="8" spans="1:170" ht="14.4" thickBot="1" x14ac:dyDescent="0.35">
      <c r="A8" s="37" t="s">
        <v>51</v>
      </c>
      <c r="B8" s="38">
        <v>6</v>
      </c>
      <c r="C8" s="34">
        <f>RTD("fxbluelabs.excelrtd", , "21422436","@bh,AUDUSD,d1,close,6")</f>
        <v>0.66337000000000002</v>
      </c>
      <c r="D8" s="34">
        <f>RTD("fxbluelabs.excelrtd", , "21422436","@bh,AUDNZD,d1,close,6")</f>
        <v>1.0914900000000001</v>
      </c>
      <c r="E8" s="35">
        <f>RTD("fxbluelabs.excelrtd", , "21422436","@bh,AUDJPY,d1,close,6")</f>
        <v>97.409000000000006</v>
      </c>
      <c r="F8" s="34">
        <f>RTD("fxbluelabs.excelrtd", , "21422436","@bh,AUDCHF,d1,close,6")</f>
        <v>0.57362999999999997</v>
      </c>
      <c r="G8" s="34">
        <f>RTD("fxbluelabs.excelrtd", , "21422436","@bh,AUDCAD,d1,close,6")</f>
        <v>0.90917000000000003</v>
      </c>
      <c r="H8" s="34">
        <f>RTD("fxbluelabs.excelrtd", , "21422436","@bh,EURUSD,d1,close,6")</f>
        <v>1.09928</v>
      </c>
      <c r="I8" s="34">
        <f>RTD("fxbluelabs.excelrtd", , "21422436","@bh,EURCAD,d1,close,6")</f>
        <v>1.50665</v>
      </c>
      <c r="J8" s="34">
        <f>RTD("fxbluelabs.excelrtd", , "21422436","@bh,EURGBP,d1,close,6")</f>
        <v>0.85462000000000005</v>
      </c>
      <c r="K8" s="34">
        <f>RTD("fxbluelabs.excelrtd", , "21422436","@bh,EURCHF,d1,close,6")</f>
        <v>0.95062999999999998</v>
      </c>
      <c r="L8" s="35">
        <f>RTD("fxbluelabs.excelrtd", , "21422436","@bh,EURJPY,d1,close,6")</f>
        <v>161.42599999999999</v>
      </c>
      <c r="M8" s="34">
        <f>RTD("fxbluelabs.excelrtd", , "21422436","@bh,EURAUD,d1,close,6")</f>
        <v>1.6570199999999999</v>
      </c>
      <c r="N8" s="34">
        <f>RTD("fxbluelabs.excelrtd", , "21422436","@bh,EURNZD,d1,close,6")</f>
        <v>1.8088299999999999</v>
      </c>
      <c r="O8" s="34">
        <f>RTD("fxbluelabs.excelrtd", , "21422436","@bh,GBPUSD,d1,close,6")</f>
        <v>1.2862899999999999</v>
      </c>
      <c r="P8" s="34">
        <f>RTD("fxbluelabs.excelrtd", , "21422436","@bh,GBPAUD,d1,close,6")</f>
        <v>1.93889</v>
      </c>
      <c r="Q8" s="34">
        <f>RTD("fxbluelabs.excelrtd", , "21422436","@bh,GBPNZD,d1,close,6")</f>
        <v>2.1164700000000001</v>
      </c>
      <c r="R8" s="34">
        <f>RTD("fxbluelabs.excelrtd", , "21422436","@bh,GBPCAD,d1,close,6")</f>
        <v>1.76295</v>
      </c>
      <c r="S8" s="34">
        <f>RTD("fxbluelabs.excelrtd", , "21422436","@bh,GBPCHF,d1,close,6")</f>
        <v>1.11232</v>
      </c>
      <c r="T8" s="35">
        <f>RTD("fxbluelabs.excelrtd", , "21422436","@bh,GBPJPY,d1,close,6")</f>
        <v>188.88200000000001</v>
      </c>
      <c r="U8" s="35">
        <f>RTD("fxbluelabs.excelrtd", , "21422436","@bh,NZDJPY,d1,close,6")</f>
        <v>89.222999999999999</v>
      </c>
      <c r="V8" s="34">
        <f>RTD("fxbluelabs.excelrtd", , "21422436","@bh,NZDCHF,d1,close,6")</f>
        <v>0.52544999999999997</v>
      </c>
      <c r="W8" s="34">
        <f>RTD("fxbluelabs.excelrtd", , "21422436","@bh,NZDUSD,d1,close,6")</f>
        <v>0.60770000000000002</v>
      </c>
      <c r="X8" s="34">
        <f>RTD("fxbluelabs.excelrtd", , "21422436","@bh,NZDCAD,d1,close,6")</f>
        <v>0.83287</v>
      </c>
      <c r="Y8" s="35">
        <f>RTD("fxbluelabs.excelrtd", , "21422436","@bh,CADJPY,d1,close,6")</f>
        <v>107.133</v>
      </c>
      <c r="Z8" s="34">
        <f>RTD("fxbluelabs.excelrtd", , "21422436","@bh,CADCHF,d1,close,6")</f>
        <v>0.63090000000000002</v>
      </c>
      <c r="AA8" s="35">
        <f>RTD("fxbluelabs.excelrtd", , "21422436","@bh,CHFJPY,d1,close,6")</f>
        <v>169.79499999999999</v>
      </c>
      <c r="AB8" s="34">
        <f>RTD("fxbluelabs.excelrtd", , "21422436","@bh,USDCAD,d1,close,6")</f>
        <v>1.37063</v>
      </c>
      <c r="AC8" s="34">
        <f>RTD("fxbluelabs.excelrtd", , "21422436","@bh,USDCHF,d1,close,6")</f>
        <v>0.86477000000000004</v>
      </c>
      <c r="AD8" s="35">
        <f>RTD("fxbluelabs.excelrtd", , "21422436","@bh,USDJPY,d1,close,6")</f>
        <v>146.846</v>
      </c>
      <c r="AH8" s="21">
        <v>7</v>
      </c>
      <c r="AI8" s="27">
        <f t="shared" si="35"/>
        <v>0.7257929819766481</v>
      </c>
      <c r="AJ8" s="27">
        <f t="shared" si="35"/>
        <v>-0.25313910770748627</v>
      </c>
      <c r="AK8" s="27">
        <f t="shared" si="35"/>
        <v>0.48898746582762032</v>
      </c>
      <c r="AL8" s="27">
        <f t="shared" si="35"/>
        <v>0.67746634606946221</v>
      </c>
      <c r="AM8" s="27">
        <f t="shared" si="35"/>
        <v>0.46077348066298418</v>
      </c>
      <c r="AN8" s="27">
        <f t="shared" si="35"/>
        <v>0.55524556123709257</v>
      </c>
      <c r="AO8" s="27">
        <f t="shared" si="35"/>
        <v>0.29222637892243131</v>
      </c>
      <c r="AP8" s="27">
        <f t="shared" si="35"/>
        <v>-0.19968937208786205</v>
      </c>
      <c r="AQ8" s="27">
        <f t="shared" si="35"/>
        <v>0.50961609625611226</v>
      </c>
      <c r="AR8" s="27">
        <f t="shared" si="35"/>
        <v>0.31880581432201049</v>
      </c>
      <c r="AS8" s="27">
        <f t="shared" si="35"/>
        <v>-0.17170019338864004</v>
      </c>
      <c r="AT8" s="27">
        <f t="shared" si="35"/>
        <v>-0.42114419096274974</v>
      </c>
      <c r="AU8" s="27">
        <f t="shared" si="35"/>
        <v>0.76536207814995716</v>
      </c>
      <c r="AV8" s="27">
        <f t="shared" si="35"/>
        <v>3.6632304533118103E-2</v>
      </c>
      <c r="AW8" s="27">
        <f t="shared" si="35"/>
        <v>-0.21310802974082185</v>
      </c>
      <c r="AX8" s="27">
        <f t="shared" si="35"/>
        <v>0.50166747427528535</v>
      </c>
      <c r="AY8" s="27">
        <f t="shared" si="1"/>
        <v>0.71986743573258061</v>
      </c>
      <c r="AZ8" s="27">
        <f t="shared" si="1"/>
        <v>0.52957362670115793</v>
      </c>
      <c r="BA8" s="27">
        <f t="shared" si="1"/>
        <v>0.74750736780297411</v>
      </c>
      <c r="BB8" s="27">
        <f t="shared" si="1"/>
        <v>0.93743396661351897</v>
      </c>
      <c r="BC8" s="27">
        <f t="shared" si="1"/>
        <v>0.98374821363289522</v>
      </c>
      <c r="BD8" s="27">
        <f t="shared" si="1"/>
        <v>0.719537561069996</v>
      </c>
      <c r="BE8" s="27">
        <f t="shared" si="1"/>
        <v>2.8944370786718923E-2</v>
      </c>
      <c r="BF8" s="27">
        <f t="shared" si="1"/>
        <v>0.21762267088144843</v>
      </c>
      <c r="BG8" s="27">
        <f t="shared" si="1"/>
        <v>-0.18693456702310349</v>
      </c>
      <c r="BH8" s="27">
        <f t="shared" si="1"/>
        <v>-0.26196488215219049</v>
      </c>
      <c r="BI8" s="27">
        <f t="shared" si="1"/>
        <v>-4.6233688176885002E-2</v>
      </c>
      <c r="BJ8" s="27">
        <f t="shared" si="1"/>
        <v>-0.23371152931584624</v>
      </c>
      <c r="BN8">
        <v>7</v>
      </c>
      <c r="BO8" s="28">
        <f t="shared" si="5"/>
        <v>-1.8594276112978907</v>
      </c>
      <c r="BP8" s="28">
        <f t="shared" si="2"/>
        <v>-1.9102557492395136</v>
      </c>
      <c r="BQ8" s="28">
        <f t="shared" si="3"/>
        <v>-9.1206305849286728</v>
      </c>
      <c r="BR8" s="28">
        <f t="shared" si="3"/>
        <v>-5.3203994458679462</v>
      </c>
      <c r="BS8" s="28">
        <f t="shared" si="3"/>
        <v>-1.6929138634747836</v>
      </c>
      <c r="BT8" s="28">
        <f t="shared" si="3"/>
        <v>0.91120665241926213</v>
      </c>
      <c r="BU8" s="28">
        <f t="shared" si="3"/>
        <v>1.0849123768692932</v>
      </c>
      <c r="BV8" s="28">
        <f t="shared" si="3"/>
        <v>1.7187145563593209</v>
      </c>
      <c r="BW8" s="28">
        <f t="shared" si="3"/>
        <v>-2.5905880089481395</v>
      </c>
      <c r="BX8" s="28">
        <f t="shared" si="3"/>
        <v>-6.4040194462768607</v>
      </c>
      <c r="BY8" s="28">
        <f t="shared" si="3"/>
        <v>2.802100560451342</v>
      </c>
      <c r="BZ8" s="28">
        <f t="shared" si="3"/>
        <v>0.8794081736416024</v>
      </c>
      <c r="CA8" s="28">
        <f t="shared" si="3"/>
        <v>-0.7959301125027497</v>
      </c>
      <c r="CB8" s="28">
        <f t="shared" si="3"/>
        <v>1.0830599566037493</v>
      </c>
      <c r="CC8" s="28">
        <f t="shared" si="3"/>
        <v>-0.83199423228060831</v>
      </c>
      <c r="CD8" s="28">
        <f t="shared" si="3"/>
        <v>-0.62359766278614992</v>
      </c>
      <c r="CE8" s="28">
        <f t="shared" si="3"/>
        <v>-4.2739936689529294</v>
      </c>
      <c r="CF8" s="28">
        <f t="shared" si="3"/>
        <v>-8.0850767007342448</v>
      </c>
      <c r="CG8" s="28">
        <f t="shared" si="3"/>
        <v>-7.2222554985572076</v>
      </c>
      <c r="CH8" s="28">
        <f t="shared" si="3"/>
        <v>-3.4113595835733377</v>
      </c>
      <c r="CI8" s="28">
        <f t="shared" si="3"/>
        <v>6.3214012801536379E-2</v>
      </c>
      <c r="CJ8" s="28">
        <f t="shared" si="3"/>
        <v>0.22989835415950222</v>
      </c>
      <c r="CK8" s="28">
        <f t="shared" si="3"/>
        <v>-7.4519694572331714</v>
      </c>
      <c r="CL8" s="28">
        <f t="shared" si="3"/>
        <v>-3.6443472088334179</v>
      </c>
      <c r="CM8" s="28">
        <f t="shared" si="3"/>
        <v>-3.8251075834649813</v>
      </c>
      <c r="CN8" s="28">
        <f t="shared" si="3"/>
        <v>0.18040163610632215</v>
      </c>
      <c r="CO8" s="28">
        <f t="shared" si="3"/>
        <v>-3.4744970500326238</v>
      </c>
      <c r="CP8" s="28">
        <f t="shared" si="3"/>
        <v>-7.2819322892908431</v>
      </c>
      <c r="CU8" s="21">
        <v>7</v>
      </c>
      <c r="CV8" s="29">
        <f t="shared" si="6"/>
        <v>-1.5982651354841793</v>
      </c>
      <c r="CW8" s="29">
        <f>CN8+CO8+CP8-CI8-CA8-BT8-BO8</f>
        <v>-8.8950906446373015</v>
      </c>
      <c r="CX8" s="29">
        <f t="shared" si="8"/>
        <v>-10.275017506940772</v>
      </c>
      <c r="CY8" s="29">
        <f t="shared" si="9"/>
        <v>15.245730173909994</v>
      </c>
      <c r="CZ8" s="29">
        <f t="shared" si="10"/>
        <v>-15.246246977012254</v>
      </c>
      <c r="DA8" s="29">
        <f t="shared" si="11"/>
        <v>-23.788787771863895</v>
      </c>
      <c r="DB8" s="29">
        <f t="shared" si="12"/>
        <v>-8.4776609072909856</v>
      </c>
      <c r="DC8" s="29">
        <f t="shared" si="13"/>
        <v>49.390991560485986</v>
      </c>
      <c r="DF8" s="48">
        <v>7</v>
      </c>
      <c r="DG8" s="49">
        <f t="shared" si="36"/>
        <v>0.18040163610632215</v>
      </c>
      <c r="DH8" s="49">
        <f t="shared" si="14"/>
        <v>1.0849123768692932</v>
      </c>
      <c r="DI8" s="49">
        <f t="shared" si="15"/>
        <v>-3.4744970500326238</v>
      </c>
      <c r="DJ8" s="49">
        <f t="shared" si="16"/>
        <v>-2.5905880089481395</v>
      </c>
      <c r="DK8" s="49">
        <f t="shared" si="17"/>
        <v>0.7959301125027497</v>
      </c>
      <c r="DL8" s="49">
        <f t="shared" si="18"/>
        <v>1.7187145563593209</v>
      </c>
      <c r="DM8" s="49">
        <f t="shared" si="19"/>
        <v>1.8594276112978907</v>
      </c>
      <c r="DN8" s="49">
        <f t="shared" si="20"/>
        <v>2.802100560451342</v>
      </c>
      <c r="DO8" s="49">
        <f t="shared" si="21"/>
        <v>-6.3214012801536379E-2</v>
      </c>
      <c r="DP8" s="49">
        <f t="shared" si="22"/>
        <v>0.8794081736416024</v>
      </c>
      <c r="DQ8" s="49">
        <f t="shared" si="23"/>
        <v>-7.2819322892908431</v>
      </c>
      <c r="DR8" s="49">
        <f t="shared" si="24"/>
        <v>-6.4040194462768607</v>
      </c>
      <c r="DS8" s="49">
        <f t="shared" si="25"/>
        <v>-0.91120665241926213</v>
      </c>
      <c r="DT8" s="49">
        <f t="shared" si="26"/>
        <v>0.91120665241926213</v>
      </c>
      <c r="DX8">
        <v>7</v>
      </c>
      <c r="DY8" s="19">
        <f t="shared" si="27"/>
        <v>0.41742973734631583</v>
      </c>
      <c r="EM8" s="21">
        <v>7</v>
      </c>
      <c r="EN8" s="16">
        <f t="shared" si="28"/>
        <v>-1.5982651354841793</v>
      </c>
      <c r="EO8" s="16">
        <f t="shared" si="4"/>
        <v>-8.8950906446373015</v>
      </c>
      <c r="EP8" s="16">
        <f t="shared" si="29"/>
        <v>-10.275017506940772</v>
      </c>
      <c r="EQ8" s="16">
        <f t="shared" si="30"/>
        <v>15.245730173909994</v>
      </c>
      <c r="ER8" s="16">
        <f t="shared" si="31"/>
        <v>-15.246246977012254</v>
      </c>
      <c r="ES8" s="16">
        <f t="shared" si="32"/>
        <v>-23.788787771863895</v>
      </c>
      <c r="ET8" s="16">
        <f t="shared" si="33"/>
        <v>-8.4776609072909856</v>
      </c>
      <c r="EU8" s="16">
        <f t="shared" si="34"/>
        <v>49.390991560485986</v>
      </c>
      <c r="EW8" s="20">
        <f>LARGE($EN$2:$EU$2,7)</f>
        <v>-16.731122668639028</v>
      </c>
      <c r="EX8" s="39" t="str">
        <f>INDEX(EN1:EU1,MATCH(EW8,EN2:EU2,0))</f>
        <v>USD</v>
      </c>
      <c r="FK8" s="20"/>
      <c r="FL8" s="20"/>
    </row>
    <row r="9" spans="1:170" ht="14.4" thickBot="1" x14ac:dyDescent="0.35">
      <c r="A9" s="37" t="s">
        <v>51</v>
      </c>
      <c r="B9" s="38">
        <v>7</v>
      </c>
      <c r="C9" s="34">
        <f>RTD("fxbluelabs.excelrtd", , "21422436","@bh,AUDUSD,d1,close,7")</f>
        <v>0.65859000000000001</v>
      </c>
      <c r="D9" s="34">
        <f>RTD("fxbluelabs.excelrtd", , "21422436","@bh,AUDNZD,d1,close,7")</f>
        <v>1.09426</v>
      </c>
      <c r="E9" s="35">
        <f>RTD("fxbluelabs.excelrtd", , "21422436","@bh,AUDJPY,d1,close,7")</f>
        <v>96.935000000000002</v>
      </c>
      <c r="F9" s="34">
        <f>RTD("fxbluelabs.excelrtd", , "21422436","@bh,AUDCHF,d1,close,7")</f>
        <v>0.56977</v>
      </c>
      <c r="G9" s="34">
        <f>RTD("fxbluelabs.excelrtd", , "21422436","@bh,AUDCAD,d1,close,7")</f>
        <v>0.90500000000000003</v>
      </c>
      <c r="H9" s="34">
        <f>RTD("fxbluelabs.excelrtd", , "21422436","@bh,EURUSD,d1,close,7")</f>
        <v>1.09321</v>
      </c>
      <c r="I9" s="34">
        <f>RTD("fxbluelabs.excelrtd", , "21422436","@bh,EURCAD,d1,close,7")</f>
        <v>1.5022599999999999</v>
      </c>
      <c r="J9" s="34">
        <f>RTD("fxbluelabs.excelrtd", , "21422436","@bh,EURGBP,d1,close,7")</f>
        <v>0.85633000000000004</v>
      </c>
      <c r="K9" s="34">
        <f>RTD("fxbluelabs.excelrtd", , "21422436","@bh,EURCHF,d1,close,7")</f>
        <v>0.94581000000000004</v>
      </c>
      <c r="L9" s="35">
        <f>RTD("fxbluelabs.excelrtd", , "21422436","@bh,EURJPY,d1,close,7")</f>
        <v>160.91300000000001</v>
      </c>
      <c r="M9" s="34">
        <f>RTD("fxbluelabs.excelrtd", , "21422436","@bh,EURAUD,d1,close,7")</f>
        <v>1.65987</v>
      </c>
      <c r="N9" s="34">
        <f>RTD("fxbluelabs.excelrtd", , "21422436","@bh,EURNZD,d1,close,7")</f>
        <v>1.8164800000000001</v>
      </c>
      <c r="O9" s="34">
        <f>RTD("fxbluelabs.excelrtd", , "21422436","@bh,GBPUSD,d1,close,7")</f>
        <v>1.2765200000000001</v>
      </c>
      <c r="P9" s="34">
        <f>RTD("fxbluelabs.excelrtd", , "21422436","@bh,GBPAUD,d1,close,7")</f>
        <v>1.93818</v>
      </c>
      <c r="Q9" s="34">
        <f>RTD("fxbluelabs.excelrtd", , "21422436","@bh,GBPNZD,d1,close,7")</f>
        <v>2.1209899999999999</v>
      </c>
      <c r="R9" s="34">
        <f>RTD("fxbluelabs.excelrtd", , "21422436","@bh,GBPCAD,d1,close,7")</f>
        <v>1.7541500000000001</v>
      </c>
      <c r="S9" s="34">
        <f>RTD("fxbluelabs.excelrtd", , "21422436","@bh,GBPCHF,d1,close,7")</f>
        <v>1.1043700000000001</v>
      </c>
      <c r="T9" s="35">
        <f>RTD("fxbluelabs.excelrtd", , "21422436","@bh,GBPJPY,d1,close,7")</f>
        <v>187.887</v>
      </c>
      <c r="U9" s="35">
        <f>RTD("fxbluelabs.excelrtd", , "21422436","@bh,NZDJPY,d1,close,7")</f>
        <v>88.561000000000007</v>
      </c>
      <c r="V9" s="34">
        <f>RTD("fxbluelabs.excelrtd", , "21422436","@bh,NZDCHF,d1,close,7")</f>
        <v>0.52056999999999998</v>
      </c>
      <c r="W9" s="34">
        <f>RTD("fxbluelabs.excelrtd", , "21422436","@bh,NZDUSD,d1,close,7")</f>
        <v>0.60177999999999998</v>
      </c>
      <c r="X9" s="34">
        <f>RTD("fxbluelabs.excelrtd", , "21422436","@bh,NZDCAD,d1,close,7")</f>
        <v>0.82691999999999999</v>
      </c>
      <c r="Y9" s="35">
        <f>RTD("fxbluelabs.excelrtd", , "21422436","@bh,CADJPY,d1,close,7")</f>
        <v>107.102</v>
      </c>
      <c r="Z9" s="34">
        <f>RTD("fxbluelabs.excelrtd", , "21422436","@bh,CADCHF,d1,close,7")</f>
        <v>0.62953000000000003</v>
      </c>
      <c r="AA9" s="35">
        <f>RTD("fxbluelabs.excelrtd", , "21422436","@bh,CHFJPY,d1,close,7")</f>
        <v>170.113</v>
      </c>
      <c r="AB9" s="34">
        <f>RTD("fxbluelabs.excelrtd", , "21422436","@bh,USDCAD,d1,close,7")</f>
        <v>1.3742300000000001</v>
      </c>
      <c r="AC9" s="34">
        <f>RTD("fxbluelabs.excelrtd", , "21422436","@bh,USDCHF,d1,close,7")</f>
        <v>0.86516999999999999</v>
      </c>
      <c r="AD9" s="35">
        <f>RTD("fxbluelabs.excelrtd", , "21422436","@bh,USDJPY,d1,close,7")</f>
        <v>147.19</v>
      </c>
      <c r="AH9" s="21">
        <v>8</v>
      </c>
      <c r="AI9" s="22">
        <f t="shared" si="35"/>
        <v>0.20845379020723384</v>
      </c>
      <c r="AJ9" s="22">
        <f t="shared" si="35"/>
        <v>-8.9478105255467372E-2</v>
      </c>
      <c r="AK9" s="22">
        <f t="shared" si="35"/>
        <v>0.6134268869883005</v>
      </c>
      <c r="AL9" s="22">
        <f t="shared" si="35"/>
        <v>0.21105580667287735</v>
      </c>
      <c r="AM9" s="22">
        <f t="shared" si="35"/>
        <v>0.3059053023585725</v>
      </c>
      <c r="AN9" s="22">
        <f t="shared" si="35"/>
        <v>0.15115980798123138</v>
      </c>
      <c r="AO9" s="22">
        <f t="shared" si="35"/>
        <v>0.24824162184525908</v>
      </c>
      <c r="AP9" s="22">
        <f t="shared" si="35"/>
        <v>8.8829669109480563E-2</v>
      </c>
      <c r="AQ9" s="22">
        <f t="shared" si="35"/>
        <v>0.15460369566368579</v>
      </c>
      <c r="AR9" s="22">
        <f t="shared" si="35"/>
        <v>0.56433972876696459</v>
      </c>
      <c r="AS9" s="22">
        <f t="shared" si="35"/>
        <v>-5.2386285631715282E-2</v>
      </c>
      <c r="AT9" s="22">
        <f t="shared" si="35"/>
        <v>-0.14402726623054504</v>
      </c>
      <c r="AU9" s="22">
        <f t="shared" si="35"/>
        <v>5.7219448341821105E-2</v>
      </c>
      <c r="AV9" s="22">
        <f t="shared" si="35"/>
        <v>-0.14528593508501003</v>
      </c>
      <c r="AW9" s="22">
        <f t="shared" si="35"/>
        <v>-0.23940773630343351</v>
      </c>
      <c r="AX9" s="22">
        <f t="shared" si="35"/>
        <v>0.15530166778004578</v>
      </c>
      <c r="AY9" s="22">
        <f t="shared" si="1"/>
        <v>5.9798316586794083E-2</v>
      </c>
      <c r="AZ9" s="22">
        <f t="shared" si="1"/>
        <v>0.46304960405516704</v>
      </c>
      <c r="BA9" s="22">
        <f t="shared" si="1"/>
        <v>0.70158282543437234</v>
      </c>
      <c r="BB9" s="22">
        <f t="shared" si="1"/>
        <v>0.29863974413316252</v>
      </c>
      <c r="BC9" s="22">
        <f t="shared" si="1"/>
        <v>0.30836930975280757</v>
      </c>
      <c r="BD9" s="22">
        <f t="shared" si="1"/>
        <v>0.40310830500242711</v>
      </c>
      <c r="BE9" s="22">
        <f t="shared" si="1"/>
        <v>0.30813033257472183</v>
      </c>
      <c r="BF9" s="22">
        <f t="shared" si="1"/>
        <v>-9.3632958801494859E-2</v>
      </c>
      <c r="BG9" s="22">
        <f t="shared" si="1"/>
        <v>0.40785730306571905</v>
      </c>
      <c r="BH9" s="22">
        <f t="shared" si="1"/>
        <v>9.4688003030021839E-2</v>
      </c>
      <c r="BI9" s="22">
        <f t="shared" si="1"/>
        <v>1.1558555642834261E-3</v>
      </c>
      <c r="BJ9" s="22">
        <f t="shared" si="1"/>
        <v>0.38739070535116393</v>
      </c>
      <c r="BN9">
        <v>8</v>
      </c>
      <c r="BO9" s="23">
        <f t="shared" si="5"/>
        <v>-2.5852205932745389</v>
      </c>
      <c r="BP9" s="23">
        <f t="shared" si="2"/>
        <v>-1.6571166415320275</v>
      </c>
      <c r="BQ9" s="23">
        <f t="shared" si="3"/>
        <v>-9.6096180507562945</v>
      </c>
      <c r="BR9" s="23">
        <f t="shared" si="3"/>
        <v>-5.997865791937409</v>
      </c>
      <c r="BS9" s="23">
        <f t="shared" si="3"/>
        <v>-2.1536873441377677</v>
      </c>
      <c r="BT9" s="23">
        <f t="shared" si="3"/>
        <v>0.35596109118216945</v>
      </c>
      <c r="BU9" s="23">
        <f t="shared" si="3"/>
        <v>0.79268599794686201</v>
      </c>
      <c r="BV9" s="23">
        <f t="shared" si="3"/>
        <v>1.9184039284471828</v>
      </c>
      <c r="BW9" s="23">
        <f t="shared" si="3"/>
        <v>-3.1002041052042522</v>
      </c>
      <c r="BX9" s="23">
        <f t="shared" si="3"/>
        <v>-6.7228252605988725</v>
      </c>
      <c r="BY9" s="23">
        <f t="shared" si="3"/>
        <v>2.9738007538399818</v>
      </c>
      <c r="BZ9" s="23">
        <f t="shared" si="3"/>
        <v>1.3005523646043526</v>
      </c>
      <c r="CA9" s="23">
        <f t="shared" si="3"/>
        <v>-1.5612921906527066</v>
      </c>
      <c r="CB9" s="23">
        <f t="shared" si="3"/>
        <v>1.0464276520706313</v>
      </c>
      <c r="CC9" s="23">
        <f t="shared" si="3"/>
        <v>-0.61888620253978621</v>
      </c>
      <c r="CD9" s="23">
        <f t="shared" si="3"/>
        <v>-1.1252651370614355</v>
      </c>
      <c r="CE9" s="23">
        <f t="shared" si="3"/>
        <v>-4.9938611046855099</v>
      </c>
      <c r="CF9" s="23">
        <f t="shared" si="3"/>
        <v>-8.6146503274354025</v>
      </c>
      <c r="CG9" s="23">
        <f t="shared" si="3"/>
        <v>-7.9697628663601838</v>
      </c>
      <c r="CH9" s="23">
        <f t="shared" si="3"/>
        <v>-4.3487935501868566</v>
      </c>
      <c r="CI9" s="23">
        <f t="shared" si="3"/>
        <v>-0.92053420083135884</v>
      </c>
      <c r="CJ9" s="23">
        <f t="shared" si="3"/>
        <v>-0.48963920691049367</v>
      </c>
      <c r="CK9" s="23">
        <f t="shared" si="3"/>
        <v>-7.4809138280198901</v>
      </c>
      <c r="CL9" s="23">
        <f t="shared" si="3"/>
        <v>-3.8619698797148665</v>
      </c>
      <c r="CM9" s="23">
        <f t="shared" si="3"/>
        <v>-3.6381730164418782</v>
      </c>
      <c r="CN9" s="23">
        <f t="shared" si="3"/>
        <v>0.44236651825851281</v>
      </c>
      <c r="CO9" s="23">
        <f t="shared" si="3"/>
        <v>-3.428263361855739</v>
      </c>
      <c r="CP9" s="23">
        <f t="shared" si="3"/>
        <v>-7.0482207599749973</v>
      </c>
      <c r="CU9" s="21">
        <v>8</v>
      </c>
      <c r="CV9" s="24">
        <f t="shared" si="6"/>
        <v>-2.4816252297825758</v>
      </c>
      <c r="CW9" s="24">
        <f t="shared" si="7"/>
        <v>-5.3230317099957887</v>
      </c>
      <c r="CX9" s="24">
        <f t="shared" si="8"/>
        <v>-8.8093445358304336</v>
      </c>
      <c r="CY9" s="24">
        <f t="shared" si="9"/>
        <v>18.230814897427891</v>
      </c>
      <c r="CZ9" s="24">
        <f t="shared" si="10"/>
        <v>-17.785931238751392</v>
      </c>
      <c r="DA9" s="24">
        <f t="shared" si="11"/>
        <v>-26.02373682754865</v>
      </c>
      <c r="DB9" s="24">
        <f t="shared" si="12"/>
        <v>-12.753279344821433</v>
      </c>
      <c r="DC9" s="24">
        <f t="shared" si="13"/>
        <v>51.084164109587512</v>
      </c>
      <c r="DF9" s="46">
        <v>8</v>
      </c>
      <c r="DG9" s="47">
        <f t="shared" si="36"/>
        <v>0.44236651825851281</v>
      </c>
      <c r="DH9" s="47">
        <f t="shared" si="14"/>
        <v>0.79268599794686201</v>
      </c>
      <c r="DI9" s="47">
        <f t="shared" si="15"/>
        <v>-3.428263361855739</v>
      </c>
      <c r="DJ9" s="47">
        <f t="shared" si="16"/>
        <v>-3.1002041052042522</v>
      </c>
      <c r="DK9" s="47">
        <f t="shared" si="17"/>
        <v>1.5612921906527066</v>
      </c>
      <c r="DL9" s="47">
        <f t="shared" si="18"/>
        <v>1.9184039284471828</v>
      </c>
      <c r="DM9" s="47">
        <f t="shared" si="19"/>
        <v>2.5852205932745389</v>
      </c>
      <c r="DN9" s="47">
        <f t="shared" si="20"/>
        <v>2.9738007538399818</v>
      </c>
      <c r="DO9" s="47">
        <f t="shared" si="21"/>
        <v>0.92053420083135884</v>
      </c>
      <c r="DP9" s="47">
        <f t="shared" si="22"/>
        <v>1.3005523646043526</v>
      </c>
      <c r="DQ9" s="47">
        <f t="shared" si="23"/>
        <v>-7.0482207599749973</v>
      </c>
      <c r="DR9" s="47">
        <f t="shared" si="24"/>
        <v>-6.7228252605988725</v>
      </c>
      <c r="DS9" s="47">
        <f t="shared" si="25"/>
        <v>-0.35596109118216945</v>
      </c>
      <c r="DT9" s="47">
        <f t="shared" si="26"/>
        <v>0.35596109118216945</v>
      </c>
      <c r="DX9">
        <v>8</v>
      </c>
      <c r="DY9" s="19">
        <f t="shared" si="27"/>
        <v>-7.4302476348256441</v>
      </c>
      <c r="EM9" s="21">
        <v>8</v>
      </c>
      <c r="EN9" s="16">
        <f t="shared" si="28"/>
        <v>-2.4816252297825758</v>
      </c>
      <c r="EO9" s="16">
        <f t="shared" si="4"/>
        <v>-5.3230317099957887</v>
      </c>
      <c r="EP9" s="16">
        <f t="shared" si="29"/>
        <v>-8.8093445358304336</v>
      </c>
      <c r="EQ9" s="16">
        <f t="shared" si="30"/>
        <v>18.230814897427891</v>
      </c>
      <c r="ER9" s="16">
        <f t="shared" si="31"/>
        <v>-17.785931238751392</v>
      </c>
      <c r="ES9" s="16">
        <f t="shared" si="32"/>
        <v>-26.02373682754865</v>
      </c>
      <c r="ET9" s="16">
        <f t="shared" si="33"/>
        <v>-12.753279344821433</v>
      </c>
      <c r="EU9" s="16">
        <f t="shared" si="34"/>
        <v>51.084164109587512</v>
      </c>
      <c r="EW9" s="20">
        <f>LARGE($EN$2:$EU$2,8)</f>
        <v>-19.168351983298134</v>
      </c>
      <c r="EX9" s="39" t="str">
        <f>INDEX(EN1:EU1,MATCH(EW9,EN2:EU2,0))</f>
        <v>AUD</v>
      </c>
      <c r="FK9" s="20"/>
      <c r="FL9" s="20"/>
    </row>
    <row r="10" spans="1:170" ht="14.4" thickBot="1" x14ac:dyDescent="0.35">
      <c r="A10" s="37" t="s">
        <v>51</v>
      </c>
      <c r="B10" s="38">
        <v>8</v>
      </c>
      <c r="C10" s="34">
        <f>RTD("fxbluelabs.excelrtd", , "21422436","@bh,AUDUSD,d1,close,8")</f>
        <v>0.65722000000000003</v>
      </c>
      <c r="D10" s="34">
        <f>RTD("fxbluelabs.excelrtd", , "21422436","@bh,AUDNZD,d1,close,8")</f>
        <v>1.09524</v>
      </c>
      <c r="E10" s="35">
        <f>RTD("fxbluelabs.excelrtd", , "21422436","@bh,AUDJPY,d1,close,8")</f>
        <v>96.343999999999994</v>
      </c>
      <c r="F10" s="34">
        <f>RTD("fxbluelabs.excelrtd", , "21422436","@bh,AUDCHF,d1,close,8")</f>
        <v>0.56857000000000002</v>
      </c>
      <c r="G10" s="34">
        <f>RTD("fxbluelabs.excelrtd", , "21422436","@bh,AUDCAD,d1,close,8")</f>
        <v>0.90224000000000004</v>
      </c>
      <c r="H10" s="34">
        <f>RTD("fxbluelabs.excelrtd", , "21422436","@bh,EURUSD,d1,close,8")</f>
        <v>1.0915600000000001</v>
      </c>
      <c r="I10" s="34">
        <f>RTD("fxbluelabs.excelrtd", , "21422436","@bh,EURCAD,d1,close,8")</f>
        <v>1.49854</v>
      </c>
      <c r="J10" s="34">
        <f>RTD("fxbluelabs.excelrtd", , "21422436","@bh,EURGBP,d1,close,8")</f>
        <v>0.85557000000000005</v>
      </c>
      <c r="K10" s="34">
        <f>RTD("fxbluelabs.excelrtd", , "21422436","@bh,EURCHF,d1,close,8")</f>
        <v>0.94435000000000002</v>
      </c>
      <c r="L10" s="35">
        <f>RTD("fxbluelabs.excelrtd", , "21422436","@bh,EURJPY,d1,close,8")</f>
        <v>160.01</v>
      </c>
      <c r="M10" s="34">
        <f>RTD("fxbluelabs.excelrtd", , "21422436","@bh,EURAUD,d1,close,8")</f>
        <v>1.6607400000000001</v>
      </c>
      <c r="N10" s="34">
        <f>RTD("fxbluelabs.excelrtd", , "21422436","@bh,EURNZD,d1,close,8")</f>
        <v>1.8190999999999999</v>
      </c>
      <c r="O10" s="34">
        <f>RTD("fxbluelabs.excelrtd", , "21422436","@bh,GBPUSD,d1,close,8")</f>
        <v>1.27579</v>
      </c>
      <c r="P10" s="34">
        <f>RTD("fxbluelabs.excelrtd", , "21422436","@bh,GBPAUD,d1,close,8")</f>
        <v>1.9410000000000001</v>
      </c>
      <c r="Q10" s="34">
        <f>RTD("fxbluelabs.excelrtd", , "21422436","@bh,GBPNZD,d1,close,8")</f>
        <v>2.12608</v>
      </c>
      <c r="R10" s="34">
        <f>RTD("fxbluelabs.excelrtd", , "21422436","@bh,GBPCAD,d1,close,8")</f>
        <v>1.75143</v>
      </c>
      <c r="S10" s="34">
        <f>RTD("fxbluelabs.excelrtd", , "21422436","@bh,GBPCHF,d1,close,8")</f>
        <v>1.10371</v>
      </c>
      <c r="T10" s="35">
        <f>RTD("fxbluelabs.excelrtd", , "21422436","@bh,GBPJPY,d1,close,8")</f>
        <v>187.02099999999999</v>
      </c>
      <c r="U10" s="35">
        <f>RTD("fxbluelabs.excelrtd", , "21422436","@bh,NZDJPY,d1,close,8")</f>
        <v>87.944000000000003</v>
      </c>
      <c r="V10" s="34">
        <f>RTD("fxbluelabs.excelrtd", , "21422436","@bh,NZDCHF,d1,close,8")</f>
        <v>0.51902000000000004</v>
      </c>
      <c r="W10" s="34">
        <f>RTD("fxbluelabs.excelrtd", , "21422436","@bh,NZDUSD,d1,close,8")</f>
        <v>0.59992999999999996</v>
      </c>
      <c r="X10" s="34">
        <f>RTD("fxbluelabs.excelrtd", , "21422436","@bh,NZDCAD,d1,close,8")</f>
        <v>0.8236</v>
      </c>
      <c r="Y10" s="35">
        <f>RTD("fxbluelabs.excelrtd", , "21422436","@bh,CADJPY,d1,close,8")</f>
        <v>106.773</v>
      </c>
      <c r="Z10" s="34">
        <f>RTD("fxbluelabs.excelrtd", , "21422436","@bh,CADCHF,d1,close,8")</f>
        <v>0.63012000000000001</v>
      </c>
      <c r="AA10" s="35">
        <f>RTD("fxbluelabs.excelrtd", , "21422436","@bh,CHFJPY,d1,close,8")</f>
        <v>169.422</v>
      </c>
      <c r="AB10" s="34">
        <f>RTD("fxbluelabs.excelrtd", , "21422436","@bh,USDCAD,d1,close,8")</f>
        <v>1.37293</v>
      </c>
      <c r="AC10" s="34">
        <f>RTD("fxbluelabs.excelrtd", , "21422436","@bh,USDCHF,d1,close,8")</f>
        <v>0.86516000000000004</v>
      </c>
      <c r="AD10" s="35">
        <f>RTD("fxbluelabs.excelrtd", , "21422436","@bh,USDJPY,d1,close,8")</f>
        <v>146.62200000000001</v>
      </c>
      <c r="AH10" s="13">
        <v>9</v>
      </c>
      <c r="AI10" s="27">
        <f t="shared" si="35"/>
        <v>-0.30490117258012472</v>
      </c>
      <c r="AJ10" s="27">
        <f t="shared" si="35"/>
        <v>-8.5752339944164369E-2</v>
      </c>
      <c r="AK10" s="27">
        <f t="shared" si="35"/>
        <v>-0.77040332880155382</v>
      </c>
      <c r="AL10" s="27">
        <f t="shared" si="35"/>
        <v>-0.48308333187474573</v>
      </c>
      <c r="AM10" s="27">
        <f t="shared" si="35"/>
        <v>-0.34131200777616189</v>
      </c>
      <c r="AN10" s="27">
        <f t="shared" si="35"/>
        <v>-2.9307249880927935E-2</v>
      </c>
      <c r="AO10" s="27">
        <f t="shared" si="35"/>
        <v>-6.4687798014012268E-2</v>
      </c>
      <c r="AP10" s="27">
        <f t="shared" si="35"/>
        <v>-9.575076775767255E-2</v>
      </c>
      <c r="AQ10" s="27">
        <f t="shared" si="35"/>
        <v>-0.20501114880215809</v>
      </c>
      <c r="AR10" s="27">
        <f t="shared" si="35"/>
        <v>-0.49933774010807419</v>
      </c>
      <c r="AS10" s="27">
        <f t="shared" si="35"/>
        <v>0.27109433962264784</v>
      </c>
      <c r="AT10" s="27">
        <f t="shared" si="35"/>
        <v>0.18835918223475384</v>
      </c>
      <c r="AU10" s="27">
        <f t="shared" si="35"/>
        <v>7.4519155344984975E-2</v>
      </c>
      <c r="AV10" s="27">
        <f t="shared" si="35"/>
        <v>0.37336201636173733</v>
      </c>
      <c r="AW10" s="27">
        <f t="shared" si="35"/>
        <v>0.29483496318101399</v>
      </c>
      <c r="AX10" s="27">
        <f t="shared" si="35"/>
        <v>3.76976987268519E-2</v>
      </c>
      <c r="AY10" s="27">
        <f t="shared" si="1"/>
        <v>-0.10318142734309099</v>
      </c>
      <c r="AZ10" s="27">
        <f t="shared" si="1"/>
        <v>-0.39199603743137057</v>
      </c>
      <c r="BA10" s="27">
        <f t="shared" si="1"/>
        <v>-0.6798726085876311</v>
      </c>
      <c r="BB10" s="27">
        <f t="shared" si="1"/>
        <v>-0.39342122939336294</v>
      </c>
      <c r="BC10" s="27">
        <f t="shared" si="1"/>
        <v>-0.22949892734197799</v>
      </c>
      <c r="BD10" s="27">
        <f t="shared" si="1"/>
        <v>-0.26278503699577427</v>
      </c>
      <c r="BE10" s="27">
        <f t="shared" si="1"/>
        <v>-0.43547183886609359</v>
      </c>
      <c r="BF10" s="27">
        <f t="shared" si="1"/>
        <v>-0.14579107505071498</v>
      </c>
      <c r="BG10" s="27">
        <f t="shared" si="1"/>
        <v>-0.30540010944975343</v>
      </c>
      <c r="BH10" s="27">
        <f t="shared" si="1"/>
        <v>-3.8588673860172083E-2</v>
      </c>
      <c r="BI10" s="27">
        <f t="shared" si="1"/>
        <v>-0.17538191720126989</v>
      </c>
      <c r="BJ10" s="27">
        <f t="shared" si="1"/>
        <v>-0.44609211089156109</v>
      </c>
      <c r="BN10">
        <v>9</v>
      </c>
      <c r="BO10" s="28">
        <f t="shared" si="5"/>
        <v>-2.7936743834817728</v>
      </c>
      <c r="BP10" s="28">
        <f t="shared" si="2"/>
        <v>-1.5676385362765599</v>
      </c>
      <c r="BQ10" s="28">
        <f t="shared" si="3"/>
        <v>-10.223044937744591</v>
      </c>
      <c r="BR10" s="28">
        <f t="shared" si="3"/>
        <v>-6.2089215986102859</v>
      </c>
      <c r="BS10" s="28">
        <f t="shared" si="3"/>
        <v>-2.4595926464963402</v>
      </c>
      <c r="BT10" s="28">
        <f t="shared" si="3"/>
        <v>0.2048012832009381</v>
      </c>
      <c r="BU10" s="28">
        <f t="shared" si="3"/>
        <v>0.54444437610160279</v>
      </c>
      <c r="BV10" s="28">
        <f t="shared" si="3"/>
        <v>1.8295742593377025</v>
      </c>
      <c r="BW10" s="28">
        <f t="shared" si="3"/>
        <v>-3.2548078008679373</v>
      </c>
      <c r="BX10" s="28">
        <f t="shared" si="3"/>
        <v>-7.2871649893658361</v>
      </c>
      <c r="BY10" s="28">
        <f t="shared" si="3"/>
        <v>3.0261870394716972</v>
      </c>
      <c r="BZ10" s="28">
        <f t="shared" si="3"/>
        <v>1.4445796308348975</v>
      </c>
      <c r="CA10" s="28">
        <f t="shared" si="3"/>
        <v>-1.6185116389945278</v>
      </c>
      <c r="CB10" s="28">
        <f t="shared" si="3"/>
        <v>1.1917135871556415</v>
      </c>
      <c r="CC10" s="28">
        <f t="shared" si="3"/>
        <v>-0.37947846623635306</v>
      </c>
      <c r="CD10" s="28">
        <f t="shared" si="3"/>
        <v>-1.2805668048414811</v>
      </c>
      <c r="CE10" s="28">
        <f t="shared" si="3"/>
        <v>-5.0536594212723038</v>
      </c>
      <c r="CF10" s="28">
        <f t="shared" si="3"/>
        <v>-9.0776999314905709</v>
      </c>
      <c r="CG10" s="28">
        <f t="shared" si="3"/>
        <v>-8.6713456917945546</v>
      </c>
      <c r="CH10" s="28">
        <f t="shared" si="3"/>
        <v>-4.6474332943200194</v>
      </c>
      <c r="CI10" s="28">
        <f t="shared" si="3"/>
        <v>-1.2289035105841664</v>
      </c>
      <c r="CJ10" s="28">
        <f t="shared" si="3"/>
        <v>-0.89274751191292101</v>
      </c>
      <c r="CK10" s="28">
        <f t="shared" si="3"/>
        <v>-7.7890441605946128</v>
      </c>
      <c r="CL10" s="28">
        <f t="shared" si="3"/>
        <v>-3.7683369209133715</v>
      </c>
      <c r="CM10" s="28">
        <f t="shared" si="3"/>
        <v>-4.0460303195075964</v>
      </c>
      <c r="CN10" s="28">
        <f t="shared" si="3"/>
        <v>0.34767851522849086</v>
      </c>
      <c r="CO10" s="28">
        <f t="shared" si="3"/>
        <v>-3.4294192174200222</v>
      </c>
      <c r="CP10" s="28">
        <f t="shared" si="3"/>
        <v>-7.4356114653261614</v>
      </c>
      <c r="CU10" s="21">
        <v>9</v>
      </c>
      <c r="CV10" s="29">
        <f t="shared" si="6"/>
        <v>-3.4923862012869362</v>
      </c>
      <c r="CW10" s="29">
        <f t="shared" si="7"/>
        <v>-5.081063917658164</v>
      </c>
      <c r="CX10" s="29">
        <f t="shared" si="8"/>
        <v>-7.8165970095873369</v>
      </c>
      <c r="CY10" s="29">
        <f t="shared" si="9"/>
        <v>18.548211012982971</v>
      </c>
      <c r="CZ10" s="29">
        <f t="shared" si="10"/>
        <v>-18.047776935017296</v>
      </c>
      <c r="DA10" s="29">
        <f t="shared" si="11"/>
        <v>-27.470772729236884</v>
      </c>
      <c r="DB10" s="29">
        <f t="shared" si="12"/>
        <v>-14.937892636933645</v>
      </c>
      <c r="DC10" s="29">
        <f t="shared" si="13"/>
        <v>54.52994149582392</v>
      </c>
      <c r="DF10" s="48">
        <v>9</v>
      </c>
      <c r="DG10" s="49">
        <f t="shared" si="36"/>
        <v>0.34767851522849086</v>
      </c>
      <c r="DH10" s="49">
        <f t="shared" si="14"/>
        <v>0.54444437610160279</v>
      </c>
      <c r="DI10" s="49">
        <f t="shared" si="15"/>
        <v>-3.4294192174200222</v>
      </c>
      <c r="DJ10" s="49">
        <f t="shared" si="16"/>
        <v>-3.2548078008679373</v>
      </c>
      <c r="DK10" s="49">
        <f t="shared" si="17"/>
        <v>1.6185116389945278</v>
      </c>
      <c r="DL10" s="49">
        <f t="shared" si="18"/>
        <v>1.8295742593377025</v>
      </c>
      <c r="DM10" s="49">
        <f t="shared" si="19"/>
        <v>2.7936743834817728</v>
      </c>
      <c r="DN10" s="49">
        <f t="shared" si="20"/>
        <v>3.0261870394716972</v>
      </c>
      <c r="DO10" s="49">
        <f t="shared" si="21"/>
        <v>1.2289035105841664</v>
      </c>
      <c r="DP10" s="49">
        <f t="shared" si="22"/>
        <v>1.4445796308348975</v>
      </c>
      <c r="DQ10" s="49">
        <f t="shared" si="23"/>
        <v>-7.4356114653261614</v>
      </c>
      <c r="DR10" s="49">
        <f t="shared" si="24"/>
        <v>-7.2871649893658361</v>
      </c>
      <c r="DS10" s="49">
        <f t="shared" si="25"/>
        <v>-0.2048012832009381</v>
      </c>
      <c r="DT10" s="49">
        <f t="shared" si="26"/>
        <v>0.2048012832009381</v>
      </c>
      <c r="DX10">
        <v>9</v>
      </c>
      <c r="DY10" s="19">
        <f t="shared" si="27"/>
        <v>-9.8568287192754802</v>
      </c>
      <c r="EM10" s="21">
        <v>9</v>
      </c>
      <c r="EN10" s="16">
        <f t="shared" si="28"/>
        <v>-3.4923862012869362</v>
      </c>
      <c r="EO10" s="16">
        <f t="shared" si="4"/>
        <v>-5.081063917658164</v>
      </c>
      <c r="EP10" s="16">
        <f t="shared" si="29"/>
        <v>-7.8165970095873369</v>
      </c>
      <c r="EQ10" s="16">
        <f t="shared" si="30"/>
        <v>18.548211012982971</v>
      </c>
      <c r="ER10" s="16">
        <f t="shared" si="31"/>
        <v>-18.047776935017296</v>
      </c>
      <c r="ES10" s="16">
        <f t="shared" si="32"/>
        <v>-27.470772729236884</v>
      </c>
      <c r="ET10" s="16">
        <f t="shared" si="33"/>
        <v>-14.937892636933645</v>
      </c>
      <c r="EU10" s="16">
        <f t="shared" si="34"/>
        <v>54.52994149582392</v>
      </c>
      <c r="FK10" s="20"/>
      <c r="FL10" s="20"/>
      <c r="FN10" s="20"/>
    </row>
    <row r="11" spans="1:170" ht="14.4" thickBot="1" x14ac:dyDescent="0.35">
      <c r="A11" s="37" t="s">
        <v>51</v>
      </c>
      <c r="B11" s="38">
        <v>9</v>
      </c>
      <c r="C11" s="34">
        <f>RTD("fxbluelabs.excelrtd", , "21422436","@bh,AUDUSD,d1,close,9")</f>
        <v>0.65922999999999998</v>
      </c>
      <c r="D11" s="34">
        <f>RTD("fxbluelabs.excelrtd", , "21422436","@bh,AUDNZD,d1,close,9")</f>
        <v>1.0961799999999999</v>
      </c>
      <c r="E11" s="35">
        <f>RTD("fxbluelabs.excelrtd", , "21422436","@bh,AUDJPY,d1,close,9")</f>
        <v>97.091999999999999</v>
      </c>
      <c r="F11" s="34">
        <f>RTD("fxbluelabs.excelrtd", , "21422436","@bh,AUDCHF,d1,close,9")</f>
        <v>0.57133</v>
      </c>
      <c r="G11" s="34">
        <f>RTD("fxbluelabs.excelrtd", , "21422436","@bh,AUDCAD,d1,close,9")</f>
        <v>0.90532999999999997</v>
      </c>
      <c r="H11" s="34">
        <f>RTD("fxbluelabs.excelrtd", , "21422436","@bh,EURUSD,d1,close,9")</f>
        <v>1.09188</v>
      </c>
      <c r="I11" s="34">
        <f>RTD("fxbluelabs.excelrtd", , "21422436","@bh,EURCAD,d1,close,9")</f>
        <v>1.4995099999999999</v>
      </c>
      <c r="J11" s="34">
        <f>RTD("fxbluelabs.excelrtd", , "21422436","@bh,EURGBP,d1,close,9")</f>
        <v>0.85638999999999998</v>
      </c>
      <c r="K11" s="34">
        <f>RTD("fxbluelabs.excelrtd", , "21422436","@bh,EURCHF,d1,close,9")</f>
        <v>0.94628999999999996</v>
      </c>
      <c r="L11" s="35">
        <f>RTD("fxbluelabs.excelrtd", , "21422436","@bh,EURJPY,d1,close,9")</f>
        <v>160.81299999999999</v>
      </c>
      <c r="M11" s="34">
        <f>RTD("fxbluelabs.excelrtd", , "21422436","@bh,EURAUD,d1,close,9")</f>
        <v>1.65625</v>
      </c>
      <c r="N11" s="34">
        <f>RTD("fxbluelabs.excelrtd", , "21422436","@bh,EURNZD,d1,close,9")</f>
        <v>1.81568</v>
      </c>
      <c r="O11" s="34">
        <f>RTD("fxbluelabs.excelrtd", , "21422436","@bh,GBPUSD,d1,close,9")</f>
        <v>1.27484</v>
      </c>
      <c r="P11" s="34">
        <f>RTD("fxbluelabs.excelrtd", , "21422436","@bh,GBPAUD,d1,close,9")</f>
        <v>1.9337800000000001</v>
      </c>
      <c r="Q11" s="34">
        <f>RTD("fxbluelabs.excelrtd", , "21422436","@bh,GBPNZD,d1,close,9")</f>
        <v>2.1198299999999999</v>
      </c>
      <c r="R11" s="34">
        <f>RTD("fxbluelabs.excelrtd", , "21422436","@bh,GBPCAD,d1,close,9")</f>
        <v>1.7507699999999999</v>
      </c>
      <c r="S11" s="34">
        <f>RTD("fxbluelabs.excelrtd", , "21422436","@bh,GBPCHF,d1,close,9")</f>
        <v>1.1048500000000001</v>
      </c>
      <c r="T11" s="35">
        <f>RTD("fxbluelabs.excelrtd", , "21422436","@bh,GBPJPY,d1,close,9")</f>
        <v>187.75700000000001</v>
      </c>
      <c r="U11" s="35">
        <f>RTD("fxbluelabs.excelrtd", , "21422436","@bh,NZDJPY,d1,close,9")</f>
        <v>88.546000000000006</v>
      </c>
      <c r="V11" s="34">
        <f>RTD("fxbluelabs.excelrtd", , "21422436","@bh,NZDCHF,d1,close,9")</f>
        <v>0.52107000000000003</v>
      </c>
      <c r="W11" s="34">
        <f>RTD("fxbluelabs.excelrtd", , "21422436","@bh,NZDUSD,d1,close,9")</f>
        <v>0.60131000000000001</v>
      </c>
      <c r="X11" s="34">
        <f>RTD("fxbluelabs.excelrtd", , "21422436","@bh,NZDCAD,d1,close,9")</f>
        <v>0.82577</v>
      </c>
      <c r="Y11" s="35">
        <f>RTD("fxbluelabs.excelrtd", , "21422436","@bh,CADJPY,d1,close,9")</f>
        <v>107.24</v>
      </c>
      <c r="Z11" s="34">
        <f>RTD("fxbluelabs.excelrtd", , "21422436","@bh,CADCHF,d1,close,9")</f>
        <v>0.63104000000000005</v>
      </c>
      <c r="AA11" s="35">
        <f>RTD("fxbluelabs.excelrtd", , "21422436","@bh,CHFJPY,d1,close,9")</f>
        <v>169.941</v>
      </c>
      <c r="AB11" s="34">
        <f>RTD("fxbluelabs.excelrtd", , "21422436","@bh,USDCAD,d1,close,9")</f>
        <v>1.3734599999999999</v>
      </c>
      <c r="AC11" s="34">
        <f>RTD("fxbluelabs.excelrtd", , "21422436","@bh,USDCHF,d1,close,9")</f>
        <v>0.86668000000000001</v>
      </c>
      <c r="AD11" s="35">
        <f>RTD("fxbluelabs.excelrtd", , "21422436","@bh,USDJPY,d1,close,9")</f>
        <v>147.279</v>
      </c>
      <c r="AH11" s="21">
        <v>10</v>
      </c>
      <c r="AI11" s="22">
        <f t="shared" si="35"/>
        <v>1.1182010614473754</v>
      </c>
      <c r="AJ11" s="22">
        <f t="shared" si="35"/>
        <v>0.79352673440300814</v>
      </c>
      <c r="AK11" s="22">
        <f t="shared" si="35"/>
        <v>1.5139475555183735</v>
      </c>
      <c r="AL11" s="22">
        <f t="shared" si="35"/>
        <v>1.710816777041944</v>
      </c>
      <c r="AM11" s="22">
        <f t="shared" si="35"/>
        <v>0.95115967885815411</v>
      </c>
      <c r="AN11" s="22">
        <f t="shared" si="35"/>
        <v>-4.3026502494618986E-2</v>
      </c>
      <c r="AO11" s="22">
        <f t="shared" si="35"/>
        <v>-0.20962825922032982</v>
      </c>
      <c r="AP11" s="22">
        <f t="shared" si="35"/>
        <v>-0.47300281244915721</v>
      </c>
      <c r="AQ11" s="22">
        <f t="shared" si="35"/>
        <v>0.54079898002549165</v>
      </c>
      <c r="AR11" s="22">
        <f t="shared" si="35"/>
        <v>0.34381200783715898</v>
      </c>
      <c r="AS11" s="22">
        <f t="shared" si="35"/>
        <v>-1.1471408022823455</v>
      </c>
      <c r="AT11" s="22">
        <f t="shared" si="35"/>
        <v>-0.36710437507202626</v>
      </c>
      <c r="AU11" s="22">
        <f t="shared" si="35"/>
        <v>0.44120891242003479</v>
      </c>
      <c r="AV11" s="22">
        <f t="shared" si="35"/>
        <v>-0.6672591009723714</v>
      </c>
      <c r="AW11" s="22">
        <f t="shared" si="35"/>
        <v>0.12232906992122256</v>
      </c>
      <c r="AX11" s="22">
        <f t="shared" si="35"/>
        <v>0.27491881303801985</v>
      </c>
      <c r="AY11" s="22">
        <f t="shared" si="1"/>
        <v>1.02871250914413</v>
      </c>
      <c r="AZ11" s="22">
        <f t="shared" si="1"/>
        <v>0.83240694495911083</v>
      </c>
      <c r="BA11" s="22">
        <f t="shared" si="1"/>
        <v>0.74065646510041583</v>
      </c>
      <c r="BB11" s="22">
        <f t="shared" si="1"/>
        <v>0.918017546917684</v>
      </c>
      <c r="BC11" s="22">
        <f t="shared" si="1"/>
        <v>0.30693779505230684</v>
      </c>
      <c r="BD11" s="22">
        <f t="shared" si="1"/>
        <v>0.14553039766180903</v>
      </c>
      <c r="BE11" s="22">
        <f t="shared" si="1"/>
        <v>0.55698291543986089</v>
      </c>
      <c r="BF11" s="22">
        <f t="shared" si="1"/>
        <v>0.75199974454360985</v>
      </c>
      <c r="BG11" s="22">
        <f t="shared" si="1"/>
        <v>-0.18149779735682672</v>
      </c>
      <c r="BH11" s="22">
        <f t="shared" si="1"/>
        <v>-0.16064899285439424</v>
      </c>
      <c r="BI11" s="22">
        <f t="shared" si="1"/>
        <v>0.58259638372444167</v>
      </c>
      <c r="BJ11" s="22">
        <f t="shared" si="1"/>
        <v>0.3857872172200163</v>
      </c>
      <c r="BN11">
        <v>10</v>
      </c>
      <c r="BO11" s="23">
        <f t="shared" si="5"/>
        <v>-2.4887732109016483</v>
      </c>
      <c r="BP11" s="23">
        <f t="shared" si="2"/>
        <v>-1.4818861963323955</v>
      </c>
      <c r="BQ11" s="23">
        <f t="shared" si="3"/>
        <v>-9.4526416089430398</v>
      </c>
      <c r="BR11" s="23">
        <f t="shared" si="3"/>
        <v>-5.7258382667355399</v>
      </c>
      <c r="BS11" s="23">
        <f t="shared" si="3"/>
        <v>-2.1182806387201785</v>
      </c>
      <c r="BT11" s="23">
        <f t="shared" si="3"/>
        <v>0.2341085330818663</v>
      </c>
      <c r="BU11" s="23">
        <f t="shared" si="3"/>
        <v>0.60913217411561515</v>
      </c>
      <c r="BV11" s="23">
        <f t="shared" si="3"/>
        <v>1.9253250270953746</v>
      </c>
      <c r="BW11" s="23">
        <f t="shared" si="3"/>
        <v>-3.0497966520657798</v>
      </c>
      <c r="BX11" s="23">
        <f t="shared" si="3"/>
        <v>-6.7878272492577629</v>
      </c>
      <c r="BY11" s="23">
        <f t="shared" si="3"/>
        <v>2.7550926998490493</v>
      </c>
      <c r="BZ11" s="23">
        <f t="shared" si="3"/>
        <v>1.2562204486001436</v>
      </c>
      <c r="CA11" s="23">
        <f t="shared" si="3"/>
        <v>-1.6930307943395126</v>
      </c>
      <c r="CB11" s="23">
        <f t="shared" si="3"/>
        <v>0.81835157079390419</v>
      </c>
      <c r="CC11" s="23">
        <f t="shared" si="3"/>
        <v>-0.67431342941736672</v>
      </c>
      <c r="CD11" s="23">
        <f t="shared" si="3"/>
        <v>-1.3182645035683331</v>
      </c>
      <c r="CE11" s="23">
        <f t="shared" si="3"/>
        <v>-4.9504779939292147</v>
      </c>
      <c r="CF11" s="23">
        <f t="shared" si="3"/>
        <v>-8.6857038940592002</v>
      </c>
      <c r="CG11" s="23">
        <f t="shared" si="3"/>
        <v>-7.9914730832069258</v>
      </c>
      <c r="CH11" s="23">
        <f t="shared" si="3"/>
        <v>-4.2540120649266555</v>
      </c>
      <c r="CI11" s="23">
        <f t="shared" si="3"/>
        <v>-0.99940458324218828</v>
      </c>
      <c r="CJ11" s="23">
        <f t="shared" si="3"/>
        <v>-0.62996247491714641</v>
      </c>
      <c r="CK11" s="23">
        <f t="shared" si="3"/>
        <v>-7.3535723217285192</v>
      </c>
      <c r="CL11" s="23">
        <f t="shared" ref="CL11:CP26" si="37">BF11+SUM(BF12:BF46)</f>
        <v>-3.6225458458626565</v>
      </c>
      <c r="CM11" s="23">
        <f t="shared" si="37"/>
        <v>-3.740630210057843</v>
      </c>
      <c r="CN11" s="23">
        <f t="shared" si="37"/>
        <v>0.38626718908866298</v>
      </c>
      <c r="CO11" s="23">
        <f t="shared" si="37"/>
        <v>-3.2540373002187524</v>
      </c>
      <c r="CP11" s="23">
        <f t="shared" si="37"/>
        <v>-6.9895193544346004</v>
      </c>
      <c r="CU11" s="21">
        <v>10</v>
      </c>
      <c r="CV11" s="24">
        <f t="shared" si="6"/>
        <v>-3.0577450185814934</v>
      </c>
      <c r="CW11" s="24">
        <f t="shared" si="7"/>
        <v>-4.9101894101632073</v>
      </c>
      <c r="CX11" s="24">
        <f t="shared" si="8"/>
        <v>-7.9050099135897964</v>
      </c>
      <c r="CY11" s="24">
        <f t="shared" si="9"/>
        <v>17.493532067818101</v>
      </c>
      <c r="CZ11" s="24">
        <f t="shared" si="10"/>
        <v>-18.428764071615099</v>
      </c>
      <c r="DA11" s="24">
        <f t="shared" si="11"/>
        <v>-24.840864192275756</v>
      </c>
      <c r="DB11" s="24">
        <f t="shared" si="12"/>
        <v>-12.974873029143298</v>
      </c>
      <c r="DC11" s="24">
        <f t="shared" si="13"/>
        <v>51.001367721687892</v>
      </c>
      <c r="DF11" s="44">
        <v>10</v>
      </c>
      <c r="DG11" s="47">
        <f t="shared" si="36"/>
        <v>0.38626718908866298</v>
      </c>
      <c r="DH11" s="47">
        <f t="shared" si="14"/>
        <v>0.60913217411561515</v>
      </c>
      <c r="DI11" s="47">
        <f t="shared" si="15"/>
        <v>-3.2540373002187524</v>
      </c>
      <c r="DJ11" s="47">
        <f t="shared" si="16"/>
        <v>-3.0497966520657798</v>
      </c>
      <c r="DK11" s="47">
        <f t="shared" si="17"/>
        <v>1.6930307943395126</v>
      </c>
      <c r="DL11" s="47">
        <f t="shared" si="18"/>
        <v>1.9253250270953746</v>
      </c>
      <c r="DM11" s="47">
        <f t="shared" si="19"/>
        <v>2.4887732109016483</v>
      </c>
      <c r="DN11" s="47">
        <f t="shared" si="20"/>
        <v>2.7550926998490493</v>
      </c>
      <c r="DO11" s="47">
        <f t="shared" si="21"/>
        <v>0.99940458324218828</v>
      </c>
      <c r="DP11" s="47">
        <f t="shared" si="22"/>
        <v>1.2562204486001436</v>
      </c>
      <c r="DQ11" s="47">
        <f t="shared" si="23"/>
        <v>-6.9895193544346004</v>
      </c>
      <c r="DR11" s="47">
        <f t="shared" si="24"/>
        <v>-6.7878272492577629</v>
      </c>
      <c r="DS11" s="47">
        <f t="shared" si="25"/>
        <v>-0.2341085330818663</v>
      </c>
      <c r="DT11" s="47">
        <f t="shared" si="26"/>
        <v>0.2341085330818663</v>
      </c>
      <c r="DX11">
        <v>10</v>
      </c>
      <c r="DY11" s="19">
        <f t="shared" si="27"/>
        <v>-8.0646836189800908</v>
      </c>
      <c r="EM11" s="21">
        <v>10</v>
      </c>
      <c r="EN11" s="16">
        <f t="shared" si="28"/>
        <v>-3.0577450185814934</v>
      </c>
      <c r="EO11" s="16">
        <f t="shared" si="4"/>
        <v>-4.9101894101632073</v>
      </c>
      <c r="EP11" s="16">
        <f t="shared" si="29"/>
        <v>-7.9050099135897964</v>
      </c>
      <c r="EQ11" s="16">
        <f t="shared" si="30"/>
        <v>17.493532067818101</v>
      </c>
      <c r="ER11" s="16">
        <f t="shared" si="31"/>
        <v>-18.428764071615099</v>
      </c>
      <c r="ES11" s="16">
        <f t="shared" si="32"/>
        <v>-24.840864192275756</v>
      </c>
      <c r="ET11" s="16">
        <f t="shared" si="33"/>
        <v>-12.974873029143298</v>
      </c>
      <c r="EU11" s="16">
        <f t="shared" si="34"/>
        <v>51.001367721687892</v>
      </c>
      <c r="FK11" s="20"/>
      <c r="FL11" s="20"/>
    </row>
    <row r="12" spans="1:170" ht="14.4" thickBot="1" x14ac:dyDescent="0.35">
      <c r="A12" s="37" t="s">
        <v>51</v>
      </c>
      <c r="B12" s="38">
        <v>10</v>
      </c>
      <c r="C12" s="34">
        <f>RTD("fxbluelabs.excelrtd", , "21422436","@bh,AUDUSD,d1,close,10")</f>
        <v>0.65193999999999996</v>
      </c>
      <c r="D12" s="34">
        <f>RTD("fxbluelabs.excelrtd", , "21422436","@bh,AUDNZD,d1,close,10")</f>
        <v>1.08755</v>
      </c>
      <c r="E12" s="35">
        <f>RTD("fxbluelabs.excelrtd", , "21422436","@bh,AUDJPY,d1,close,10")</f>
        <v>95.644000000000005</v>
      </c>
      <c r="F12" s="34">
        <f>RTD("fxbluelabs.excelrtd", , "21422436","@bh,AUDCHF,d1,close,10")</f>
        <v>0.56172</v>
      </c>
      <c r="G12" s="34">
        <f>RTD("fxbluelabs.excelrtd", , "21422436","@bh,AUDCAD,d1,close,10")</f>
        <v>0.89680000000000004</v>
      </c>
      <c r="H12" s="34">
        <f>RTD("fxbluelabs.excelrtd", , "21422436","@bh,EURUSD,d1,close,10")</f>
        <v>1.0923499999999999</v>
      </c>
      <c r="I12" s="34">
        <f>RTD("fxbluelabs.excelrtd", , "21422436","@bh,EURCAD,d1,close,10")</f>
        <v>1.5026600000000001</v>
      </c>
      <c r="J12" s="34">
        <f>RTD("fxbluelabs.excelrtd", , "21422436","@bh,EURGBP,d1,close,10")</f>
        <v>0.86046</v>
      </c>
      <c r="K12" s="34">
        <f>RTD("fxbluelabs.excelrtd", , "21422436","@bh,EURCHF,d1,close,10")</f>
        <v>0.94120000000000004</v>
      </c>
      <c r="L12" s="35">
        <f>RTD("fxbluelabs.excelrtd", , "21422436","@bh,EURJPY,d1,close,10")</f>
        <v>160.262</v>
      </c>
      <c r="M12" s="34">
        <f>RTD("fxbluelabs.excelrtd", , "21422436","@bh,EURAUD,d1,close,10")</f>
        <v>1.67547</v>
      </c>
      <c r="N12" s="34">
        <f>RTD("fxbluelabs.excelrtd", , "21422436","@bh,EURNZD,d1,close,10")</f>
        <v>1.82237</v>
      </c>
      <c r="O12" s="34">
        <f>RTD("fxbluelabs.excelrtd", , "21422436","@bh,GBPUSD,d1,close,10")</f>
        <v>1.2692399999999999</v>
      </c>
      <c r="P12" s="34">
        <f>RTD("fxbluelabs.excelrtd", , "21422436","@bh,GBPAUD,d1,close,10")</f>
        <v>1.9467699999999999</v>
      </c>
      <c r="Q12" s="34">
        <f>RTD("fxbluelabs.excelrtd", , "21422436","@bh,GBPNZD,d1,close,10")</f>
        <v>2.1172399999999998</v>
      </c>
      <c r="R12" s="34">
        <f>RTD("fxbluelabs.excelrtd", , "21422436","@bh,GBPCAD,d1,close,10")</f>
        <v>1.74597</v>
      </c>
      <c r="S12" s="34">
        <f>RTD("fxbluelabs.excelrtd", , "21422436","@bh,GBPCHF,d1,close,10")</f>
        <v>1.0935999999999999</v>
      </c>
      <c r="T12" s="35">
        <f>RTD("fxbluelabs.excelrtd", , "21422436","@bh,GBPJPY,d1,close,10")</f>
        <v>186.20699999999999</v>
      </c>
      <c r="U12" s="35">
        <f>RTD("fxbluelabs.excelrtd", , "21422436","@bh,NZDJPY,d1,close,10")</f>
        <v>87.894999999999996</v>
      </c>
      <c r="V12" s="34">
        <f>RTD("fxbluelabs.excelrtd", , "21422436","@bh,NZDCHF,d1,close,10")</f>
        <v>0.51632999999999996</v>
      </c>
      <c r="W12" s="34">
        <f>RTD("fxbluelabs.excelrtd", , "21422436","@bh,NZDUSD,d1,close,10")</f>
        <v>0.59946999999999995</v>
      </c>
      <c r="X12" s="34">
        <f>RTD("fxbluelabs.excelrtd", , "21422436","@bh,NZDCAD,d1,close,10")</f>
        <v>0.82457000000000003</v>
      </c>
      <c r="Y12" s="35">
        <f>RTD("fxbluelabs.excelrtd", , "21422436","@bh,CADJPY,d1,close,10")</f>
        <v>106.646</v>
      </c>
      <c r="Z12" s="34">
        <f>RTD("fxbluelabs.excelrtd", , "21422436","@bh,CADCHF,d1,close,10")</f>
        <v>0.62633000000000005</v>
      </c>
      <c r="AA12" s="35">
        <f>RTD("fxbluelabs.excelrtd", , "21422436","@bh,CHFJPY,d1,close,10")</f>
        <v>170.25</v>
      </c>
      <c r="AB12" s="34">
        <f>RTD("fxbluelabs.excelrtd", , "21422436","@bh,USDCAD,d1,close,10")</f>
        <v>1.3756699999999999</v>
      </c>
      <c r="AC12" s="34">
        <f>RTD("fxbluelabs.excelrtd", , "21422436","@bh,USDCHF,d1,close,10")</f>
        <v>0.86165999999999998</v>
      </c>
      <c r="AD12" s="35">
        <f>RTD("fxbluelabs.excelrtd", , "21422436","@bh,USDJPY,d1,close,10")</f>
        <v>146.71299999999999</v>
      </c>
      <c r="AH12" s="21">
        <v>11</v>
      </c>
      <c r="AI12" s="27">
        <f t="shared" si="35"/>
        <v>2.4548160422218843E-2</v>
      </c>
      <c r="AJ12" s="27">
        <f t="shared" si="35"/>
        <v>-0.64588624362791747</v>
      </c>
      <c r="AK12" s="27">
        <f t="shared" si="35"/>
        <v>1.6570122761332964</v>
      </c>
      <c r="AL12" s="27">
        <f t="shared" si="35"/>
        <v>1.2582471067527106</v>
      </c>
      <c r="AM12" s="27">
        <f t="shared" si="35"/>
        <v>-0.17476095595355592</v>
      </c>
      <c r="AN12" s="27">
        <f t="shared" si="35"/>
        <v>-7.1354733654734839E-2</v>
      </c>
      <c r="AO12" s="27">
        <f t="shared" si="35"/>
        <v>-0.27144516343122133</v>
      </c>
      <c r="AP12" s="27">
        <f t="shared" si="35"/>
        <v>-8.82469055525862E-2</v>
      </c>
      <c r="AQ12" s="27">
        <f t="shared" si="35"/>
        <v>1.1488323607484163</v>
      </c>
      <c r="AR12" s="27">
        <f t="shared" si="35"/>
        <v>1.5653518556073811</v>
      </c>
      <c r="AS12" s="27">
        <f t="shared" si="35"/>
        <v>-9.4213052681787354E-2</v>
      </c>
      <c r="AT12" s="27">
        <f t="shared" si="35"/>
        <v>-0.73913090841747886</v>
      </c>
      <c r="AU12" s="27">
        <f t="shared" si="35"/>
        <v>5.5154155865655904E-3</v>
      </c>
      <c r="AV12" s="27">
        <f t="shared" si="35"/>
        <v>-1.7461776684419832E-2</v>
      </c>
      <c r="AW12" s="27">
        <f t="shared" si="35"/>
        <v>-0.6699444527848808</v>
      </c>
      <c r="AX12" s="27">
        <f t="shared" si="35"/>
        <v>-0.19549671599814669</v>
      </c>
      <c r="AY12" s="27">
        <f t="shared" si="1"/>
        <v>1.2376993788359776</v>
      </c>
      <c r="AZ12" s="27">
        <f t="shared" si="1"/>
        <v>1.6358277386605455</v>
      </c>
      <c r="BA12" s="27">
        <f t="shared" si="1"/>
        <v>2.2926971195810286</v>
      </c>
      <c r="BB12" s="27">
        <f t="shared" si="1"/>
        <v>1.912600663192795</v>
      </c>
      <c r="BC12" s="27">
        <f t="shared" si="1"/>
        <v>0.69710407847879918</v>
      </c>
      <c r="BD12" s="27">
        <f t="shared" si="1"/>
        <v>0.48991530071293932</v>
      </c>
      <c r="BE12" s="27">
        <f t="shared" si="1"/>
        <v>1.8411352394048752</v>
      </c>
      <c r="BF12" s="27">
        <f t="shared" si="1"/>
        <v>1.4414589508122408</v>
      </c>
      <c r="BG12" s="27">
        <f t="shared" si="1"/>
        <v>0.40989649376308168</v>
      </c>
      <c r="BH12" s="27">
        <f t="shared" si="1"/>
        <v>-0.20095180058618156</v>
      </c>
      <c r="BI12" s="27">
        <f t="shared" si="1"/>
        <v>1.2324212554483827</v>
      </c>
      <c r="BJ12" s="27">
        <f t="shared" si="1"/>
        <v>1.6306569039685679</v>
      </c>
      <c r="BN12">
        <v>11</v>
      </c>
      <c r="BO12" s="28">
        <f t="shared" si="5"/>
        <v>-3.6069742723490235</v>
      </c>
      <c r="BP12" s="28">
        <f t="shared" si="2"/>
        <v>-2.2754129307354036</v>
      </c>
      <c r="BQ12" s="28">
        <f t="shared" ref="BQ12:CK24" si="38">AK12+SUM(AK13:AK47)</f>
        <v>-10.966589164461414</v>
      </c>
      <c r="BR12" s="28">
        <f t="shared" si="38"/>
        <v>-7.436655043777483</v>
      </c>
      <c r="BS12" s="28">
        <f t="shared" si="38"/>
        <v>-3.0694403175783322</v>
      </c>
      <c r="BT12" s="28">
        <f t="shared" si="38"/>
        <v>0.27713503557648533</v>
      </c>
      <c r="BU12" s="28">
        <f t="shared" si="38"/>
        <v>0.81876043333594506</v>
      </c>
      <c r="BV12" s="28">
        <f t="shared" si="38"/>
        <v>2.3983278395445322</v>
      </c>
      <c r="BW12" s="28">
        <f t="shared" si="38"/>
        <v>-3.5905956320912704</v>
      </c>
      <c r="BX12" s="28">
        <f t="shared" si="38"/>
        <v>-7.1316392570949203</v>
      </c>
      <c r="BY12" s="28">
        <f t="shared" si="38"/>
        <v>3.9022335021313945</v>
      </c>
      <c r="BZ12" s="28">
        <f t="shared" si="38"/>
        <v>1.6233248236721702</v>
      </c>
      <c r="CA12" s="28">
        <f t="shared" si="38"/>
        <v>-2.1342397067595473</v>
      </c>
      <c r="CB12" s="28">
        <f t="shared" si="38"/>
        <v>1.4856106717662756</v>
      </c>
      <c r="CC12" s="28">
        <f t="shared" si="38"/>
        <v>-0.79664249933858933</v>
      </c>
      <c r="CD12" s="28">
        <f t="shared" si="38"/>
        <v>-1.5931833166063527</v>
      </c>
      <c r="CE12" s="28">
        <f t="shared" si="38"/>
        <v>-5.9791905030733439</v>
      </c>
      <c r="CF12" s="28">
        <f t="shared" si="38"/>
        <v>-9.5181108390183109</v>
      </c>
      <c r="CG12" s="28">
        <f t="shared" si="38"/>
        <v>-8.7321295483073413</v>
      </c>
      <c r="CH12" s="28">
        <f t="shared" si="38"/>
        <v>-5.1720296118443398</v>
      </c>
      <c r="CI12" s="28">
        <f t="shared" si="38"/>
        <v>-1.3063423782944945</v>
      </c>
      <c r="CJ12" s="28">
        <f t="shared" si="38"/>
        <v>-0.77549287257895561</v>
      </c>
      <c r="CK12" s="28">
        <f t="shared" si="38"/>
        <v>-7.9105552371683787</v>
      </c>
      <c r="CL12" s="28">
        <f t="shared" si="37"/>
        <v>-4.3745455904062673</v>
      </c>
      <c r="CM12" s="28">
        <f t="shared" si="37"/>
        <v>-3.5591324127010169</v>
      </c>
      <c r="CN12" s="28">
        <f t="shared" si="37"/>
        <v>0.54691618194305702</v>
      </c>
      <c r="CO12" s="28">
        <f t="shared" si="37"/>
        <v>-3.8366336839431936</v>
      </c>
      <c r="CP12" s="28">
        <f t="shared" si="37"/>
        <v>-7.3753065716546171</v>
      </c>
      <c r="CU12" s="13">
        <v>11</v>
      </c>
      <c r="CV12" s="29">
        <f t="shared" si="6"/>
        <v>-1.7024532549256639</v>
      </c>
      <c r="CW12" s="29">
        <f t="shared" si="7"/>
        <v>-3.8946027518281729</v>
      </c>
      <c r="CX12" s="29">
        <f t="shared" si="8"/>
        <v>-8.2126609360900087</v>
      </c>
      <c r="CY12" s="29">
        <f t="shared" si="9"/>
        <v>22.455972062028614</v>
      </c>
      <c r="CZ12" s="29">
        <f t="shared" si="10"/>
        <v>-20.9340840325744</v>
      </c>
      <c r="DA12" s="29">
        <f t="shared" si="11"/>
        <v>-32.742915902799325</v>
      </c>
      <c r="DB12" s="29">
        <f t="shared" si="12"/>
        <v>-14.537263804623311</v>
      </c>
      <c r="DC12" s="29">
        <f t="shared" si="13"/>
        <v>55.193463030406008</v>
      </c>
      <c r="DF12" s="46">
        <v>11</v>
      </c>
      <c r="DG12" s="49">
        <f t="shared" si="36"/>
        <v>0.54691618194305702</v>
      </c>
      <c r="DH12" s="49">
        <f t="shared" si="14"/>
        <v>0.81876043333594506</v>
      </c>
      <c r="DI12" s="49">
        <f t="shared" si="15"/>
        <v>-3.8366336839431936</v>
      </c>
      <c r="DJ12" s="49">
        <f t="shared" si="16"/>
        <v>-3.5905956320912704</v>
      </c>
      <c r="DK12" s="49">
        <f t="shared" si="17"/>
        <v>2.1342397067595473</v>
      </c>
      <c r="DL12" s="49">
        <f t="shared" si="18"/>
        <v>2.3983278395445322</v>
      </c>
      <c r="DM12" s="49">
        <f t="shared" si="19"/>
        <v>3.6069742723490235</v>
      </c>
      <c r="DN12" s="49">
        <f t="shared" si="20"/>
        <v>3.9022335021313945</v>
      </c>
      <c r="DO12" s="49">
        <f t="shared" si="21"/>
        <v>1.3063423782944945</v>
      </c>
      <c r="DP12" s="49">
        <f t="shared" si="22"/>
        <v>1.6233248236721702</v>
      </c>
      <c r="DQ12" s="49">
        <f t="shared" si="23"/>
        <v>-7.3753065716546171</v>
      </c>
      <c r="DR12" s="49">
        <f t="shared" si="24"/>
        <v>-7.1316392570949203</v>
      </c>
      <c r="DS12" s="49">
        <f t="shared" si="25"/>
        <v>-0.27713503557648533</v>
      </c>
      <c r="DT12" s="49">
        <f t="shared" si="26"/>
        <v>0.27713503557648533</v>
      </c>
      <c r="DX12">
        <v>11</v>
      </c>
      <c r="DY12" s="19">
        <f t="shared" si="27"/>
        <v>-10.642661052795138</v>
      </c>
      <c r="EM12" s="13">
        <v>11</v>
      </c>
      <c r="EN12" s="16">
        <f t="shared" si="28"/>
        <v>-1.7024532549256639</v>
      </c>
      <c r="EO12" s="16">
        <f t="shared" si="4"/>
        <v>-3.8946027518281729</v>
      </c>
      <c r="EP12" s="16">
        <f t="shared" si="29"/>
        <v>-8.2126609360900087</v>
      </c>
      <c r="EQ12" s="16">
        <f t="shared" si="30"/>
        <v>22.455972062028614</v>
      </c>
      <c r="ER12" s="16">
        <f t="shared" si="31"/>
        <v>-20.9340840325744</v>
      </c>
      <c r="ES12" s="16">
        <f t="shared" si="32"/>
        <v>-32.742915902799325</v>
      </c>
      <c r="ET12" s="16">
        <f t="shared" si="33"/>
        <v>-14.537263804623311</v>
      </c>
      <c r="EU12" s="16">
        <f t="shared" si="34"/>
        <v>55.193463030406008</v>
      </c>
      <c r="FK12" s="20"/>
      <c r="FL12" s="20"/>
    </row>
    <row r="13" spans="1:170" ht="14.4" thickBot="1" x14ac:dyDescent="0.35">
      <c r="A13" s="37" t="s">
        <v>51</v>
      </c>
      <c r="B13" s="38">
        <v>11</v>
      </c>
      <c r="C13" s="34">
        <f>RTD("fxbluelabs.excelrtd", , "21422436","@bh,AUDUSD,d1,close,11")</f>
        <v>0.65178000000000003</v>
      </c>
      <c r="D13" s="34">
        <f>RTD("fxbluelabs.excelrtd", , "21422436","@bh,AUDNZD,d1,close,11")</f>
        <v>1.0946199999999999</v>
      </c>
      <c r="E13" s="35">
        <f>RTD("fxbluelabs.excelrtd", , "21422436","@bh,AUDJPY,d1,close,11")</f>
        <v>94.084999999999994</v>
      </c>
      <c r="F13" s="34">
        <f>RTD("fxbluelabs.excelrtd", , "21422436","@bh,AUDCHF,d1,close,11")</f>
        <v>0.55474000000000001</v>
      </c>
      <c r="G13" s="34">
        <f>RTD("fxbluelabs.excelrtd", , "21422436","@bh,AUDCAD,d1,close,11")</f>
        <v>0.89837</v>
      </c>
      <c r="H13" s="34">
        <f>RTD("fxbluelabs.excelrtd", , "21422436","@bh,EURUSD,d1,close,11")</f>
        <v>1.0931299999999999</v>
      </c>
      <c r="I13" s="34">
        <f>RTD("fxbluelabs.excelrtd", , "21422436","@bh,EURCAD,d1,close,11")</f>
        <v>1.50675</v>
      </c>
      <c r="J13" s="34">
        <f>RTD("fxbluelabs.excelrtd", , "21422436","@bh,EURGBP,d1,close,11")</f>
        <v>0.86121999999999999</v>
      </c>
      <c r="K13" s="34">
        <f>RTD("fxbluelabs.excelrtd", , "21422436","@bh,EURCHF,d1,close,11")</f>
        <v>0.93050999999999995</v>
      </c>
      <c r="L13" s="35">
        <f>RTD("fxbluelabs.excelrtd", , "21422436","@bh,EURJPY,d1,close,11")</f>
        <v>157.792</v>
      </c>
      <c r="M13" s="34">
        <f>RTD("fxbluelabs.excelrtd", , "21422436","@bh,EURAUD,d1,close,11")</f>
        <v>1.6770499999999999</v>
      </c>
      <c r="N13" s="34">
        <f>RTD("fxbluelabs.excelrtd", , "21422436","@bh,EURNZD,d1,close,11")</f>
        <v>1.8359399999999999</v>
      </c>
      <c r="O13" s="34">
        <f>RTD("fxbluelabs.excelrtd", , "21422436","@bh,GBPUSD,d1,close,11")</f>
        <v>1.2691699999999999</v>
      </c>
      <c r="P13" s="34">
        <f>RTD("fxbluelabs.excelrtd", , "21422436","@bh,GBPAUD,d1,close,11")</f>
        <v>1.9471099999999999</v>
      </c>
      <c r="Q13" s="34">
        <f>RTD("fxbluelabs.excelrtd", , "21422436","@bh,GBPNZD,d1,close,11")</f>
        <v>2.1315200000000001</v>
      </c>
      <c r="R13" s="34">
        <f>RTD("fxbluelabs.excelrtd", , "21422436","@bh,GBPCAD,d1,close,11")</f>
        <v>1.74939</v>
      </c>
      <c r="S13" s="34">
        <f>RTD("fxbluelabs.excelrtd", , "21422436","@bh,GBPCHF,d1,close,11")</f>
        <v>1.08023</v>
      </c>
      <c r="T13" s="35">
        <f>RTD("fxbluelabs.excelrtd", , "21422436","@bh,GBPJPY,d1,close,11")</f>
        <v>183.21</v>
      </c>
      <c r="U13" s="35">
        <f>RTD("fxbluelabs.excelrtd", , "21422436","@bh,NZDJPY,d1,close,11")</f>
        <v>85.924999999999997</v>
      </c>
      <c r="V13" s="34">
        <f>RTD("fxbluelabs.excelrtd", , "21422436","@bh,NZDCHF,d1,close,11")</f>
        <v>0.50663999999999998</v>
      </c>
      <c r="W13" s="34">
        <f>RTD("fxbluelabs.excelrtd", , "21422436","@bh,NZDUSD,d1,close,11")</f>
        <v>0.59531999999999996</v>
      </c>
      <c r="X13" s="34">
        <f>RTD("fxbluelabs.excelrtd", , "21422436","@bh,NZDCAD,d1,close,11")</f>
        <v>0.82055</v>
      </c>
      <c r="Y13" s="35">
        <f>RTD("fxbluelabs.excelrtd", , "21422436","@bh,CADJPY,d1,close,11")</f>
        <v>104.718</v>
      </c>
      <c r="Z13" s="34">
        <f>RTD("fxbluelabs.excelrtd", , "21422436","@bh,CADCHF,d1,close,11")</f>
        <v>0.61743000000000003</v>
      </c>
      <c r="AA13" s="35">
        <f>RTD("fxbluelabs.excelrtd", , "21422436","@bh,CHFJPY,d1,close,11")</f>
        <v>169.55500000000001</v>
      </c>
      <c r="AB13" s="34">
        <f>RTD("fxbluelabs.excelrtd", , "21422436","@bh,USDCAD,d1,close,11")</f>
        <v>1.3784400000000001</v>
      </c>
      <c r="AC13" s="34">
        <f>RTD("fxbluelabs.excelrtd", , "21422436","@bh,USDCHF,d1,close,11")</f>
        <v>0.85116999999999998</v>
      </c>
      <c r="AD13" s="35">
        <f>RTD("fxbluelabs.excelrtd", , "21422436","@bh,USDJPY,d1,close,11")</f>
        <v>144.35900000000001</v>
      </c>
      <c r="AH13" s="21">
        <v>12</v>
      </c>
      <c r="AI13" s="22">
        <f t="shared" si="35"/>
        <v>0.33404658179523178</v>
      </c>
      <c r="AJ13" s="22">
        <f t="shared" si="35"/>
        <v>8.7778651500452595E-2</v>
      </c>
      <c r="AK13" s="22">
        <f t="shared" si="35"/>
        <v>0.4655682388493127</v>
      </c>
      <c r="AL13" s="22">
        <f t="shared" si="35"/>
        <v>0.20049491537670563</v>
      </c>
      <c r="AM13" s="22">
        <f t="shared" si="35"/>
        <v>3.1177276219526654E-2</v>
      </c>
      <c r="AN13" s="22">
        <f t="shared" si="35"/>
        <v>-0.18171524581782436</v>
      </c>
      <c r="AO13" s="22">
        <f t="shared" si="35"/>
        <v>-0.48149322342870854</v>
      </c>
      <c r="AP13" s="22">
        <f t="shared" si="35"/>
        <v>0.48303542259766097</v>
      </c>
      <c r="AQ13" s="22">
        <f t="shared" si="35"/>
        <v>-0.30641653363618765</v>
      </c>
      <c r="AR13" s="22">
        <f t="shared" si="35"/>
        <v>-5.9536627693395294E-2</v>
      </c>
      <c r="AS13" s="22">
        <f t="shared" si="35"/>
        <v>-0.51136936648336107</v>
      </c>
      <c r="AT13" s="22">
        <f t="shared" si="35"/>
        <v>-0.42467335947542284</v>
      </c>
      <c r="AU13" s="22">
        <f t="shared" si="35"/>
        <v>-0.66138601462094115</v>
      </c>
      <c r="AV13" s="22">
        <f t="shared" si="35"/>
        <v>-0.99004362904128473</v>
      </c>
      <c r="AW13" s="22">
        <f t="shared" si="35"/>
        <v>-0.90470390240727627</v>
      </c>
      <c r="AX13" s="22">
        <f t="shared" si="35"/>
        <v>-0.96185418766064268</v>
      </c>
      <c r="AY13" s="22">
        <f t="shared" si="1"/>
        <v>-0.79530531091293799</v>
      </c>
      <c r="AZ13" s="22">
        <f t="shared" si="1"/>
        <v>-0.5298991237118994</v>
      </c>
      <c r="BA13" s="22">
        <f t="shared" si="1"/>
        <v>0.37263743195570714</v>
      </c>
      <c r="BB13" s="22">
        <f t="shared" si="1"/>
        <v>0.10669828097213692</v>
      </c>
      <c r="BC13" s="22">
        <f t="shared" si="1"/>
        <v>0.23909749116012408</v>
      </c>
      <c r="BD13" s="22">
        <f t="shared" si="1"/>
        <v>-6.2114827174629191E-2</v>
      </c>
      <c r="BE13" s="22">
        <f t="shared" si="1"/>
        <v>0.42965378344682797</v>
      </c>
      <c r="BF13" s="22">
        <f t="shared" si="1"/>
        <v>0.16384932351319983</v>
      </c>
      <c r="BG13" s="22">
        <f t="shared" si="1"/>
        <v>0.25780663319911251</v>
      </c>
      <c r="BH13" s="22">
        <f t="shared" si="1"/>
        <v>-0.30016129148915266</v>
      </c>
      <c r="BI13" s="22">
        <f t="shared" si="1"/>
        <v>-0.13141067007708759</v>
      </c>
      <c r="BJ13" s="22">
        <f t="shared" si="1"/>
        <v>0.13387345143793408</v>
      </c>
      <c r="BN13">
        <v>12</v>
      </c>
      <c r="BO13" s="23">
        <f t="shared" si="5"/>
        <v>-3.6315224327712423</v>
      </c>
      <c r="BP13" s="23">
        <f t="shared" si="2"/>
        <v>-1.6295266871074865</v>
      </c>
      <c r="BQ13" s="23">
        <f t="shared" si="38"/>
        <v>-12.623601440594708</v>
      </c>
      <c r="BR13" s="23">
        <f t="shared" si="38"/>
        <v>-8.6949021505301936</v>
      </c>
      <c r="BS13" s="23">
        <f t="shared" si="38"/>
        <v>-2.8946793616247763</v>
      </c>
      <c r="BT13" s="23">
        <f t="shared" si="38"/>
        <v>0.3484897692312201</v>
      </c>
      <c r="BU13" s="23">
        <f t="shared" si="38"/>
        <v>1.0902055967671662</v>
      </c>
      <c r="BV13" s="23">
        <f t="shared" si="38"/>
        <v>2.4865747450971187</v>
      </c>
      <c r="BW13" s="23">
        <f t="shared" si="38"/>
        <v>-4.7394279928396879</v>
      </c>
      <c r="BX13" s="23">
        <f t="shared" si="38"/>
        <v>-8.6969911127023014</v>
      </c>
      <c r="BY13" s="23">
        <f t="shared" si="38"/>
        <v>3.9964465548131818</v>
      </c>
      <c r="BZ13" s="23">
        <f t="shared" si="38"/>
        <v>2.3624557320896482</v>
      </c>
      <c r="CA13" s="23">
        <f t="shared" si="38"/>
        <v>-2.1397551223461133</v>
      </c>
      <c r="CB13" s="23">
        <f t="shared" si="38"/>
        <v>1.5030724484506948</v>
      </c>
      <c r="CC13" s="23">
        <f t="shared" si="38"/>
        <v>-0.12669804655370864</v>
      </c>
      <c r="CD13" s="23">
        <f t="shared" si="38"/>
        <v>-1.397686600608206</v>
      </c>
      <c r="CE13" s="23">
        <f t="shared" si="38"/>
        <v>-7.2168898819093226</v>
      </c>
      <c r="CF13" s="23">
        <f t="shared" si="38"/>
        <v>-11.153938577678856</v>
      </c>
      <c r="CG13" s="23">
        <f t="shared" si="38"/>
        <v>-11.024826667888368</v>
      </c>
      <c r="CH13" s="23">
        <f t="shared" si="38"/>
        <v>-7.084630275037135</v>
      </c>
      <c r="CI13" s="23">
        <f t="shared" si="38"/>
        <v>-2.0034464567732941</v>
      </c>
      <c r="CJ13" s="23">
        <f t="shared" si="38"/>
        <v>-1.2654081732918951</v>
      </c>
      <c r="CK13" s="23">
        <f t="shared" si="38"/>
        <v>-9.7516904765732537</v>
      </c>
      <c r="CL13" s="23">
        <f t="shared" si="37"/>
        <v>-5.8160045412185069</v>
      </c>
      <c r="CM13" s="23">
        <f t="shared" si="37"/>
        <v>-3.9690289064640987</v>
      </c>
      <c r="CN13" s="23">
        <f t="shared" si="37"/>
        <v>0.7478679825292387</v>
      </c>
      <c r="CO13" s="23">
        <f t="shared" si="37"/>
        <v>-5.0690549393915765</v>
      </c>
      <c r="CP13" s="23">
        <f t="shared" si="37"/>
        <v>-9.0059634756231848</v>
      </c>
      <c r="CU13" s="21">
        <v>12</v>
      </c>
      <c r="CV13" s="24">
        <f t="shared" si="6"/>
        <v>-3.1522467075436547</v>
      </c>
      <c r="CW13" s="24">
        <f t="shared" si="7"/>
        <v>-5.9009161898260922</v>
      </c>
      <c r="CX13" s="24">
        <f t="shared" si="8"/>
        <v>-11.847994461563287</v>
      </c>
      <c r="CY13" s="24">
        <f t="shared" si="9"/>
        <v>28.835876333243817</v>
      </c>
      <c r="CZ13" s="24">
        <f t="shared" si="10"/>
        <v>-23.018470525742632</v>
      </c>
      <c r="DA13" s="24">
        <f t="shared" si="11"/>
        <v>-34.973751075892288</v>
      </c>
      <c r="DB13" s="24">
        <f t="shared" si="12"/>
        <v>-21.984542571419148</v>
      </c>
      <c r="DC13" s="24">
        <f t="shared" si="13"/>
        <v>66.226040657524777</v>
      </c>
      <c r="DF13" s="48">
        <v>12</v>
      </c>
      <c r="DG13" s="47">
        <f t="shared" si="36"/>
        <v>0.7478679825292387</v>
      </c>
      <c r="DH13" s="47">
        <f t="shared" si="14"/>
        <v>1.0902055967671662</v>
      </c>
      <c r="DI13" s="47">
        <f t="shared" si="15"/>
        <v>-5.0690549393915765</v>
      </c>
      <c r="DJ13" s="47">
        <f t="shared" si="16"/>
        <v>-4.7394279928396879</v>
      </c>
      <c r="DK13" s="47">
        <f t="shared" si="17"/>
        <v>2.1397551223461133</v>
      </c>
      <c r="DL13" s="47">
        <f t="shared" si="18"/>
        <v>2.4865747450971187</v>
      </c>
      <c r="DM13" s="47">
        <f t="shared" si="19"/>
        <v>3.6315224327712423</v>
      </c>
      <c r="DN13" s="47">
        <f t="shared" si="20"/>
        <v>3.9964465548131818</v>
      </c>
      <c r="DO13" s="47">
        <f t="shared" si="21"/>
        <v>2.0034464567732941</v>
      </c>
      <c r="DP13" s="47">
        <f t="shared" si="22"/>
        <v>2.3624557320896482</v>
      </c>
      <c r="DQ13" s="47">
        <f t="shared" si="23"/>
        <v>-9.0059634756231848</v>
      </c>
      <c r="DR13" s="47">
        <f t="shared" si="24"/>
        <v>-8.6969911127023014</v>
      </c>
      <c r="DS13" s="47">
        <f t="shared" si="25"/>
        <v>-0.3484897692312201</v>
      </c>
      <c r="DT13" s="47">
        <f t="shared" si="26"/>
        <v>0.3484897692312201</v>
      </c>
      <c r="DX13">
        <v>12</v>
      </c>
      <c r="DY13" s="19">
        <f t="shared" si="27"/>
        <v>-16.083626381593056</v>
      </c>
      <c r="EM13" s="21">
        <v>12</v>
      </c>
      <c r="EN13" s="16">
        <f t="shared" si="28"/>
        <v>-3.1522467075436547</v>
      </c>
      <c r="EO13" s="16">
        <f t="shared" si="4"/>
        <v>-5.9009161898260922</v>
      </c>
      <c r="EP13" s="16">
        <f t="shared" si="29"/>
        <v>-11.847994461563287</v>
      </c>
      <c r="EQ13" s="16">
        <f t="shared" si="30"/>
        <v>28.835876333243817</v>
      </c>
      <c r="ER13" s="16">
        <f t="shared" si="31"/>
        <v>-23.018470525742632</v>
      </c>
      <c r="ES13" s="16">
        <f t="shared" si="32"/>
        <v>-34.973751075892288</v>
      </c>
      <c r="ET13" s="16">
        <f t="shared" si="33"/>
        <v>-21.984542571419148</v>
      </c>
      <c r="EU13" s="16">
        <f t="shared" si="34"/>
        <v>66.226040657524777</v>
      </c>
      <c r="FK13" s="20"/>
      <c r="FL13" s="20"/>
    </row>
    <row r="14" spans="1:170" ht="14.4" thickBot="1" x14ac:dyDescent="0.35">
      <c r="A14" s="37" t="s">
        <v>51</v>
      </c>
      <c r="B14" s="38">
        <v>12</v>
      </c>
      <c r="C14" s="34">
        <f>RTD("fxbluelabs.excelrtd", , "21422436","@bh,AUDUSD,d1,close,12")</f>
        <v>0.64961000000000002</v>
      </c>
      <c r="D14" s="34">
        <f>RTD("fxbluelabs.excelrtd", , "21422436","@bh,AUDNZD,d1,close,12")</f>
        <v>1.0936600000000001</v>
      </c>
      <c r="E14" s="35">
        <f>RTD("fxbluelabs.excelrtd", , "21422436","@bh,AUDJPY,d1,close,12")</f>
        <v>93.649000000000001</v>
      </c>
      <c r="F14" s="34">
        <f>RTD("fxbluelabs.excelrtd", , "21422436","@bh,AUDCHF,d1,close,12")</f>
        <v>0.55362999999999996</v>
      </c>
      <c r="G14" s="34">
        <f>RTD("fxbluelabs.excelrtd", , "21422436","@bh,AUDCAD,d1,close,12")</f>
        <v>0.89809000000000005</v>
      </c>
      <c r="H14" s="34">
        <f>RTD("fxbluelabs.excelrtd", , "21422436","@bh,EURUSD,d1,close,12")</f>
        <v>1.0951200000000001</v>
      </c>
      <c r="I14" s="34">
        <f>RTD("fxbluelabs.excelrtd", , "21422436","@bh,EURCAD,d1,close,12")</f>
        <v>1.5140400000000001</v>
      </c>
      <c r="J14" s="34">
        <f>RTD("fxbluelabs.excelrtd", , "21422436","@bh,EURGBP,d1,close,12")</f>
        <v>0.85707999999999995</v>
      </c>
      <c r="K14" s="34">
        <f>RTD("fxbluelabs.excelrtd", , "21422436","@bh,EURCHF,d1,close,12")</f>
        <v>0.93337000000000003</v>
      </c>
      <c r="L14" s="35">
        <f>RTD("fxbluelabs.excelrtd", , "21422436","@bh,EURJPY,d1,close,12")</f>
        <v>157.886</v>
      </c>
      <c r="M14" s="34">
        <f>RTD("fxbluelabs.excelrtd", , "21422436","@bh,EURAUD,d1,close,12")</f>
        <v>1.68567</v>
      </c>
      <c r="N14" s="34">
        <f>RTD("fxbluelabs.excelrtd", , "21422436","@bh,EURNZD,d1,close,12")</f>
        <v>1.8437699999999999</v>
      </c>
      <c r="O14" s="34">
        <f>RTD("fxbluelabs.excelrtd", , "21422436","@bh,GBPUSD,d1,close,12")</f>
        <v>1.27762</v>
      </c>
      <c r="P14" s="34">
        <f>RTD("fxbluelabs.excelrtd", , "21422436","@bh,GBPAUD,d1,close,12")</f>
        <v>1.96658</v>
      </c>
      <c r="Q14" s="34">
        <f>RTD("fxbluelabs.excelrtd", , "21422436","@bh,GBPNZD,d1,close,12")</f>
        <v>2.1509800000000001</v>
      </c>
      <c r="R14" s="34">
        <f>RTD("fxbluelabs.excelrtd", , "21422436","@bh,GBPCAD,d1,close,12")</f>
        <v>1.7663800000000001</v>
      </c>
      <c r="S14" s="34">
        <f>RTD("fxbluelabs.excelrtd", , "21422436","@bh,GBPCHF,d1,close,12")</f>
        <v>1.0888899999999999</v>
      </c>
      <c r="T14" s="35">
        <f>RTD("fxbluelabs.excelrtd", , "21422436","@bh,GBPJPY,d1,close,12")</f>
        <v>184.18600000000001</v>
      </c>
      <c r="U14" s="35">
        <f>RTD("fxbluelabs.excelrtd", , "21422436","@bh,NZDJPY,d1,close,12")</f>
        <v>85.605999999999995</v>
      </c>
      <c r="V14" s="34">
        <f>RTD("fxbluelabs.excelrtd", , "21422436","@bh,NZDCHF,d1,close,12")</f>
        <v>0.50609999999999999</v>
      </c>
      <c r="W14" s="34">
        <f>RTD("fxbluelabs.excelrtd", , "21422436","@bh,NZDUSD,d1,close,12")</f>
        <v>0.59389999999999998</v>
      </c>
      <c r="X14" s="34">
        <f>RTD("fxbluelabs.excelrtd", , "21422436","@bh,NZDCAD,d1,close,12")</f>
        <v>0.82106000000000001</v>
      </c>
      <c r="Y14" s="35">
        <f>RTD("fxbluelabs.excelrtd", , "21422436","@bh,CADJPY,d1,close,12")</f>
        <v>104.27</v>
      </c>
      <c r="Z14" s="34">
        <f>RTD("fxbluelabs.excelrtd", , "21422436","@bh,CADCHF,d1,close,12")</f>
        <v>0.61641999999999997</v>
      </c>
      <c r="AA14" s="35">
        <f>RTD("fxbluelabs.excelrtd", , "21422436","@bh,CHFJPY,d1,close,12")</f>
        <v>169.119</v>
      </c>
      <c r="AB14" s="34">
        <f>RTD("fxbluelabs.excelrtd", , "21422436","@bh,USDCAD,d1,close,12")</f>
        <v>1.38259</v>
      </c>
      <c r="AC14" s="34">
        <f>RTD("fxbluelabs.excelrtd", , "21422436","@bh,USDCHF,d1,close,12")</f>
        <v>0.85228999999999999</v>
      </c>
      <c r="AD14" s="35">
        <f>RTD("fxbluelabs.excelrtd", , "21422436","@bh,USDJPY,d1,close,12")</f>
        <v>144.166</v>
      </c>
      <c r="AH14" s="13">
        <v>13</v>
      </c>
      <c r="AI14" s="27">
        <f t="shared" si="35"/>
        <v>-0.21658320788916197</v>
      </c>
      <c r="AJ14" s="27">
        <f t="shared" si="35"/>
        <v>9.8848596899080141E-2</v>
      </c>
      <c r="AK14" s="27">
        <f t="shared" si="35"/>
        <v>-1.786013927342901</v>
      </c>
      <c r="AL14" s="27">
        <f t="shared" si="35"/>
        <v>-0.85777730023997556</v>
      </c>
      <c r="AM14" s="27">
        <f t="shared" si="35"/>
        <v>-0.55585698309175113</v>
      </c>
      <c r="AN14" s="27">
        <f t="shared" si="35"/>
        <v>0.37303514962650819</v>
      </c>
      <c r="AO14" s="27">
        <f t="shared" si="35"/>
        <v>2.8408903218144207E-2</v>
      </c>
      <c r="AP14" s="27">
        <f t="shared" si="35"/>
        <v>0.60096718155780815</v>
      </c>
      <c r="AQ14" s="27">
        <f t="shared" si="35"/>
        <v>-0.27885211222462031</v>
      </c>
      <c r="AR14" s="27">
        <f t="shared" si="35"/>
        <v>-1.2218544910816527</v>
      </c>
      <c r="AS14" s="27">
        <f t="shared" si="35"/>
        <v>0.58477089511716485</v>
      </c>
      <c r="AT14" s="27">
        <f t="shared" si="35"/>
        <v>0.69083402507753877</v>
      </c>
      <c r="AU14" s="27">
        <f t="shared" si="35"/>
        <v>-0.22413294910541498</v>
      </c>
      <c r="AV14" s="27">
        <f t="shared" si="35"/>
        <v>-1.0168905520697687E-2</v>
      </c>
      <c r="AW14" s="27">
        <f t="shared" si="35"/>
        <v>8.9807124078090758E-2</v>
      </c>
      <c r="AX14" s="27">
        <f t="shared" si="35"/>
        <v>-0.5646219059789116</v>
      </c>
      <c r="AY14" s="27">
        <f t="shared" si="1"/>
        <v>-0.87482931269914599</v>
      </c>
      <c r="AZ14" s="27">
        <f t="shared" si="1"/>
        <v>-1.81093169423668</v>
      </c>
      <c r="BA14" s="27">
        <f t="shared" si="1"/>
        <v>-1.9078502595363938</v>
      </c>
      <c r="BB14" s="27">
        <f t="shared" si="1"/>
        <v>-0.97246952472264658</v>
      </c>
      <c r="BC14" s="27">
        <f t="shared" si="1"/>
        <v>-0.30885956961091476</v>
      </c>
      <c r="BD14" s="27">
        <f t="shared" si="1"/>
        <v>-0.65459121323218339</v>
      </c>
      <c r="BE14" s="27">
        <f t="shared" si="1"/>
        <v>-1.2473126426548791</v>
      </c>
      <c r="BF14" s="27">
        <f t="shared" si="1"/>
        <v>-0.30889654391669141</v>
      </c>
      <c r="BG14" s="27">
        <f t="shared" si="1"/>
        <v>-0.93721261253872989</v>
      </c>
      <c r="BH14" s="27">
        <f t="shared" si="1"/>
        <v>-0.34094513162068757</v>
      </c>
      <c r="BI14" s="27">
        <f t="shared" si="1"/>
        <v>-0.65392236857442643</v>
      </c>
      <c r="BJ14" s="27">
        <f t="shared" si="1"/>
        <v>-1.5945174809900291</v>
      </c>
      <c r="BN14">
        <v>13</v>
      </c>
      <c r="BO14" s="28">
        <f t="shared" si="5"/>
        <v>-3.9655690145664741</v>
      </c>
      <c r="BP14" s="28">
        <f t="shared" si="2"/>
        <v>-1.7173053386079387</v>
      </c>
      <c r="BQ14" s="28">
        <f t="shared" si="38"/>
        <v>-13.089169679444023</v>
      </c>
      <c r="BR14" s="28">
        <f t="shared" si="38"/>
        <v>-8.8953970659068986</v>
      </c>
      <c r="BS14" s="28">
        <f t="shared" si="38"/>
        <v>-2.9258566378443027</v>
      </c>
      <c r="BT14" s="28">
        <f t="shared" si="38"/>
        <v>0.53020501504904427</v>
      </c>
      <c r="BU14" s="28">
        <f t="shared" si="38"/>
        <v>1.5716988201958748</v>
      </c>
      <c r="BV14" s="28">
        <f t="shared" si="38"/>
        <v>2.0035393224994578</v>
      </c>
      <c r="BW14" s="28">
        <f t="shared" si="38"/>
        <v>-4.4330114592034997</v>
      </c>
      <c r="BX14" s="28">
        <f t="shared" si="38"/>
        <v>-8.6374544850089077</v>
      </c>
      <c r="BY14" s="28">
        <f t="shared" si="38"/>
        <v>4.507815921296543</v>
      </c>
      <c r="BZ14" s="28">
        <f t="shared" si="38"/>
        <v>2.7871290915650722</v>
      </c>
      <c r="CA14" s="28">
        <f t="shared" si="38"/>
        <v>-1.4783691077251719</v>
      </c>
      <c r="CB14" s="28">
        <f t="shared" si="38"/>
        <v>2.4931160774919796</v>
      </c>
      <c r="CC14" s="28">
        <f t="shared" si="38"/>
        <v>0.77800585585356796</v>
      </c>
      <c r="CD14" s="28">
        <f t="shared" si="38"/>
        <v>-0.43583241294756342</v>
      </c>
      <c r="CE14" s="28">
        <f t="shared" si="38"/>
        <v>-6.4215845709963819</v>
      </c>
      <c r="CF14" s="28">
        <f t="shared" si="38"/>
        <v>-10.624039453966956</v>
      </c>
      <c r="CG14" s="28">
        <f t="shared" si="38"/>
        <v>-11.397464099844077</v>
      </c>
      <c r="CH14" s="28">
        <f t="shared" si="38"/>
        <v>-7.1913285560092719</v>
      </c>
      <c r="CI14" s="28">
        <f t="shared" si="38"/>
        <v>-2.2425439479334179</v>
      </c>
      <c r="CJ14" s="28">
        <f t="shared" si="38"/>
        <v>-1.2032933461172659</v>
      </c>
      <c r="CK14" s="28">
        <f t="shared" si="38"/>
        <v>-10.181344260020085</v>
      </c>
      <c r="CL14" s="28">
        <f t="shared" si="37"/>
        <v>-5.9798538647317061</v>
      </c>
      <c r="CM14" s="28">
        <f t="shared" si="37"/>
        <v>-4.2268355396632105</v>
      </c>
      <c r="CN14" s="28">
        <f t="shared" si="37"/>
        <v>1.0480292740183916</v>
      </c>
      <c r="CO14" s="28">
        <f t="shared" si="37"/>
        <v>-4.9376442693144886</v>
      </c>
      <c r="CP14" s="28">
        <f t="shared" si="37"/>
        <v>-9.1398369270611202</v>
      </c>
      <c r="CU14" s="21">
        <v>13</v>
      </c>
      <c r="CV14" s="29">
        <f t="shared" si="6"/>
        <v>-1.6700777736064145</v>
      </c>
      <c r="CW14" s="29">
        <f t="shared" si="7"/>
        <v>-5.8731748671811967</v>
      </c>
      <c r="CX14" s="29">
        <f t="shared" si="8"/>
        <v>-14.215943822056923</v>
      </c>
      <c r="CY14" s="29">
        <f t="shared" si="9"/>
        <v>27.652130381767329</v>
      </c>
      <c r="CZ14" s="29">
        <f t="shared" si="10"/>
        <v>-17.692242934789984</v>
      </c>
      <c r="DA14" s="29">
        <f t="shared" si="11"/>
        <v>-37.594229735158152</v>
      </c>
      <c r="DB14" s="29">
        <f t="shared" si="12"/>
        <v>-23.882459558714732</v>
      </c>
      <c r="DC14" s="29">
        <f t="shared" si="13"/>
        <v>67.29614444500838</v>
      </c>
      <c r="DF14" s="46">
        <v>13</v>
      </c>
      <c r="DG14" s="49">
        <f t="shared" si="36"/>
        <v>1.0480292740183916</v>
      </c>
      <c r="DH14" s="49">
        <f t="shared" si="14"/>
        <v>1.5716988201958748</v>
      </c>
      <c r="DI14" s="49">
        <f t="shared" si="15"/>
        <v>-4.9376442693144886</v>
      </c>
      <c r="DJ14" s="49">
        <f t="shared" si="16"/>
        <v>-4.4330114592034997</v>
      </c>
      <c r="DK14" s="49">
        <f t="shared" si="17"/>
        <v>1.4783691077251719</v>
      </c>
      <c r="DL14" s="49">
        <f t="shared" si="18"/>
        <v>2.0035393224994578</v>
      </c>
      <c r="DM14" s="49">
        <f t="shared" si="19"/>
        <v>3.9655690145664741</v>
      </c>
      <c r="DN14" s="49">
        <f t="shared" si="20"/>
        <v>4.507815921296543</v>
      </c>
      <c r="DO14" s="49">
        <f t="shared" si="21"/>
        <v>2.2425439479334179</v>
      </c>
      <c r="DP14" s="49">
        <f t="shared" si="22"/>
        <v>2.7871290915650722</v>
      </c>
      <c r="DQ14" s="49">
        <f t="shared" si="23"/>
        <v>-9.1398369270611202</v>
      </c>
      <c r="DR14" s="49">
        <f t="shared" si="24"/>
        <v>-8.6374544850089077</v>
      </c>
      <c r="DS14" s="49">
        <f t="shared" si="25"/>
        <v>-0.53020501504904427</v>
      </c>
      <c r="DT14" s="49">
        <f t="shared" si="26"/>
        <v>0.53020501504904427</v>
      </c>
      <c r="DX14">
        <v>13</v>
      </c>
      <c r="DY14" s="19">
        <f t="shared" si="27"/>
        <v>-18.009284691533537</v>
      </c>
      <c r="EM14" s="21">
        <v>13</v>
      </c>
      <c r="EN14" s="16">
        <f t="shared" si="28"/>
        <v>-1.6700777736064145</v>
      </c>
      <c r="EO14" s="16">
        <f t="shared" si="4"/>
        <v>-5.8731748671811967</v>
      </c>
      <c r="EP14" s="16">
        <f t="shared" si="29"/>
        <v>-14.215943822056923</v>
      </c>
      <c r="EQ14" s="16">
        <f t="shared" si="30"/>
        <v>27.652130381767329</v>
      </c>
      <c r="ER14" s="16">
        <f t="shared" si="31"/>
        <v>-17.692242934789984</v>
      </c>
      <c r="ES14" s="16">
        <f t="shared" si="32"/>
        <v>-37.594229735158152</v>
      </c>
      <c r="ET14" s="16">
        <f t="shared" si="33"/>
        <v>-23.882459558714732</v>
      </c>
      <c r="EU14" s="16">
        <f t="shared" si="34"/>
        <v>67.29614444500838</v>
      </c>
      <c r="FK14" s="20"/>
      <c r="FL14" s="20"/>
    </row>
    <row r="15" spans="1:170" ht="14.4" thickBot="1" x14ac:dyDescent="0.35">
      <c r="A15" s="37" t="s">
        <v>51</v>
      </c>
      <c r="B15" s="38">
        <v>13</v>
      </c>
      <c r="C15" s="34">
        <f>RTD("fxbluelabs.excelrtd", , "21422436","@bh,AUDUSD,d1,close,13")</f>
        <v>0.65102000000000004</v>
      </c>
      <c r="D15" s="34">
        <f>RTD("fxbluelabs.excelrtd", , "21422436","@bh,AUDNZD,d1,close,13")</f>
        <v>1.0925800000000001</v>
      </c>
      <c r="E15" s="35">
        <f>RTD("fxbluelabs.excelrtd", , "21422436","@bh,AUDJPY,d1,close,13")</f>
        <v>95.352000000000004</v>
      </c>
      <c r="F15" s="34">
        <f>RTD("fxbluelabs.excelrtd", , "21422436","@bh,AUDCHF,d1,close,13")</f>
        <v>0.55842000000000003</v>
      </c>
      <c r="G15" s="34">
        <f>RTD("fxbluelabs.excelrtd", , "21422436","@bh,AUDCAD,d1,close,13")</f>
        <v>0.90310999999999997</v>
      </c>
      <c r="H15" s="34">
        <f>RTD("fxbluelabs.excelrtd", , "21422436","@bh,EURUSD,d1,close,13")</f>
        <v>1.0910500000000001</v>
      </c>
      <c r="I15" s="34">
        <f>RTD("fxbluelabs.excelrtd", , "21422436","@bh,EURCAD,d1,close,13")</f>
        <v>1.5136099999999999</v>
      </c>
      <c r="J15" s="34">
        <f>RTD("fxbluelabs.excelrtd", , "21422436","@bh,EURGBP,d1,close,13")</f>
        <v>0.85196000000000005</v>
      </c>
      <c r="K15" s="34">
        <f>RTD("fxbluelabs.excelrtd", , "21422436","@bh,EURCHF,d1,close,13")</f>
        <v>0.93598000000000003</v>
      </c>
      <c r="L15" s="35">
        <f>RTD("fxbluelabs.excelrtd", , "21422436","@bh,EURJPY,d1,close,13")</f>
        <v>159.839</v>
      </c>
      <c r="M15" s="34">
        <f>RTD("fxbluelabs.excelrtd", , "21422436","@bh,EURAUD,d1,close,13")</f>
        <v>1.67587</v>
      </c>
      <c r="N15" s="34">
        <f>RTD("fxbluelabs.excelrtd", , "21422436","@bh,EURNZD,d1,close,13")</f>
        <v>1.8311200000000001</v>
      </c>
      <c r="O15" s="34">
        <f>RTD("fxbluelabs.excelrtd", , "21422436","@bh,GBPUSD,d1,close,13")</f>
        <v>1.2804899999999999</v>
      </c>
      <c r="P15" s="34">
        <f>RTD("fxbluelabs.excelrtd", , "21422436","@bh,GBPAUD,d1,close,13")</f>
        <v>1.96678</v>
      </c>
      <c r="Q15" s="34">
        <f>RTD("fxbluelabs.excelrtd", , "21422436","@bh,GBPNZD,d1,close,13")</f>
        <v>2.1490499999999999</v>
      </c>
      <c r="R15" s="34">
        <f>RTD("fxbluelabs.excelrtd", , "21422436","@bh,GBPCAD,d1,close,13")</f>
        <v>1.77641</v>
      </c>
      <c r="S15" s="34">
        <f>RTD("fxbluelabs.excelrtd", , "21422436","@bh,GBPCHF,d1,close,13")</f>
        <v>1.0985</v>
      </c>
      <c r="T15" s="35">
        <f>RTD("fxbluelabs.excelrtd", , "21422436","@bh,GBPJPY,d1,close,13")</f>
        <v>187.583</v>
      </c>
      <c r="U15" s="35">
        <f>RTD("fxbluelabs.excelrtd", , "21422436","@bh,NZDJPY,d1,close,13")</f>
        <v>87.271000000000001</v>
      </c>
      <c r="V15" s="34">
        <f>RTD("fxbluelabs.excelrtd", , "21422436","@bh,NZDCHF,d1,close,13")</f>
        <v>0.51107000000000002</v>
      </c>
      <c r="W15" s="34">
        <f>RTD("fxbluelabs.excelrtd", , "21422436","@bh,NZDUSD,d1,close,13")</f>
        <v>0.59574000000000005</v>
      </c>
      <c r="X15" s="34">
        <f>RTD("fxbluelabs.excelrtd", , "21422436","@bh,NZDCAD,d1,close,13")</f>
        <v>0.82647000000000004</v>
      </c>
      <c r="Y15" s="35">
        <f>RTD("fxbluelabs.excelrtd", , "21422436","@bh,CADJPY,d1,close,13")</f>
        <v>105.587</v>
      </c>
      <c r="Z15" s="34">
        <f>RTD("fxbluelabs.excelrtd", , "21422436","@bh,CADCHF,d1,close,13")</f>
        <v>0.61833000000000005</v>
      </c>
      <c r="AA15" s="35">
        <f>RTD("fxbluelabs.excelrtd", , "21422436","@bh,CHFJPY,d1,close,13")</f>
        <v>170.71899999999999</v>
      </c>
      <c r="AB15" s="34">
        <f>RTD("fxbluelabs.excelrtd", , "21422436","@bh,USDCAD,d1,close,13")</f>
        <v>1.3873200000000001</v>
      </c>
      <c r="AC15" s="34">
        <f>RTD("fxbluelabs.excelrtd", , "21422436","@bh,USDCHF,d1,close,13")</f>
        <v>0.8579</v>
      </c>
      <c r="AD15" s="35">
        <f>RTD("fxbluelabs.excelrtd", , "21422436","@bh,USDJPY,d1,close,13")</f>
        <v>146.50200000000001</v>
      </c>
      <c r="AH15" s="21">
        <v>14</v>
      </c>
      <c r="AI15" s="22">
        <f t="shared" si="35"/>
        <v>0.129194992156028</v>
      </c>
      <c r="AJ15" s="22">
        <f t="shared" si="35"/>
        <v>-1.6472052417717244E-2</v>
      </c>
      <c r="AK15" s="22">
        <f t="shared" si="35"/>
        <v>-1.7769399548811711</v>
      </c>
      <c r="AL15" s="22">
        <f t="shared" si="35"/>
        <v>-1.5982660487409508</v>
      </c>
      <c r="AM15" s="22">
        <f t="shared" si="35"/>
        <v>0.12972038051311666</v>
      </c>
      <c r="AN15" s="22">
        <f t="shared" si="35"/>
        <v>1.1045935151464747</v>
      </c>
      <c r="AO15" s="22">
        <f t="shared" si="35"/>
        <v>1.1061754784409277</v>
      </c>
      <c r="AP15" s="22">
        <f t="shared" si="35"/>
        <v>0.57372211073073864</v>
      </c>
      <c r="AQ15" s="22">
        <f t="shared" si="35"/>
        <v>-0.64012059319964543</v>
      </c>
      <c r="AR15" s="22">
        <f t="shared" si="35"/>
        <v>-0.81229677067043804</v>
      </c>
      <c r="AS15" s="22">
        <f t="shared" si="35"/>
        <v>0.97001391759099176</v>
      </c>
      <c r="AT15" s="22">
        <f t="shared" si="35"/>
        <v>0.95768435561682197</v>
      </c>
      <c r="AU15" s="22">
        <f t="shared" si="35"/>
        <v>0.52046535726060272</v>
      </c>
      <c r="AV15" s="22">
        <f t="shared" si="35"/>
        <v>0.38638022468240141</v>
      </c>
      <c r="AW15" s="22">
        <f t="shared" si="35"/>
        <v>0.37786787235631247</v>
      </c>
      <c r="AX15" s="22">
        <f t="shared" si="35"/>
        <v>0.5251452920837717</v>
      </c>
      <c r="AY15" s="22">
        <f t="shared" si="1"/>
        <v>-1.212252018921198</v>
      </c>
      <c r="AZ15" s="22">
        <f t="shared" si="1"/>
        <v>-1.3883631928673519</v>
      </c>
      <c r="BA15" s="22">
        <f t="shared" si="1"/>
        <v>-1.758355566062159</v>
      </c>
      <c r="BB15" s="22">
        <f t="shared" si="1"/>
        <v>-1.584825726940104</v>
      </c>
      <c r="BC15" s="22">
        <f t="shared" si="1"/>
        <v>0.12941828999782315</v>
      </c>
      <c r="BD15" s="22">
        <f t="shared" si="1"/>
        <v>0.13570000605803717</v>
      </c>
      <c r="BE15" s="22">
        <f t="shared" si="1"/>
        <v>-1.8954351603222166</v>
      </c>
      <c r="BF15" s="22">
        <f t="shared" si="1"/>
        <v>-1.7213427427045593</v>
      </c>
      <c r="BG15" s="22">
        <f t="shared" si="1"/>
        <v>-0.20109550282644062</v>
      </c>
      <c r="BH15" s="22">
        <f t="shared" si="1"/>
        <v>-4.3246983522862506E-3</v>
      </c>
      <c r="BI15" s="22">
        <f t="shared" si="1"/>
        <v>-1.7217875431019656</v>
      </c>
      <c r="BJ15" s="22">
        <f t="shared" si="1"/>
        <v>-1.8937922721489338</v>
      </c>
      <c r="BN15">
        <v>14</v>
      </c>
      <c r="BO15" s="23">
        <f t="shared" si="5"/>
        <v>-3.7489858066773123</v>
      </c>
      <c r="BP15" s="23">
        <f t="shared" si="2"/>
        <v>-1.8161539355070191</v>
      </c>
      <c r="BQ15" s="23">
        <f t="shared" si="38"/>
        <v>-11.303155752101119</v>
      </c>
      <c r="BR15" s="23">
        <f t="shared" si="38"/>
        <v>-8.0376197656669248</v>
      </c>
      <c r="BS15" s="23">
        <f t="shared" si="38"/>
        <v>-2.3699996547525517</v>
      </c>
      <c r="BT15" s="23">
        <f t="shared" si="38"/>
        <v>0.15716986542253608</v>
      </c>
      <c r="BU15" s="23">
        <f t="shared" si="38"/>
        <v>1.5432899169777308</v>
      </c>
      <c r="BV15" s="23">
        <f t="shared" si="38"/>
        <v>1.4025721409416492</v>
      </c>
      <c r="BW15" s="23">
        <f t="shared" si="38"/>
        <v>-4.1541593469788793</v>
      </c>
      <c r="BX15" s="23">
        <f t="shared" si="38"/>
        <v>-7.4155999939272554</v>
      </c>
      <c r="BY15" s="23">
        <f t="shared" si="38"/>
        <v>3.9230450261793783</v>
      </c>
      <c r="BZ15" s="23">
        <f t="shared" si="38"/>
        <v>2.0962950664875333</v>
      </c>
      <c r="CA15" s="23">
        <f t="shared" si="38"/>
        <v>-1.254236158619757</v>
      </c>
      <c r="CB15" s="23">
        <f t="shared" si="38"/>
        <v>2.5032849830126778</v>
      </c>
      <c r="CC15" s="23">
        <f t="shared" si="38"/>
        <v>0.68819873177547686</v>
      </c>
      <c r="CD15" s="23">
        <f t="shared" si="38"/>
        <v>0.12878949303134823</v>
      </c>
      <c r="CE15" s="23">
        <f t="shared" si="38"/>
        <v>-5.546755258297237</v>
      </c>
      <c r="CF15" s="23">
        <f t="shared" si="38"/>
        <v>-8.8131077597302774</v>
      </c>
      <c r="CG15" s="23">
        <f t="shared" si="38"/>
        <v>-9.4896138403076833</v>
      </c>
      <c r="CH15" s="23">
        <f t="shared" si="38"/>
        <v>-6.2188590312866259</v>
      </c>
      <c r="CI15" s="23">
        <f t="shared" si="38"/>
        <v>-1.9336843783225033</v>
      </c>
      <c r="CJ15" s="23">
        <f t="shared" si="38"/>
        <v>-0.54870213288508229</v>
      </c>
      <c r="CK15" s="23">
        <f t="shared" si="38"/>
        <v>-8.9340316173652035</v>
      </c>
      <c r="CL15" s="23">
        <f t="shared" si="37"/>
        <v>-5.670957320815015</v>
      </c>
      <c r="CM15" s="23">
        <f t="shared" si="37"/>
        <v>-3.2896229271244803</v>
      </c>
      <c r="CN15" s="23">
        <f t="shared" si="37"/>
        <v>1.3889744056390791</v>
      </c>
      <c r="CO15" s="23">
        <f t="shared" si="37"/>
        <v>-4.283721900740062</v>
      </c>
      <c r="CP15" s="23">
        <f t="shared" si="37"/>
        <v>-7.5453194460710904</v>
      </c>
      <c r="CU15" s="21">
        <v>14</v>
      </c>
      <c r="CV15" s="24">
        <f t="shared" si="6"/>
        <v>-2.4473873248973064</v>
      </c>
      <c r="CW15" s="24">
        <f t="shared" si="7"/>
        <v>-3.6603304629750366</v>
      </c>
      <c r="CX15" s="24">
        <f t="shared" si="8"/>
        <v>-14.747340966190745</v>
      </c>
      <c r="CY15" s="24">
        <f t="shared" si="9"/>
        <v>24.951492375845248</v>
      </c>
      <c r="CZ15" s="24">
        <f t="shared" si="10"/>
        <v>-13.696398109769417</v>
      </c>
      <c r="DA15" s="24">
        <f t="shared" si="11"/>
        <v>-33.702244923896984</v>
      </c>
      <c r="DB15" s="24">
        <f t="shared" si="12"/>
        <v>-19.159199245557886</v>
      </c>
      <c r="DC15" s="24">
        <f t="shared" si="13"/>
        <v>56.790451336627115</v>
      </c>
      <c r="DF15" s="48">
        <v>14</v>
      </c>
      <c r="DG15" s="47">
        <f t="shared" si="36"/>
        <v>1.3889744056390791</v>
      </c>
      <c r="DH15" s="47">
        <f t="shared" si="14"/>
        <v>1.5432899169777308</v>
      </c>
      <c r="DI15" s="47">
        <f t="shared" si="15"/>
        <v>-4.283721900740062</v>
      </c>
      <c r="DJ15" s="47">
        <f t="shared" si="16"/>
        <v>-4.1541593469788793</v>
      </c>
      <c r="DK15" s="47">
        <f t="shared" si="17"/>
        <v>1.254236158619757</v>
      </c>
      <c r="DL15" s="47">
        <f t="shared" si="18"/>
        <v>1.4025721409416492</v>
      </c>
      <c r="DM15" s="47">
        <f t="shared" si="19"/>
        <v>3.7489858066773123</v>
      </c>
      <c r="DN15" s="47">
        <f t="shared" si="20"/>
        <v>3.9230450261793783</v>
      </c>
      <c r="DO15" s="47">
        <f t="shared" si="21"/>
        <v>1.9336843783225033</v>
      </c>
      <c r="DP15" s="47">
        <f t="shared" si="22"/>
        <v>2.0962950664875333</v>
      </c>
      <c r="DQ15" s="47">
        <f t="shared" si="23"/>
        <v>-7.5453194460710904</v>
      </c>
      <c r="DR15" s="47">
        <f t="shared" si="24"/>
        <v>-7.4155999939272554</v>
      </c>
      <c r="DS15" s="47">
        <f t="shared" si="25"/>
        <v>-0.15716986542253608</v>
      </c>
      <c r="DT15" s="47">
        <f t="shared" si="26"/>
        <v>0.15716986542253608</v>
      </c>
      <c r="DX15">
        <v>14</v>
      </c>
      <c r="DY15" s="19">
        <f t="shared" si="27"/>
        <v>-15.49886878258285</v>
      </c>
      <c r="EM15" s="21">
        <v>14</v>
      </c>
      <c r="EN15" s="16">
        <f t="shared" si="28"/>
        <v>-2.4473873248973064</v>
      </c>
      <c r="EO15" s="16">
        <f t="shared" si="4"/>
        <v>-3.6603304629750366</v>
      </c>
      <c r="EP15" s="16">
        <f t="shared" si="29"/>
        <v>-14.747340966190745</v>
      </c>
      <c r="EQ15" s="16">
        <f t="shared" si="30"/>
        <v>24.951492375845248</v>
      </c>
      <c r="ER15" s="16">
        <f t="shared" si="31"/>
        <v>-13.696398109769417</v>
      </c>
      <c r="ES15" s="16">
        <f t="shared" si="32"/>
        <v>-33.702244923896984</v>
      </c>
      <c r="ET15" s="16">
        <f t="shared" si="33"/>
        <v>-19.159199245557886</v>
      </c>
      <c r="EU15" s="16">
        <f t="shared" si="34"/>
        <v>56.790451336627115</v>
      </c>
      <c r="FK15" s="20"/>
      <c r="FL15" s="20"/>
    </row>
    <row r="16" spans="1:170" ht="14.4" thickBot="1" x14ac:dyDescent="0.35">
      <c r="A16" s="37" t="s">
        <v>51</v>
      </c>
      <c r="B16" s="38">
        <v>14</v>
      </c>
      <c r="C16" s="34">
        <f>RTD("fxbluelabs.excelrtd", , "21422436","@bh,AUDUSD,d1,close,14")</f>
        <v>0.65017999999999998</v>
      </c>
      <c r="D16" s="34">
        <f>RTD("fxbluelabs.excelrtd", , "21422436","@bh,AUDNZD,d1,close,14")</f>
        <v>1.09276</v>
      </c>
      <c r="E16" s="35">
        <f>RTD("fxbluelabs.excelrtd", , "21422436","@bh,AUDJPY,d1,close,14")</f>
        <v>97.076999999999998</v>
      </c>
      <c r="F16" s="34">
        <f>RTD("fxbluelabs.excelrtd", , "21422436","@bh,AUDCHF,d1,close,14")</f>
        <v>0.56749000000000005</v>
      </c>
      <c r="G16" s="34">
        <f>RTD("fxbluelabs.excelrtd", , "21422436","@bh,AUDCAD,d1,close,14")</f>
        <v>0.90193999999999996</v>
      </c>
      <c r="H16" s="34">
        <f>RTD("fxbluelabs.excelrtd", , "21422436","@bh,EURUSD,d1,close,14")</f>
        <v>1.0791299999999999</v>
      </c>
      <c r="I16" s="34">
        <f>RTD("fxbluelabs.excelrtd", , "21422436","@bh,EURCAD,d1,close,14")</f>
        <v>1.49705</v>
      </c>
      <c r="J16" s="34">
        <f>RTD("fxbluelabs.excelrtd", , "21422436","@bh,EURGBP,d1,close,14")</f>
        <v>0.84709999999999996</v>
      </c>
      <c r="K16" s="34">
        <f>RTD("fxbluelabs.excelrtd", , "21422436","@bh,EURCHF,d1,close,14")</f>
        <v>0.94201000000000001</v>
      </c>
      <c r="L16" s="35">
        <f>RTD("fxbluelabs.excelrtd", , "21422436","@bh,EURJPY,d1,close,14")</f>
        <v>161.148</v>
      </c>
      <c r="M16" s="34">
        <f>RTD("fxbluelabs.excelrtd", , "21422436","@bh,EURAUD,d1,close,14")</f>
        <v>1.65977</v>
      </c>
      <c r="N16" s="34">
        <f>RTD("fxbluelabs.excelrtd", , "21422436","@bh,EURNZD,d1,close,14")</f>
        <v>1.81375</v>
      </c>
      <c r="O16" s="34">
        <f>RTD("fxbluelabs.excelrtd", , "21422436","@bh,GBPUSD,d1,close,14")</f>
        <v>1.27386</v>
      </c>
      <c r="P16" s="34">
        <f>RTD("fxbluelabs.excelrtd", , "21422436","@bh,GBPAUD,d1,close,14")</f>
        <v>1.9592099999999999</v>
      </c>
      <c r="Q16" s="34">
        <f>RTD("fxbluelabs.excelrtd", , "21422436","@bh,GBPNZD,d1,close,14")</f>
        <v>2.1409600000000002</v>
      </c>
      <c r="R16" s="34">
        <f>RTD("fxbluelabs.excelrtd", , "21422436","@bh,GBPCAD,d1,close,14")</f>
        <v>1.7671300000000001</v>
      </c>
      <c r="S16" s="34">
        <f>RTD("fxbluelabs.excelrtd", , "21422436","@bh,GBPCHF,d1,close,14")</f>
        <v>1.11198</v>
      </c>
      <c r="T16" s="35">
        <f>RTD("fxbluelabs.excelrtd", , "21422436","@bh,GBPJPY,d1,close,14")</f>
        <v>190.22399999999999</v>
      </c>
      <c r="U16" s="35">
        <f>RTD("fxbluelabs.excelrtd", , "21422436","@bh,NZDJPY,d1,close,14")</f>
        <v>88.832999999999998</v>
      </c>
      <c r="V16" s="34">
        <f>RTD("fxbluelabs.excelrtd", , "21422436","@bh,NZDCHF,d1,close,14")</f>
        <v>0.51929999999999998</v>
      </c>
      <c r="W16" s="34">
        <f>RTD("fxbluelabs.excelrtd", , "21422436","@bh,NZDUSD,d1,close,14")</f>
        <v>0.59497</v>
      </c>
      <c r="X16" s="34">
        <f>RTD("fxbluelabs.excelrtd", , "21422436","@bh,NZDCAD,d1,close,14")</f>
        <v>0.82535000000000003</v>
      </c>
      <c r="Y16" s="35">
        <f>RTD("fxbluelabs.excelrtd", , "21422436","@bh,CADJPY,d1,close,14")</f>
        <v>107.627</v>
      </c>
      <c r="Z16" s="34">
        <f>RTD("fxbluelabs.excelrtd", , "21422436","@bh,CADCHF,d1,close,14")</f>
        <v>0.62916000000000005</v>
      </c>
      <c r="AA16" s="35">
        <f>RTD("fxbluelabs.excelrtd", , "21422436","@bh,CHFJPY,d1,close,14")</f>
        <v>171.06299999999999</v>
      </c>
      <c r="AB16" s="34">
        <f>RTD("fxbluelabs.excelrtd", , "21422436","@bh,USDCAD,d1,close,14")</f>
        <v>1.3873800000000001</v>
      </c>
      <c r="AC16" s="34">
        <f>RTD("fxbluelabs.excelrtd", , "21422436","@bh,USDCHF,d1,close,14")</f>
        <v>0.87292999999999998</v>
      </c>
      <c r="AD16" s="35">
        <f>RTD("fxbluelabs.excelrtd", , "21422436","@bh,USDJPY,d1,close,14")</f>
        <v>149.33000000000001</v>
      </c>
      <c r="AH16" s="21">
        <v>15</v>
      </c>
      <c r="AI16" s="27">
        <f t="shared" si="35"/>
        <v>-0.60689444317053109</v>
      </c>
      <c r="AJ16" s="27">
        <f t="shared" si="35"/>
        <v>-0.58859383386552189</v>
      </c>
      <c r="AK16" s="27">
        <f t="shared" si="35"/>
        <v>-1.0357517865698931</v>
      </c>
      <c r="AL16" s="27">
        <f t="shared" si="35"/>
        <v>-1.1892324836328183</v>
      </c>
      <c r="AM16" s="27">
        <f t="shared" si="35"/>
        <v>-0.14060960352520382</v>
      </c>
      <c r="AN16" s="27">
        <f>IF(H16=0,0,(H16-H17)*100/H17)</f>
        <v>-0.31960391283865719</v>
      </c>
      <c r="AO16" s="27">
        <f t="shared" si="35"/>
        <v>0.14918184129192505</v>
      </c>
      <c r="AP16" s="27">
        <f t="shared" si="35"/>
        <v>0.59255916685467913</v>
      </c>
      <c r="AQ16" s="27">
        <f t="shared" si="35"/>
        <v>-0.9088518382159555</v>
      </c>
      <c r="AR16" s="27">
        <f t="shared" si="35"/>
        <v>-0.73731867319597322</v>
      </c>
      <c r="AS16" s="27">
        <f t="shared" si="35"/>
        <v>0.29367155917843651</v>
      </c>
      <c r="AT16" s="27">
        <f t="shared" si="35"/>
        <v>-0.30615834487611165</v>
      </c>
      <c r="AU16" s="27">
        <f t="shared" si="35"/>
        <v>-0.90856760583100593</v>
      </c>
      <c r="AV16" s="27">
        <f t="shared" si="35"/>
        <v>-0.30175967106670326</v>
      </c>
      <c r="AW16" s="27">
        <f t="shared" si="35"/>
        <v>-0.88744658886270311</v>
      </c>
      <c r="AX16" s="27">
        <f t="shared" si="35"/>
        <v>-0.44562376059130282</v>
      </c>
      <c r="AY16" s="27">
        <f t="shared" si="1"/>
        <v>-1.4839687081941688</v>
      </c>
      <c r="AZ16" s="27">
        <f t="shared" si="1"/>
        <v>-1.3238162426858222</v>
      </c>
      <c r="BA16" s="27">
        <f t="shared" si="1"/>
        <v>-0.40808547372669968</v>
      </c>
      <c r="BB16" s="27">
        <f t="shared" si="1"/>
        <v>-0.60863573725311426</v>
      </c>
      <c r="BC16" s="27">
        <f t="shared" si="1"/>
        <v>-1.8484909591996789E-2</v>
      </c>
      <c r="BD16" s="27">
        <f t="shared" si="1"/>
        <v>0.46009469673917081</v>
      </c>
      <c r="BE16" s="27">
        <f t="shared" si="1"/>
        <v>-0.89503586589195883</v>
      </c>
      <c r="BF16" s="27">
        <f t="shared" si="1"/>
        <v>-1.0505787619526781</v>
      </c>
      <c r="BG16" s="27">
        <f t="shared" si="1"/>
        <v>0.20913148922709182</v>
      </c>
      <c r="BH16" s="27">
        <f t="shared" si="1"/>
        <v>0.47435238226284593</v>
      </c>
      <c r="BI16" s="27">
        <f t="shared" si="1"/>
        <v>-0.58084575697869023</v>
      </c>
      <c r="BJ16" s="27">
        <f t="shared" si="1"/>
        <v>-0.4201120298746302</v>
      </c>
      <c r="BN16">
        <v>15</v>
      </c>
      <c r="BO16" s="28">
        <f t="shared" si="5"/>
        <v>-3.8781807988333399</v>
      </c>
      <c r="BP16" s="28">
        <f t="shared" si="2"/>
        <v>-1.7996818830893018</v>
      </c>
      <c r="BQ16" s="28">
        <f t="shared" si="38"/>
        <v>-9.5262157972199493</v>
      </c>
      <c r="BR16" s="28">
        <f t="shared" si="38"/>
        <v>-6.4393537169259734</v>
      </c>
      <c r="BS16" s="28">
        <f t="shared" si="38"/>
        <v>-2.499720035265669</v>
      </c>
      <c r="BT16" s="28">
        <f t="shared" si="38"/>
        <v>-0.94742364972393867</v>
      </c>
      <c r="BU16" s="28">
        <f t="shared" si="38"/>
        <v>0.43711443853680298</v>
      </c>
      <c r="BV16" s="28">
        <f t="shared" si="38"/>
        <v>0.82885003021091053</v>
      </c>
      <c r="BW16" s="28">
        <f t="shared" si="38"/>
        <v>-3.5140387537792344</v>
      </c>
      <c r="BX16" s="28">
        <f t="shared" si="38"/>
        <v>-6.6033032232568161</v>
      </c>
      <c r="BY16" s="28">
        <f t="shared" si="38"/>
        <v>2.9530311085883865</v>
      </c>
      <c r="BZ16" s="28">
        <f t="shared" si="38"/>
        <v>1.1386107108707111</v>
      </c>
      <c r="CA16" s="28">
        <f t="shared" si="38"/>
        <v>-1.7747015158803598</v>
      </c>
      <c r="CB16" s="28">
        <f t="shared" si="38"/>
        <v>2.1169047583302762</v>
      </c>
      <c r="CC16" s="28">
        <f t="shared" si="38"/>
        <v>0.31033085941916461</v>
      </c>
      <c r="CD16" s="28">
        <f t="shared" si="38"/>
        <v>-0.39635579905242352</v>
      </c>
      <c r="CE16" s="28">
        <f t="shared" si="38"/>
        <v>-4.3345032393760388</v>
      </c>
      <c r="CF16" s="28">
        <f t="shared" si="38"/>
        <v>-7.4247445668629251</v>
      </c>
      <c r="CG16" s="28">
        <f t="shared" si="38"/>
        <v>-7.7312582742455227</v>
      </c>
      <c r="CH16" s="28">
        <f t="shared" si="38"/>
        <v>-4.6340333043465209</v>
      </c>
      <c r="CI16" s="28">
        <f t="shared" si="38"/>
        <v>-2.0631026683203268</v>
      </c>
      <c r="CJ16" s="28">
        <f t="shared" si="38"/>
        <v>-0.68440213894311941</v>
      </c>
      <c r="CK16" s="28">
        <f t="shared" si="38"/>
        <v>-7.0385964570429866</v>
      </c>
      <c r="CL16" s="28">
        <f t="shared" si="37"/>
        <v>-3.9496145781104555</v>
      </c>
      <c r="CM16" s="28">
        <f t="shared" si="37"/>
        <v>-3.0885274242980398</v>
      </c>
      <c r="CN16" s="28">
        <f t="shared" si="37"/>
        <v>1.3932991039913651</v>
      </c>
      <c r="CO16" s="28">
        <f t="shared" si="37"/>
        <v>-2.5619343576380964</v>
      </c>
      <c r="CP16" s="28">
        <f t="shared" si="37"/>
        <v>-5.6515271739221564</v>
      </c>
      <c r="CU16" s="21">
        <v>15</v>
      </c>
      <c r="CV16" s="29">
        <f t="shared" si="6"/>
        <v>-5.7071593385531774</v>
      </c>
      <c r="CW16" s="29">
        <f t="shared" si="7"/>
        <v>1.8432462051890779</v>
      </c>
      <c r="CX16" s="29">
        <f t="shared" si="8"/>
        <v>-9.2381466044203986</v>
      </c>
      <c r="CY16" s="29">
        <f t="shared" si="9"/>
        <v>18.395335947767823</v>
      </c>
      <c r="CZ16" s="29">
        <f t="shared" si="10"/>
        <v>-12.331919533633217</v>
      </c>
      <c r="DA16" s="29">
        <f t="shared" si="11"/>
        <v>-29.213088098252896</v>
      </c>
      <c r="DB16" s="29">
        <f t="shared" si="12"/>
        <v>-14.762056073056058</v>
      </c>
      <c r="DC16" s="29">
        <f t="shared" si="13"/>
        <v>47.064172916848399</v>
      </c>
      <c r="DF16" s="46">
        <v>15</v>
      </c>
      <c r="DG16" s="49">
        <f t="shared" si="36"/>
        <v>1.3932991039913651</v>
      </c>
      <c r="DH16" s="49">
        <f t="shared" si="14"/>
        <v>0.43711443853680298</v>
      </c>
      <c r="DI16" s="49">
        <f t="shared" si="15"/>
        <v>-2.5619343576380964</v>
      </c>
      <c r="DJ16" s="49">
        <f t="shared" si="16"/>
        <v>-3.5140387537792344</v>
      </c>
      <c r="DK16" s="49">
        <f t="shared" si="17"/>
        <v>1.7747015158803598</v>
      </c>
      <c r="DL16" s="49">
        <f t="shared" si="18"/>
        <v>0.82885003021091053</v>
      </c>
      <c r="DM16" s="49">
        <f t="shared" si="19"/>
        <v>3.8781807988333399</v>
      </c>
      <c r="DN16" s="49">
        <f t="shared" si="20"/>
        <v>2.9530311085883865</v>
      </c>
      <c r="DO16" s="49">
        <f t="shared" si="21"/>
        <v>2.0631026683203268</v>
      </c>
      <c r="DP16" s="49">
        <f t="shared" si="22"/>
        <v>1.1386107108707111</v>
      </c>
      <c r="DQ16" s="49">
        <f t="shared" si="23"/>
        <v>-5.6515271739221564</v>
      </c>
      <c r="DR16" s="49">
        <f t="shared" si="24"/>
        <v>-6.6033032232568161</v>
      </c>
      <c r="DS16" s="49">
        <f t="shared" si="25"/>
        <v>0.94742364972393867</v>
      </c>
      <c r="DT16" s="49">
        <f t="shared" si="26"/>
        <v>-0.94742364972393867</v>
      </c>
      <c r="DX16">
        <v>15</v>
      </c>
      <c r="DY16" s="19">
        <f t="shared" si="27"/>
        <v>-16.605302278245137</v>
      </c>
      <c r="EM16" s="21">
        <v>15</v>
      </c>
      <c r="EN16" s="16">
        <f t="shared" si="28"/>
        <v>-5.7071593385531774</v>
      </c>
      <c r="EO16" s="16">
        <f t="shared" si="4"/>
        <v>1.8432462051890779</v>
      </c>
      <c r="EP16" s="16">
        <f t="shared" si="29"/>
        <v>-9.2381466044203986</v>
      </c>
      <c r="EQ16" s="16">
        <f t="shared" si="30"/>
        <v>18.395335947767823</v>
      </c>
      <c r="ER16" s="16">
        <f t="shared" si="31"/>
        <v>-12.331919533633217</v>
      </c>
      <c r="ES16" s="16">
        <f t="shared" si="32"/>
        <v>-29.213088098252896</v>
      </c>
      <c r="ET16" s="16">
        <f t="shared" si="33"/>
        <v>-14.762056073056058</v>
      </c>
      <c r="EU16" s="16">
        <f t="shared" si="34"/>
        <v>47.064172916848399</v>
      </c>
      <c r="FK16" s="20"/>
      <c r="FL16" s="20"/>
    </row>
    <row r="17" spans="1:168" ht="14.4" thickBot="1" x14ac:dyDescent="0.35">
      <c r="A17" s="37" t="s">
        <v>51</v>
      </c>
      <c r="B17" s="38">
        <v>15</v>
      </c>
      <c r="C17" s="34">
        <f>RTD("fxbluelabs.excelrtd", , "21422436","@bh,AUDUSD,d1,close,15")</f>
        <v>0.65415000000000001</v>
      </c>
      <c r="D17" s="34">
        <f>RTD("fxbluelabs.excelrtd", , "21422436","@bh,AUDNZD,d1,close,15")</f>
        <v>1.0992299999999999</v>
      </c>
      <c r="E17" s="35">
        <f>RTD("fxbluelabs.excelrtd", , "21422436","@bh,AUDJPY,d1,close,15")</f>
        <v>98.093000000000004</v>
      </c>
      <c r="F17" s="34">
        <f>RTD("fxbluelabs.excelrtd", , "21422436","@bh,AUDCHF,d1,close,15")</f>
        <v>0.57432000000000005</v>
      </c>
      <c r="G17" s="34">
        <f>RTD("fxbluelabs.excelrtd", , "21422436","@bh,AUDCAD,d1,close,15")</f>
        <v>0.90320999999999996</v>
      </c>
      <c r="H17" s="34">
        <f>RTD("fxbluelabs.excelrtd", , "21422436","@bh,EURUSD,d1,close,15")</f>
        <v>1.0825899999999999</v>
      </c>
      <c r="I17" s="34">
        <f>RTD("fxbluelabs.excelrtd", , "21422436","@bh,EURCAD,d1,close,15")</f>
        <v>1.49482</v>
      </c>
      <c r="J17" s="34">
        <f>RTD("fxbluelabs.excelrtd", , "21422436","@bh,EURGBP,d1,close,15")</f>
        <v>0.84211000000000003</v>
      </c>
      <c r="K17" s="34">
        <f>RTD("fxbluelabs.excelrtd", , "21422436","@bh,EURCHF,d1,close,15")</f>
        <v>0.95065</v>
      </c>
      <c r="L17" s="35">
        <f>RTD("fxbluelabs.excelrtd", , "21422436","@bh,EURJPY,d1,close,15")</f>
        <v>162.345</v>
      </c>
      <c r="M17" s="34">
        <f>RTD("fxbluelabs.excelrtd", , "21422436","@bh,EURAUD,d1,close,15")</f>
        <v>1.6549100000000001</v>
      </c>
      <c r="N17" s="34">
        <f>RTD("fxbluelabs.excelrtd", , "21422436","@bh,EURNZD,d1,close,15")</f>
        <v>1.81932</v>
      </c>
      <c r="O17" s="34">
        <f>RTD("fxbluelabs.excelrtd", , "21422436","@bh,GBPUSD,d1,close,15")</f>
        <v>1.2855399999999999</v>
      </c>
      <c r="P17" s="34">
        <f>RTD("fxbluelabs.excelrtd", , "21422436","@bh,GBPAUD,d1,close,15")</f>
        <v>1.9651400000000001</v>
      </c>
      <c r="Q17" s="34">
        <f>RTD("fxbluelabs.excelrtd", , "21422436","@bh,GBPNZD,d1,close,15")</f>
        <v>2.1601300000000001</v>
      </c>
      <c r="R17" s="34">
        <f>RTD("fxbluelabs.excelrtd", , "21422436","@bh,GBPCAD,d1,close,15")</f>
        <v>1.77504</v>
      </c>
      <c r="S17" s="34">
        <f>RTD("fxbluelabs.excelrtd", , "21422436","@bh,GBPCHF,d1,close,15")</f>
        <v>1.12873</v>
      </c>
      <c r="T17" s="35">
        <f>RTD("fxbluelabs.excelrtd", , "21422436","@bh,GBPJPY,d1,close,15")</f>
        <v>192.77600000000001</v>
      </c>
      <c r="U17" s="35">
        <f>RTD("fxbluelabs.excelrtd", , "21422436","@bh,NZDJPY,d1,close,15")</f>
        <v>89.197000000000003</v>
      </c>
      <c r="V17" s="34">
        <f>RTD("fxbluelabs.excelrtd", , "21422436","@bh,NZDCHF,d1,close,15")</f>
        <v>0.52248000000000006</v>
      </c>
      <c r="W17" s="34">
        <f>RTD("fxbluelabs.excelrtd", , "21422436","@bh,NZDUSD,d1,close,15")</f>
        <v>0.59508000000000005</v>
      </c>
      <c r="X17" s="34">
        <f>RTD("fxbluelabs.excelrtd", , "21422436","@bh,NZDCAD,d1,close,15")</f>
        <v>0.82157000000000002</v>
      </c>
      <c r="Y17" s="35">
        <f>RTD("fxbluelabs.excelrtd", , "21422436","@bh,CADJPY,d1,close,15")</f>
        <v>108.599</v>
      </c>
      <c r="Z17" s="34">
        <f>RTD("fxbluelabs.excelrtd", , "21422436","@bh,CADCHF,d1,close,15")</f>
        <v>0.63583999999999996</v>
      </c>
      <c r="AA17" s="35">
        <f>RTD("fxbluelabs.excelrtd", , "21422436","@bh,CHFJPY,d1,close,15")</f>
        <v>170.70599999999999</v>
      </c>
      <c r="AB17" s="34">
        <f>RTD("fxbluelabs.excelrtd", , "21422436","@bh,USDCAD,d1,close,15")</f>
        <v>1.38083</v>
      </c>
      <c r="AC17" s="34">
        <f>RTD("fxbluelabs.excelrtd", , "21422436","@bh,USDCHF,d1,close,15")</f>
        <v>0.87802999999999998</v>
      </c>
      <c r="AD17" s="35">
        <f>RTD("fxbluelabs.excelrtd", , "21422436","@bh,USDJPY,d1,close,15")</f>
        <v>149.96</v>
      </c>
      <c r="AH17" s="21">
        <v>16</v>
      </c>
      <c r="AI17" s="22">
        <f t="shared" si="35"/>
        <v>6.2716064490473497E-2</v>
      </c>
      <c r="AJ17" s="22">
        <f t="shared" si="35"/>
        <v>-0.73507499751664185</v>
      </c>
      <c r="AK17" s="22">
        <f t="shared" si="35"/>
        <v>-1.7684935759420695</v>
      </c>
      <c r="AL17" s="22">
        <f t="shared" si="35"/>
        <v>-0.47137113544987258</v>
      </c>
      <c r="AM17" s="22">
        <f t="shared" si="35"/>
        <v>-0.24628909701361384</v>
      </c>
      <c r="AN17" s="22">
        <f t="shared" si="35"/>
        <v>0.10726538009857781</v>
      </c>
      <c r="AO17" s="22">
        <f t="shared" si="35"/>
        <v>-0.2009573850169884</v>
      </c>
      <c r="AP17" s="22">
        <f t="shared" si="35"/>
        <v>-4.7477181279742195E-2</v>
      </c>
      <c r="AQ17" s="22">
        <f t="shared" si="35"/>
        <v>-0.41274264343854999</v>
      </c>
      <c r="AR17" s="22">
        <f t="shared" si="35"/>
        <v>-1.7258287125596257</v>
      </c>
      <c r="AS17" s="22">
        <f t="shared" si="35"/>
        <v>4.2316271815558179E-2</v>
      </c>
      <c r="AT17" s="22">
        <f t="shared" si="35"/>
        <v>-0.68780296082798076</v>
      </c>
      <c r="AU17" s="22">
        <f t="shared" si="35"/>
        <v>0.15425846863410131</v>
      </c>
      <c r="AV17" s="22">
        <f t="shared" si="35"/>
        <v>8.913155307912031E-2</v>
      </c>
      <c r="AW17" s="22">
        <f t="shared" si="35"/>
        <v>-0.64850544790569542</v>
      </c>
      <c r="AX17" s="22">
        <f t="shared" si="35"/>
        <v>-0.15468643653075057</v>
      </c>
      <c r="AY17" s="22">
        <f t="shared" si="1"/>
        <v>-0.37511694822504249</v>
      </c>
      <c r="AZ17" s="22">
        <f t="shared" si="1"/>
        <v>-1.6785078570080618</v>
      </c>
      <c r="BA17" s="22">
        <f t="shared" si="1"/>
        <v>-1.0659065196654745</v>
      </c>
      <c r="BB17" s="22">
        <f t="shared" si="1"/>
        <v>0.30909823948394038</v>
      </c>
      <c r="BC17" s="22">
        <f t="shared" si="1"/>
        <v>0.80805000762312207</v>
      </c>
      <c r="BD17" s="22">
        <f t="shared" si="1"/>
        <v>0.48802563663495307</v>
      </c>
      <c r="BE17" s="22">
        <f t="shared" si="1"/>
        <v>-1.5296592495874342</v>
      </c>
      <c r="BF17" s="22">
        <f t="shared" si="1"/>
        <v>-0.22909147967990223</v>
      </c>
      <c r="BG17" s="22">
        <f t="shared" si="1"/>
        <v>-1.332285230418879</v>
      </c>
      <c r="BH17" s="22">
        <f t="shared" si="1"/>
        <v>-0.30828099054219882</v>
      </c>
      <c r="BI17" s="22">
        <f t="shared" si="1"/>
        <v>-0.52905857029569081</v>
      </c>
      <c r="BJ17" s="22">
        <f t="shared" si="1"/>
        <v>-1.8290846720871354</v>
      </c>
      <c r="BN17">
        <v>16</v>
      </c>
      <c r="BO17" s="23">
        <f t="shared" si="5"/>
        <v>-3.2712863556628093</v>
      </c>
      <c r="BP17" s="23">
        <f t="shared" si="2"/>
        <v>-1.2110880492237799</v>
      </c>
      <c r="BQ17" s="23">
        <f t="shared" si="38"/>
        <v>-8.4904640106500562</v>
      </c>
      <c r="BR17" s="23">
        <f t="shared" si="38"/>
        <v>-5.2501212332931546</v>
      </c>
      <c r="BS17" s="23">
        <f t="shared" si="38"/>
        <v>-2.359110431740465</v>
      </c>
      <c r="BT17" s="23">
        <f t="shared" si="38"/>
        <v>-0.62781973688528137</v>
      </c>
      <c r="BU17" s="23">
        <f t="shared" si="38"/>
        <v>0.28793259724487791</v>
      </c>
      <c r="BV17" s="23">
        <f t="shared" si="38"/>
        <v>0.2362908633562314</v>
      </c>
      <c r="BW17" s="23">
        <f t="shared" si="38"/>
        <v>-2.6051869155632792</v>
      </c>
      <c r="BX17" s="23">
        <f t="shared" si="38"/>
        <v>-5.8659845500608441</v>
      </c>
      <c r="BY17" s="23">
        <f t="shared" si="38"/>
        <v>2.6593595494099498</v>
      </c>
      <c r="BZ17" s="23">
        <f t="shared" si="38"/>
        <v>1.4447690557468227</v>
      </c>
      <c r="CA17" s="23">
        <f t="shared" si="38"/>
        <v>-0.86613391004935369</v>
      </c>
      <c r="CB17" s="23">
        <f t="shared" si="38"/>
        <v>2.4186644293969795</v>
      </c>
      <c r="CC17" s="23">
        <f t="shared" si="38"/>
        <v>1.1977774482818675</v>
      </c>
      <c r="CD17" s="23">
        <f t="shared" si="38"/>
        <v>4.9267961538879357E-2</v>
      </c>
      <c r="CE17" s="23">
        <f t="shared" si="38"/>
        <v>-2.8505345311818697</v>
      </c>
      <c r="CF17" s="23">
        <f t="shared" si="38"/>
        <v>-6.1009283241771008</v>
      </c>
      <c r="CG17" s="23">
        <f t="shared" si="38"/>
        <v>-7.3231728005188232</v>
      </c>
      <c r="CH17" s="23">
        <f t="shared" si="38"/>
        <v>-4.0253975670934068</v>
      </c>
      <c r="CI17" s="23">
        <f t="shared" si="38"/>
        <v>-2.0446177587283305</v>
      </c>
      <c r="CJ17" s="23">
        <f t="shared" si="38"/>
        <v>-1.1444968356822902</v>
      </c>
      <c r="CK17" s="23">
        <f t="shared" si="38"/>
        <v>-6.1435605911510276</v>
      </c>
      <c r="CL17" s="23">
        <f t="shared" si="37"/>
        <v>-2.8990358161577778</v>
      </c>
      <c r="CM17" s="23">
        <f t="shared" si="37"/>
        <v>-3.2976589135251313</v>
      </c>
      <c r="CN17" s="23">
        <f t="shared" si="37"/>
        <v>0.91894672172851921</v>
      </c>
      <c r="CO17" s="23">
        <f t="shared" si="37"/>
        <v>-1.9810886006594064</v>
      </c>
      <c r="CP17" s="23">
        <f t="shared" si="37"/>
        <v>-5.2314151440475269</v>
      </c>
      <c r="CU17" s="13">
        <v>16</v>
      </c>
      <c r="CV17" s="24">
        <f t="shared" si="6"/>
        <v>-4.4706391367515241</v>
      </c>
      <c r="CW17" s="24">
        <f t="shared" si="7"/>
        <v>0.51630073834736123</v>
      </c>
      <c r="CX17" s="24">
        <f t="shared" si="8"/>
        <v>-6.7951364203983253</v>
      </c>
      <c r="CY17" s="24">
        <f t="shared" si="9"/>
        <v>13.414669934265984</v>
      </c>
      <c r="CZ17" s="24">
        <f t="shared" si="10"/>
        <v>-6.3881777895468295</v>
      </c>
      <c r="DA17" s="24">
        <f t="shared" si="11"/>
        <v>-25.660094059377194</v>
      </c>
      <c r="DB17" s="24">
        <f t="shared" si="12"/>
        <v>-15.969143416827759</v>
      </c>
      <c r="DC17" s="24">
        <f t="shared" si="13"/>
        <v>42.453184334130505</v>
      </c>
      <c r="DF17" s="48">
        <v>16</v>
      </c>
      <c r="DG17" s="47">
        <f t="shared" si="36"/>
        <v>0.91894672172851921</v>
      </c>
      <c r="DH17" s="47">
        <f t="shared" si="14"/>
        <v>0.28793259724487791</v>
      </c>
      <c r="DI17" s="47">
        <f t="shared" si="15"/>
        <v>-1.9810886006594064</v>
      </c>
      <c r="DJ17" s="47">
        <f t="shared" si="16"/>
        <v>-2.6051869155632792</v>
      </c>
      <c r="DK17" s="47">
        <f t="shared" si="17"/>
        <v>0.86613391004935369</v>
      </c>
      <c r="DL17" s="47">
        <f t="shared" si="18"/>
        <v>0.2362908633562314</v>
      </c>
      <c r="DM17" s="47">
        <f t="shared" si="19"/>
        <v>3.2712863556628093</v>
      </c>
      <c r="DN17" s="47">
        <f t="shared" si="20"/>
        <v>2.6593595494099498</v>
      </c>
      <c r="DO17" s="47">
        <f t="shared" si="21"/>
        <v>2.0446177587283305</v>
      </c>
      <c r="DP17" s="47">
        <f t="shared" si="22"/>
        <v>1.4447690557468227</v>
      </c>
      <c r="DQ17" s="47">
        <f t="shared" si="23"/>
        <v>-5.2314151440475269</v>
      </c>
      <c r="DR17" s="47">
        <f t="shared" si="24"/>
        <v>-5.8659845500608441</v>
      </c>
      <c r="DS17" s="47">
        <f t="shared" si="25"/>
        <v>0.62781973688528137</v>
      </c>
      <c r="DT17" s="47">
        <f t="shared" si="26"/>
        <v>-0.62781973688528137</v>
      </c>
      <c r="DX17">
        <v>16</v>
      </c>
      <c r="DY17" s="19">
        <f t="shared" si="27"/>
        <v>-16.48544415517512</v>
      </c>
      <c r="EM17" s="13">
        <v>16</v>
      </c>
      <c r="EN17" s="16">
        <f t="shared" si="28"/>
        <v>-4.4706391367515241</v>
      </c>
      <c r="EO17" s="16">
        <f t="shared" si="4"/>
        <v>0.51630073834736123</v>
      </c>
      <c r="EP17" s="16">
        <f t="shared" si="29"/>
        <v>-6.7951364203983253</v>
      </c>
      <c r="EQ17" s="16">
        <f t="shared" si="30"/>
        <v>13.414669934265984</v>
      </c>
      <c r="ER17" s="16">
        <f t="shared" si="31"/>
        <v>-6.3881777895468295</v>
      </c>
      <c r="ES17" s="16">
        <f t="shared" si="32"/>
        <v>-25.660094059377194</v>
      </c>
      <c r="ET17" s="16">
        <f t="shared" si="33"/>
        <v>-15.969143416827759</v>
      </c>
      <c r="EU17" s="16">
        <f t="shared" si="34"/>
        <v>42.453184334130505</v>
      </c>
      <c r="FK17" s="20"/>
      <c r="FL17" s="20"/>
    </row>
    <row r="18" spans="1:168" ht="14.4" thickBot="1" x14ac:dyDescent="0.35">
      <c r="A18" s="37" t="s">
        <v>51</v>
      </c>
      <c r="B18" s="38">
        <v>16</v>
      </c>
      <c r="C18" s="34">
        <f>RTD("fxbluelabs.excelrtd", , "21422436","@bh,AUDUSD,d1,close,16")</f>
        <v>0.65373999999999999</v>
      </c>
      <c r="D18" s="34">
        <f>RTD("fxbluelabs.excelrtd", , "21422436","@bh,AUDNZD,d1,close,16")</f>
        <v>1.10737</v>
      </c>
      <c r="E18" s="35">
        <f>RTD("fxbluelabs.excelrtd", , "21422436","@bh,AUDJPY,d1,close,16")</f>
        <v>99.858999999999995</v>
      </c>
      <c r="F18" s="34">
        <f>RTD("fxbluelabs.excelrtd", , "21422436","@bh,AUDCHF,d1,close,16")</f>
        <v>0.57704</v>
      </c>
      <c r="G18" s="34">
        <f>RTD("fxbluelabs.excelrtd", , "21422436","@bh,AUDCAD,d1,close,16")</f>
        <v>0.90544000000000002</v>
      </c>
      <c r="H18" s="34">
        <f>RTD("fxbluelabs.excelrtd", , "21422436","@bh,EURUSD,d1,close,16")</f>
        <v>1.0814299999999999</v>
      </c>
      <c r="I18" s="34">
        <f>RTD("fxbluelabs.excelrtd", , "21422436","@bh,EURCAD,d1,close,16")</f>
        <v>1.49783</v>
      </c>
      <c r="J18" s="34">
        <f>RTD("fxbluelabs.excelrtd", , "21422436","@bh,EURGBP,d1,close,16")</f>
        <v>0.84250999999999998</v>
      </c>
      <c r="K18" s="34">
        <f>RTD("fxbluelabs.excelrtd", , "21422436","@bh,EURCHF,d1,close,16")</f>
        <v>0.95459000000000005</v>
      </c>
      <c r="L18" s="35">
        <f>RTD("fxbluelabs.excelrtd", , "21422436","@bh,EURJPY,d1,close,16")</f>
        <v>165.196</v>
      </c>
      <c r="M18" s="34">
        <f>RTD("fxbluelabs.excelrtd", , "21422436","@bh,EURAUD,d1,close,16")</f>
        <v>1.65421</v>
      </c>
      <c r="N18" s="34">
        <f>RTD("fxbluelabs.excelrtd", , "21422436","@bh,EURNZD,d1,close,16")</f>
        <v>1.83192</v>
      </c>
      <c r="O18" s="34">
        <f>RTD("fxbluelabs.excelrtd", , "21422436","@bh,GBPUSD,d1,close,16")</f>
        <v>1.28356</v>
      </c>
      <c r="P18" s="34">
        <f>RTD("fxbluelabs.excelrtd", , "21422436","@bh,GBPAUD,d1,close,16")</f>
        <v>1.96339</v>
      </c>
      <c r="Q18" s="34">
        <f>RTD("fxbluelabs.excelrtd", , "21422436","@bh,GBPNZD,d1,close,16")</f>
        <v>2.1742300000000001</v>
      </c>
      <c r="R18" s="34">
        <f>RTD("fxbluelabs.excelrtd", , "21422436","@bh,GBPCAD,d1,close,16")</f>
        <v>1.77779</v>
      </c>
      <c r="S18" s="34">
        <f>RTD("fxbluelabs.excelrtd", , "21422436","@bh,GBPCHF,d1,close,16")</f>
        <v>1.1329800000000001</v>
      </c>
      <c r="T18" s="35">
        <f>RTD("fxbluelabs.excelrtd", , "21422436","@bh,GBPJPY,d1,close,16")</f>
        <v>196.06700000000001</v>
      </c>
      <c r="U18" s="35">
        <f>RTD("fxbluelabs.excelrtd", , "21422436","@bh,NZDJPY,d1,close,16")</f>
        <v>90.158000000000001</v>
      </c>
      <c r="V18" s="34">
        <f>RTD("fxbluelabs.excelrtd", , "21422436","@bh,NZDCHF,d1,close,16")</f>
        <v>0.52087000000000006</v>
      </c>
      <c r="W18" s="34">
        <f>RTD("fxbluelabs.excelrtd", , "21422436","@bh,NZDUSD,d1,close,16")</f>
        <v>0.59031</v>
      </c>
      <c r="X18" s="34">
        <f>RTD("fxbluelabs.excelrtd", , "21422436","@bh,NZDCAD,d1,close,16")</f>
        <v>0.81757999999999997</v>
      </c>
      <c r="Y18" s="35">
        <f>RTD("fxbluelabs.excelrtd", , "21422436","@bh,CADJPY,d1,close,16")</f>
        <v>110.286</v>
      </c>
      <c r="Z18" s="34">
        <f>RTD("fxbluelabs.excelrtd", , "21422436","@bh,CADCHF,d1,close,16")</f>
        <v>0.63729999999999998</v>
      </c>
      <c r="AA18" s="35">
        <f>RTD("fxbluelabs.excelrtd", , "21422436","@bh,CHFJPY,d1,close,16")</f>
        <v>173.011</v>
      </c>
      <c r="AB18" s="34">
        <f>RTD("fxbluelabs.excelrtd", , "21422436","@bh,USDCAD,d1,close,16")</f>
        <v>1.3851</v>
      </c>
      <c r="AC18" s="34">
        <f>RTD("fxbluelabs.excelrtd", , "21422436","@bh,USDCHF,d1,close,16")</f>
        <v>0.88270000000000004</v>
      </c>
      <c r="AD18" s="35">
        <f>RTD("fxbluelabs.excelrtd", , "21422436","@bh,USDJPY,d1,close,16")</f>
        <v>152.75399999999999</v>
      </c>
      <c r="AH18" s="13">
        <v>17</v>
      </c>
      <c r="AI18" s="27">
        <f t="shared" si="35"/>
        <v>-0.17865050159563978</v>
      </c>
      <c r="AJ18" s="27">
        <f t="shared" si="35"/>
        <v>-0.63796568803387677</v>
      </c>
      <c r="AK18" s="27">
        <f t="shared" si="35"/>
        <v>-1.0081684444268311</v>
      </c>
      <c r="AL18" s="27">
        <f t="shared" si="35"/>
        <v>-0.56349192672881654</v>
      </c>
      <c r="AM18" s="27">
        <f t="shared" si="35"/>
        <v>-0.18630185309712713</v>
      </c>
      <c r="AN18" s="27">
        <f t="shared" si="35"/>
        <v>-6.3763723062144631E-2</v>
      </c>
      <c r="AO18" s="27">
        <f t="shared" si="35"/>
        <v>-7.1385682834071942E-2</v>
      </c>
      <c r="AP18" s="27">
        <f t="shared" si="35"/>
        <v>0.13787365543471075</v>
      </c>
      <c r="AQ18" s="27">
        <f t="shared" si="35"/>
        <v>-0.44739696312363436</v>
      </c>
      <c r="AR18" s="27">
        <f t="shared" si="35"/>
        <v>-0.89211257296784607</v>
      </c>
      <c r="AS18" s="27">
        <f t="shared" si="35"/>
        <v>0.11680828915195896</v>
      </c>
      <c r="AT18" s="27">
        <f t="shared" si="35"/>
        <v>-0.52400940501854054</v>
      </c>
      <c r="AU18" s="27">
        <f t="shared" si="35"/>
        <v>-0.19827230952251768</v>
      </c>
      <c r="AV18" s="27">
        <f t="shared" si="35"/>
        <v>-1.7313989194034159E-2</v>
      </c>
      <c r="AW18" s="27">
        <f t="shared" si="35"/>
        <v>-0.65658411770081304</v>
      </c>
      <c r="AX18" s="27">
        <f t="shared" si="35"/>
        <v>-0.20545061607117779</v>
      </c>
      <c r="AY18" s="27">
        <f t="shared" ref="AX18:BJ28" si="39">IF(S18=0,0,(S18-S19)*100/S19)</f>
        <v>-0.58265035713658753</v>
      </c>
      <c r="AZ18" s="27">
        <f t="shared" si="39"/>
        <v>-1.027748191597301</v>
      </c>
      <c r="BA18" s="27">
        <f t="shared" si="39"/>
        <v>-0.36909340052159656</v>
      </c>
      <c r="BB18" s="27">
        <f t="shared" si="39"/>
        <v>6.7240451855850397E-2</v>
      </c>
      <c r="BC18" s="27">
        <f t="shared" si="39"/>
        <v>0.46461758398856501</v>
      </c>
      <c r="BD18" s="27">
        <f t="shared" si="39"/>
        <v>0.45708107045437119</v>
      </c>
      <c r="BE18" s="27">
        <f t="shared" si="39"/>
        <v>-0.8219424460431668</v>
      </c>
      <c r="BF18" s="27">
        <f t="shared" si="39"/>
        <v>-0.37517586368611355</v>
      </c>
      <c r="BG18" s="27">
        <f t="shared" si="39"/>
        <v>-0.46370608168361643</v>
      </c>
      <c r="BH18" s="27">
        <f t="shared" si="39"/>
        <v>-7.2191741264791354E-3</v>
      </c>
      <c r="BI18" s="27">
        <f t="shared" si="39"/>
        <v>-0.38595224123143351</v>
      </c>
      <c r="BJ18" s="27">
        <f t="shared" si="39"/>
        <v>-0.83098536686705615</v>
      </c>
      <c r="BN18">
        <v>17</v>
      </c>
      <c r="BO18" s="28">
        <f t="shared" si="5"/>
        <v>-3.3340024201532827</v>
      </c>
      <c r="BP18" s="28">
        <f t="shared" si="2"/>
        <v>-0.47601305170713804</v>
      </c>
      <c r="BQ18" s="28">
        <f t="shared" si="38"/>
        <v>-6.7219704347079867</v>
      </c>
      <c r="BR18" s="28">
        <f t="shared" si="38"/>
        <v>-4.7787500978432824</v>
      </c>
      <c r="BS18" s="28">
        <f t="shared" si="38"/>
        <v>-2.112821334726851</v>
      </c>
      <c r="BT18" s="28">
        <f t="shared" si="38"/>
        <v>-0.73508511698385914</v>
      </c>
      <c r="BU18" s="28">
        <f t="shared" si="38"/>
        <v>0.48888998226186636</v>
      </c>
      <c r="BV18" s="28">
        <f t="shared" si="38"/>
        <v>0.28376804463597366</v>
      </c>
      <c r="BW18" s="28">
        <f t="shared" si="38"/>
        <v>-2.192444272124729</v>
      </c>
      <c r="BX18" s="28">
        <f t="shared" si="38"/>
        <v>-4.1401558375012186</v>
      </c>
      <c r="BY18" s="28">
        <f t="shared" si="38"/>
        <v>2.6170432775943917</v>
      </c>
      <c r="BZ18" s="28">
        <f t="shared" si="38"/>
        <v>2.1325720165748034</v>
      </c>
      <c r="CA18" s="28">
        <f t="shared" si="38"/>
        <v>-1.0203923786834552</v>
      </c>
      <c r="CB18" s="28">
        <f t="shared" si="38"/>
        <v>2.3295328763178591</v>
      </c>
      <c r="CC18" s="28">
        <f t="shared" si="38"/>
        <v>1.8462828961875628</v>
      </c>
      <c r="CD18" s="28">
        <f t="shared" si="38"/>
        <v>0.20395439806962998</v>
      </c>
      <c r="CE18" s="28">
        <f t="shared" si="38"/>
        <v>-2.4754175829568279</v>
      </c>
      <c r="CF18" s="28">
        <f t="shared" si="38"/>
        <v>-4.4224204671690401</v>
      </c>
      <c r="CG18" s="28">
        <f t="shared" si="38"/>
        <v>-6.257266280853349</v>
      </c>
      <c r="CH18" s="28">
        <f t="shared" si="38"/>
        <v>-4.3344958065773476</v>
      </c>
      <c r="CI18" s="28">
        <f t="shared" si="38"/>
        <v>-2.8526677663514519</v>
      </c>
      <c r="CJ18" s="28">
        <f t="shared" si="38"/>
        <v>-1.6325224723172433</v>
      </c>
      <c r="CK18" s="28">
        <f t="shared" si="38"/>
        <v>-4.6139013415635937</v>
      </c>
      <c r="CL18" s="28">
        <f t="shared" si="37"/>
        <v>-2.669944336477875</v>
      </c>
      <c r="CM18" s="28">
        <f t="shared" si="37"/>
        <v>-1.9653736831062525</v>
      </c>
      <c r="CN18" s="28">
        <f t="shared" si="37"/>
        <v>1.227227712270718</v>
      </c>
      <c r="CO18" s="28">
        <f t="shared" si="37"/>
        <v>-1.4520300303637157</v>
      </c>
      <c r="CP18" s="28">
        <f t="shared" si="37"/>
        <v>-3.4023304719603908</v>
      </c>
      <c r="CU18" s="21">
        <v>17</v>
      </c>
      <c r="CV18" s="29">
        <f t="shared" si="6"/>
        <v>-1.545411905542772</v>
      </c>
      <c r="CW18" s="29">
        <f t="shared" si="7"/>
        <v>4.3150148921186604</v>
      </c>
      <c r="CX18" s="29">
        <f t="shared" si="8"/>
        <v>-5.4585739635995898</v>
      </c>
      <c r="CY18" s="29">
        <f t="shared" si="9"/>
        <v>13.26776410675965</v>
      </c>
      <c r="CZ18" s="29">
        <f t="shared" si="10"/>
        <v>-3.8222283028702448</v>
      </c>
      <c r="DA18" s="29">
        <f t="shared" si="11"/>
        <v>-22.37013349305079</v>
      </c>
      <c r="DB18" s="29">
        <f t="shared" si="12"/>
        <v>-18.579794187154622</v>
      </c>
      <c r="DC18" s="29">
        <f t="shared" si="13"/>
        <v>31.523418516861831</v>
      </c>
      <c r="DF18" s="46">
        <v>17</v>
      </c>
      <c r="DG18" s="49">
        <f t="shared" si="36"/>
        <v>1.227227712270718</v>
      </c>
      <c r="DH18" s="49">
        <f t="shared" si="14"/>
        <v>0.48888998226186636</v>
      </c>
      <c r="DI18" s="49">
        <f t="shared" si="15"/>
        <v>-1.4520300303637157</v>
      </c>
      <c r="DJ18" s="49">
        <f t="shared" si="16"/>
        <v>-2.192444272124729</v>
      </c>
      <c r="DK18" s="49">
        <f t="shared" si="17"/>
        <v>1.0203923786834552</v>
      </c>
      <c r="DL18" s="49">
        <f t="shared" si="18"/>
        <v>0.28376804463597366</v>
      </c>
      <c r="DM18" s="49">
        <f t="shared" si="19"/>
        <v>3.3340024201532827</v>
      </c>
      <c r="DN18" s="49">
        <f t="shared" si="20"/>
        <v>2.6170432775943917</v>
      </c>
      <c r="DO18" s="49">
        <f t="shared" si="21"/>
        <v>2.8526677663514519</v>
      </c>
      <c r="DP18" s="49">
        <f t="shared" si="22"/>
        <v>2.1325720165748034</v>
      </c>
      <c r="DQ18" s="49">
        <f t="shared" si="23"/>
        <v>-3.4023304719603908</v>
      </c>
      <c r="DR18" s="49">
        <f t="shared" si="24"/>
        <v>-4.1401558375012186</v>
      </c>
      <c r="DS18" s="49">
        <f t="shared" si="25"/>
        <v>0.73508511698385914</v>
      </c>
      <c r="DT18" s="49">
        <f t="shared" si="26"/>
        <v>-0.73508511698385914</v>
      </c>
      <c r="DX18">
        <v>17</v>
      </c>
      <c r="DY18" s="19">
        <f t="shared" si="27"/>
        <v>-22.894809079273283</v>
      </c>
      <c r="EM18" s="21">
        <v>17</v>
      </c>
      <c r="EN18" s="16">
        <f t="shared" si="28"/>
        <v>-1.545411905542772</v>
      </c>
      <c r="EO18" s="16">
        <f t="shared" si="4"/>
        <v>4.3150148921186604</v>
      </c>
      <c r="EP18" s="16">
        <f t="shared" si="29"/>
        <v>-5.4585739635995898</v>
      </c>
      <c r="EQ18" s="16">
        <f t="shared" si="30"/>
        <v>13.26776410675965</v>
      </c>
      <c r="ER18" s="16">
        <f t="shared" si="31"/>
        <v>-3.8222283028702448</v>
      </c>
      <c r="ES18" s="16">
        <f t="shared" si="32"/>
        <v>-22.37013349305079</v>
      </c>
      <c r="ET18" s="16">
        <f t="shared" si="33"/>
        <v>-18.579794187154622</v>
      </c>
      <c r="EU18" s="16">
        <f t="shared" si="34"/>
        <v>31.523418516861831</v>
      </c>
      <c r="FK18" s="20"/>
      <c r="FL18" s="20"/>
    </row>
    <row r="19" spans="1:168" ht="14.4" thickBot="1" x14ac:dyDescent="0.35">
      <c r="A19" s="37" t="s">
        <v>51</v>
      </c>
      <c r="B19" s="38">
        <v>17</v>
      </c>
      <c r="C19" s="34">
        <f>RTD("fxbluelabs.excelrtd", , "21422436","@bh,AUDUSD,d1,close,17")</f>
        <v>0.65490999999999999</v>
      </c>
      <c r="D19" s="34">
        <f>RTD("fxbluelabs.excelrtd", , "21422436","@bh,AUDNZD,d1,close,17")</f>
        <v>1.1144799999999999</v>
      </c>
      <c r="E19" s="35">
        <f>RTD("fxbluelabs.excelrtd", , "21422436","@bh,AUDJPY,d1,close,17")</f>
        <v>100.876</v>
      </c>
      <c r="F19" s="34">
        <f>RTD("fxbluelabs.excelrtd", , "21422436","@bh,AUDCHF,d1,close,17")</f>
        <v>0.58030999999999999</v>
      </c>
      <c r="G19" s="34">
        <f>RTD("fxbluelabs.excelrtd", , "21422436","@bh,AUDCAD,d1,close,17")</f>
        <v>0.90712999999999999</v>
      </c>
      <c r="H19" s="34">
        <f>RTD("fxbluelabs.excelrtd", , "21422436","@bh,EURUSD,d1,close,17")</f>
        <v>1.08212</v>
      </c>
      <c r="I19" s="34">
        <f>RTD("fxbluelabs.excelrtd", , "21422436","@bh,EURCAD,d1,close,17")</f>
        <v>1.4988999999999999</v>
      </c>
      <c r="J19" s="34">
        <f>RTD("fxbluelabs.excelrtd", , "21422436","@bh,EURGBP,d1,close,17")</f>
        <v>0.84135000000000004</v>
      </c>
      <c r="K19" s="34">
        <f>RTD("fxbluelabs.excelrtd", , "21422436","@bh,EURCHF,d1,close,17")</f>
        <v>0.95887999999999995</v>
      </c>
      <c r="L19" s="35">
        <f>RTD("fxbluelabs.excelrtd", , "21422436","@bh,EURJPY,d1,close,17")</f>
        <v>166.68299999999999</v>
      </c>
      <c r="M19" s="34">
        <f>RTD("fxbluelabs.excelrtd", , "21422436","@bh,EURAUD,d1,close,17")</f>
        <v>1.65228</v>
      </c>
      <c r="N19" s="34">
        <f>RTD("fxbluelabs.excelrtd", , "21422436","@bh,EURNZD,d1,close,17")</f>
        <v>1.8415699999999999</v>
      </c>
      <c r="O19" s="34">
        <f>RTD("fxbluelabs.excelrtd", , "21422436","@bh,GBPUSD,d1,close,17")</f>
        <v>1.2861100000000001</v>
      </c>
      <c r="P19" s="34">
        <f>RTD("fxbluelabs.excelrtd", , "21422436","@bh,GBPAUD,d1,close,17")</f>
        <v>1.96373</v>
      </c>
      <c r="Q19" s="34">
        <f>RTD("fxbluelabs.excelrtd", , "21422436","@bh,GBPNZD,d1,close,17")</f>
        <v>2.1886000000000001</v>
      </c>
      <c r="R19" s="34">
        <f>RTD("fxbluelabs.excelrtd", , "21422436","@bh,GBPCAD,d1,close,17")</f>
        <v>1.78145</v>
      </c>
      <c r="S19" s="34">
        <f>RTD("fxbluelabs.excelrtd", , "21422436","@bh,GBPCHF,d1,close,17")</f>
        <v>1.1396200000000001</v>
      </c>
      <c r="T19" s="35">
        <f>RTD("fxbluelabs.excelrtd", , "21422436","@bh,GBPJPY,d1,close,17")</f>
        <v>198.10300000000001</v>
      </c>
      <c r="U19" s="35">
        <f>RTD("fxbluelabs.excelrtd", , "21422436","@bh,NZDJPY,d1,close,17")</f>
        <v>90.492000000000004</v>
      </c>
      <c r="V19" s="34">
        <f>RTD("fxbluelabs.excelrtd", , "21422436","@bh,NZDCHF,d1,close,17")</f>
        <v>0.52051999999999998</v>
      </c>
      <c r="W19" s="34">
        <f>RTD("fxbluelabs.excelrtd", , "21422436","@bh,NZDUSD,d1,close,17")</f>
        <v>0.58757999999999999</v>
      </c>
      <c r="X19" s="34">
        <f>RTD("fxbluelabs.excelrtd", , "21422436","@bh,NZDCAD,d1,close,17")</f>
        <v>0.81386000000000003</v>
      </c>
      <c r="Y19" s="35">
        <f>RTD("fxbluelabs.excelrtd", , "21422436","@bh,CADJPY,d1,close,17")</f>
        <v>111.2</v>
      </c>
      <c r="Z19" s="34">
        <f>RTD("fxbluelabs.excelrtd", , "21422436","@bh,CADCHF,d1,close,17")</f>
        <v>0.63970000000000005</v>
      </c>
      <c r="AA19" s="35">
        <f>RTD("fxbluelabs.excelrtd", , "21422436","@bh,CHFJPY,d1,close,17")</f>
        <v>173.81700000000001</v>
      </c>
      <c r="AB19" s="34">
        <f>RTD("fxbluelabs.excelrtd", , "21422436","@bh,USDCAD,d1,close,17")</f>
        <v>1.3852</v>
      </c>
      <c r="AC19" s="34">
        <f>RTD("fxbluelabs.excelrtd", , "21422436","@bh,USDCHF,d1,close,17")</f>
        <v>0.88612000000000002</v>
      </c>
      <c r="AD19" s="35">
        <f>RTD("fxbluelabs.excelrtd", , "21422436","@bh,USDJPY,d1,close,17")</f>
        <v>154.03399999999999</v>
      </c>
      <c r="AH19" s="21">
        <v>18</v>
      </c>
      <c r="AI19" s="22">
        <f t="shared" si="35"/>
        <v>4.1244042527189363E-2</v>
      </c>
      <c r="AJ19" s="22">
        <f t="shared" si="35"/>
        <v>0.24014894631276479</v>
      </c>
      <c r="AK19" s="22">
        <f t="shared" si="35"/>
        <v>0.21259263674474838</v>
      </c>
      <c r="AL19" s="22">
        <f t="shared" si="35"/>
        <v>0.31634628682063309</v>
      </c>
      <c r="AM19" s="22">
        <f t="shared" si="35"/>
        <v>0.1634185391707654</v>
      </c>
      <c r="AN19" s="22">
        <f t="shared" si="35"/>
        <v>-0.31505057390791485</v>
      </c>
      <c r="AO19" s="22">
        <f t="shared" si="35"/>
        <v>-0.19376618879886204</v>
      </c>
      <c r="AP19" s="22">
        <f t="shared" si="35"/>
        <v>-0.27380698385604668</v>
      </c>
      <c r="AQ19" s="22">
        <f t="shared" si="35"/>
        <v>-4.1697940121764962E-2</v>
      </c>
      <c r="AR19" s="22">
        <f t="shared" si="35"/>
        <v>-0.14557348765320863</v>
      </c>
      <c r="AS19" s="22">
        <f t="shared" si="35"/>
        <v>-0.34799915563463424</v>
      </c>
      <c r="AT19" s="22">
        <f t="shared" si="35"/>
        <v>-0.11498679279055166</v>
      </c>
      <c r="AU19" s="22">
        <f t="shared" si="35"/>
        <v>-3.0314807617558528E-2</v>
      </c>
      <c r="AV19" s="22">
        <f t="shared" si="35"/>
        <v>-6.3613879021668082E-2</v>
      </c>
      <c r="AW19" s="22">
        <f t="shared" si="35"/>
        <v>0.16475972540045983</v>
      </c>
      <c r="AX19" s="22">
        <f t="shared" si="35"/>
        <v>9.214466712739483E-2</v>
      </c>
      <c r="AY19" s="22">
        <f t="shared" si="39"/>
        <v>0.24453748988424093</v>
      </c>
      <c r="AZ19" s="22">
        <f t="shared" si="39"/>
        <v>0.14103445486897259</v>
      </c>
      <c r="BA19" s="22">
        <f t="shared" si="39"/>
        <v>-4.08708811540964E-2</v>
      </c>
      <c r="BB19" s="22">
        <f t="shared" si="39"/>
        <v>5.3821313240032857E-2</v>
      </c>
      <c r="BC19" s="22">
        <f t="shared" si="39"/>
        <v>-0.19533572265724261</v>
      </c>
      <c r="BD19" s="22">
        <f t="shared" si="39"/>
        <v>-7.6122188390132836E-2</v>
      </c>
      <c r="BE19" s="22">
        <f t="shared" si="39"/>
        <v>5.7587100489496799E-2</v>
      </c>
      <c r="BF19" s="22">
        <f t="shared" si="39"/>
        <v>0.16284094823537421</v>
      </c>
      <c r="BG19" s="22">
        <f t="shared" si="39"/>
        <v>-0.10402418418601546</v>
      </c>
      <c r="BH19" s="22">
        <f t="shared" si="39"/>
        <v>0.12070573099246568</v>
      </c>
      <c r="BI19" s="22">
        <f t="shared" si="39"/>
        <v>0.27498330862633313</v>
      </c>
      <c r="BJ19" s="22">
        <f t="shared" si="39"/>
        <v>0.16973070695115247</v>
      </c>
      <c r="BN19">
        <v>18</v>
      </c>
      <c r="BO19" s="23">
        <f t="shared" si="5"/>
        <v>-3.1553519185576429</v>
      </c>
      <c r="BP19" s="23">
        <f t="shared" si="2"/>
        <v>0.16195263632673879</v>
      </c>
      <c r="BQ19" s="23">
        <f t="shared" si="38"/>
        <v>-5.7138019902811559</v>
      </c>
      <c r="BR19" s="23">
        <f t="shared" si="38"/>
        <v>-4.2152581711144652</v>
      </c>
      <c r="BS19" s="23">
        <f t="shared" si="38"/>
        <v>-1.926519481629724</v>
      </c>
      <c r="BT19" s="23">
        <f t="shared" si="38"/>
        <v>-0.67132139392171464</v>
      </c>
      <c r="BU19" s="23">
        <f t="shared" si="38"/>
        <v>0.56027566509593818</v>
      </c>
      <c r="BV19" s="23">
        <f t="shared" si="38"/>
        <v>0.14589438920126285</v>
      </c>
      <c r="BW19" s="23">
        <f t="shared" si="38"/>
        <v>-1.7450473090010943</v>
      </c>
      <c r="BX19" s="23">
        <f t="shared" si="38"/>
        <v>-3.2480432645333726</v>
      </c>
      <c r="BY19" s="23">
        <f t="shared" si="38"/>
        <v>2.5002349884424331</v>
      </c>
      <c r="BZ19" s="23">
        <f t="shared" si="38"/>
        <v>2.6565814215933439</v>
      </c>
      <c r="CA19" s="23">
        <f t="shared" si="38"/>
        <v>-0.82212006916093783</v>
      </c>
      <c r="CB19" s="23">
        <f t="shared" si="38"/>
        <v>2.3468468655118935</v>
      </c>
      <c r="CC19" s="23">
        <f t="shared" si="38"/>
        <v>2.502867013888376</v>
      </c>
      <c r="CD19" s="23">
        <f t="shared" si="38"/>
        <v>0.40940501414080771</v>
      </c>
      <c r="CE19" s="23">
        <f t="shared" si="38"/>
        <v>-1.8927672258202399</v>
      </c>
      <c r="CF19" s="23">
        <f t="shared" si="38"/>
        <v>-3.3946722755717387</v>
      </c>
      <c r="CG19" s="23">
        <f t="shared" si="38"/>
        <v>-5.8881728803317523</v>
      </c>
      <c r="CH19" s="23">
        <f t="shared" si="38"/>
        <v>-4.401736258433198</v>
      </c>
      <c r="CI19" s="23">
        <f t="shared" si="38"/>
        <v>-3.317285350340017</v>
      </c>
      <c r="CJ19" s="23">
        <f t="shared" si="38"/>
        <v>-2.0896035427716142</v>
      </c>
      <c r="CK19" s="23">
        <f t="shared" si="38"/>
        <v>-3.7919588955204278</v>
      </c>
      <c r="CL19" s="23">
        <f t="shared" si="37"/>
        <v>-2.2947684727917617</v>
      </c>
      <c r="CM19" s="23">
        <f t="shared" si="37"/>
        <v>-1.501667601422636</v>
      </c>
      <c r="CN19" s="23">
        <f t="shared" si="37"/>
        <v>1.2344468863971974</v>
      </c>
      <c r="CO19" s="23">
        <f t="shared" si="37"/>
        <v>-1.0660777891322821</v>
      </c>
      <c r="CP19" s="23">
        <f t="shared" si="37"/>
        <v>-2.5713451050933354</v>
      </c>
      <c r="CU19" s="21">
        <v>18</v>
      </c>
      <c r="CV19" s="24">
        <f t="shared" si="6"/>
        <v>0.1985744968767964</v>
      </c>
      <c r="CW19" s="24">
        <f t="shared" si="7"/>
        <v>5.563102724151892</v>
      </c>
      <c r="CX19" s="24">
        <f t="shared" si="8"/>
        <v>-4.2747319095447942</v>
      </c>
      <c r="CY19" s="24">
        <f t="shared" si="9"/>
        <v>11.819219152078643</v>
      </c>
      <c r="CZ19" s="24">
        <f t="shared" si="10"/>
        <v>-0.99633506621310219</v>
      </c>
      <c r="DA19" s="24">
        <f t="shared" si="11"/>
        <v>-19.696060779210576</v>
      </c>
      <c r="DB19" s="24">
        <f t="shared" si="12"/>
        <v>-21.018199103685042</v>
      </c>
      <c r="DC19" s="24">
        <f t="shared" si="13"/>
        <v>26.109662012754416</v>
      </c>
      <c r="DF19" s="48">
        <v>18</v>
      </c>
      <c r="DG19" s="47">
        <f t="shared" si="36"/>
        <v>1.2344468863971974</v>
      </c>
      <c r="DH19" s="47">
        <f t="shared" si="14"/>
        <v>0.56027566509593818</v>
      </c>
      <c r="DI19" s="47">
        <f t="shared" si="15"/>
        <v>-1.0660777891322821</v>
      </c>
      <c r="DJ19" s="47">
        <f t="shared" si="16"/>
        <v>-1.7450473090010943</v>
      </c>
      <c r="DK19" s="47">
        <f t="shared" si="17"/>
        <v>0.82212006916093783</v>
      </c>
      <c r="DL19" s="47">
        <f t="shared" si="18"/>
        <v>0.14589438920126285</v>
      </c>
      <c r="DM19" s="47">
        <f t="shared" si="19"/>
        <v>3.1553519185576429</v>
      </c>
      <c r="DN19" s="47">
        <f t="shared" si="20"/>
        <v>2.5002349884424331</v>
      </c>
      <c r="DO19" s="47">
        <f t="shared" si="21"/>
        <v>3.317285350340017</v>
      </c>
      <c r="DP19" s="47">
        <f t="shared" si="22"/>
        <v>2.6565814215933439</v>
      </c>
      <c r="DQ19" s="47">
        <f t="shared" si="23"/>
        <v>-2.5713451050933354</v>
      </c>
      <c r="DR19" s="47">
        <f t="shared" si="24"/>
        <v>-3.2480432645333726</v>
      </c>
      <c r="DS19" s="47">
        <f t="shared" si="25"/>
        <v>0.67132139392171464</v>
      </c>
      <c r="DT19" s="47">
        <f t="shared" si="26"/>
        <v>-0.67132139392171464</v>
      </c>
      <c r="DX19">
        <v>18</v>
      </c>
      <c r="DY19" s="19">
        <f t="shared" si="27"/>
        <v>-26.581301827836935</v>
      </c>
      <c r="EM19" s="21">
        <v>18</v>
      </c>
      <c r="EN19" s="16">
        <f t="shared" si="28"/>
        <v>0.1985744968767964</v>
      </c>
      <c r="EO19" s="16">
        <f t="shared" si="4"/>
        <v>5.563102724151892</v>
      </c>
      <c r="EP19" s="16">
        <f t="shared" si="29"/>
        <v>-4.2747319095447942</v>
      </c>
      <c r="EQ19" s="16">
        <f t="shared" si="30"/>
        <v>11.819219152078643</v>
      </c>
      <c r="ER19" s="16">
        <f t="shared" si="31"/>
        <v>-0.99633506621310219</v>
      </c>
      <c r="ES19" s="16">
        <f t="shared" si="32"/>
        <v>-19.696060779210576</v>
      </c>
      <c r="ET19" s="16">
        <f t="shared" si="33"/>
        <v>-21.018199103685042</v>
      </c>
      <c r="EU19" s="16">
        <f t="shared" si="34"/>
        <v>26.109662012754416</v>
      </c>
      <c r="FK19" s="20"/>
      <c r="FL19" s="20"/>
    </row>
    <row r="20" spans="1:168" ht="14.4" thickBot="1" x14ac:dyDescent="0.35">
      <c r="A20" s="37" t="s">
        <v>51</v>
      </c>
      <c r="B20" s="38">
        <v>18</v>
      </c>
      <c r="C20" s="34">
        <f>RTD("fxbluelabs.excelrtd", , "21422436","@bh,AUDUSD,d1,close,18")</f>
        <v>0.65464</v>
      </c>
      <c r="D20" s="34">
        <f>RTD("fxbluelabs.excelrtd", , "21422436","@bh,AUDNZD,d1,close,18")</f>
        <v>1.11181</v>
      </c>
      <c r="E20" s="35">
        <f>RTD("fxbluelabs.excelrtd", , "21422436","@bh,AUDJPY,d1,close,18")</f>
        <v>100.66200000000001</v>
      </c>
      <c r="F20" s="34">
        <f>RTD("fxbluelabs.excelrtd", , "21422436","@bh,AUDCHF,d1,close,18")</f>
        <v>0.57847999999999999</v>
      </c>
      <c r="G20" s="34">
        <f>RTD("fxbluelabs.excelrtd", , "21422436","@bh,AUDCAD,d1,close,18")</f>
        <v>0.90564999999999996</v>
      </c>
      <c r="H20" s="34">
        <f>RTD("fxbluelabs.excelrtd", , "21422436","@bh,EURUSD,d1,close,18")</f>
        <v>1.0855399999999999</v>
      </c>
      <c r="I20" s="34">
        <f>RTD("fxbluelabs.excelrtd", , "21422436","@bh,EURCAD,d1,close,18")</f>
        <v>1.5018100000000001</v>
      </c>
      <c r="J20" s="34">
        <f>RTD("fxbluelabs.excelrtd", , "21422436","@bh,EURGBP,d1,close,18")</f>
        <v>0.84365999999999997</v>
      </c>
      <c r="K20" s="34">
        <f>RTD("fxbluelabs.excelrtd", , "21422436","@bh,EURCHF,d1,close,18")</f>
        <v>0.95928000000000002</v>
      </c>
      <c r="L20" s="35">
        <f>RTD("fxbluelabs.excelrtd", , "21422436","@bh,EURJPY,d1,close,18")</f>
        <v>166.92599999999999</v>
      </c>
      <c r="M20" s="34">
        <f>RTD("fxbluelabs.excelrtd", , "21422436","@bh,EURAUD,d1,close,18")</f>
        <v>1.65805</v>
      </c>
      <c r="N20" s="34">
        <f>RTD("fxbluelabs.excelrtd", , "21422436","@bh,EURNZD,d1,close,18")</f>
        <v>1.8436900000000001</v>
      </c>
      <c r="O20" s="34">
        <f>RTD("fxbluelabs.excelrtd", , "21422436","@bh,GBPUSD,d1,close,18")</f>
        <v>1.2865</v>
      </c>
      <c r="P20" s="34">
        <f>RTD("fxbluelabs.excelrtd", , "21422436","@bh,GBPAUD,d1,close,18")</f>
        <v>1.9649799999999999</v>
      </c>
      <c r="Q20" s="34">
        <f>RTD("fxbluelabs.excelrtd", , "21422436","@bh,GBPNZD,d1,close,18")</f>
        <v>2.1850000000000001</v>
      </c>
      <c r="R20" s="34">
        <f>RTD("fxbluelabs.excelrtd", , "21422436","@bh,GBPCAD,d1,close,18")</f>
        <v>1.7798099999999999</v>
      </c>
      <c r="S20" s="34">
        <f>RTD("fxbluelabs.excelrtd", , "21422436","@bh,GBPCHF,d1,close,18")</f>
        <v>1.1368400000000001</v>
      </c>
      <c r="T20" s="35">
        <f>RTD("fxbluelabs.excelrtd", , "21422436","@bh,GBPJPY,d1,close,18")</f>
        <v>197.82400000000001</v>
      </c>
      <c r="U20" s="35">
        <f>RTD("fxbluelabs.excelrtd", , "21422436","@bh,NZDJPY,d1,close,18")</f>
        <v>90.528999999999996</v>
      </c>
      <c r="V20" s="34">
        <f>RTD("fxbluelabs.excelrtd", , "21422436","@bh,NZDCHF,d1,close,18")</f>
        <v>0.52024000000000004</v>
      </c>
      <c r="W20" s="34">
        <f>RTD("fxbluelabs.excelrtd", , "21422436","@bh,NZDUSD,d1,close,18")</f>
        <v>0.58872999999999998</v>
      </c>
      <c r="X20" s="34">
        <f>RTD("fxbluelabs.excelrtd", , "21422436","@bh,NZDCAD,d1,close,18")</f>
        <v>0.81447999999999998</v>
      </c>
      <c r="Y20" s="35">
        <f>RTD("fxbluelabs.excelrtd", , "21422436","@bh,CADJPY,d1,close,18")</f>
        <v>111.136</v>
      </c>
      <c r="Z20" s="34">
        <f>RTD("fxbluelabs.excelrtd", , "21422436","@bh,CADCHF,d1,close,18")</f>
        <v>0.63866000000000001</v>
      </c>
      <c r="AA20" s="35">
        <f>RTD("fxbluelabs.excelrtd", , "21422436","@bh,CHFJPY,d1,close,18")</f>
        <v>173.99799999999999</v>
      </c>
      <c r="AB20" s="34">
        <f>RTD("fxbluelabs.excelrtd", , "21422436","@bh,USDCAD,d1,close,18")</f>
        <v>1.3835299999999999</v>
      </c>
      <c r="AC20" s="34">
        <f>RTD("fxbluelabs.excelrtd", , "21422436","@bh,USDCHF,d1,close,18")</f>
        <v>0.88368999999999998</v>
      </c>
      <c r="AD20" s="35">
        <f>RTD("fxbluelabs.excelrtd", , "21422436","@bh,USDJPY,d1,close,18")</f>
        <v>153.773</v>
      </c>
      <c r="AH20" s="21">
        <v>19</v>
      </c>
      <c r="AI20" s="27">
        <f t="shared" ref="AI20:AX28" si="40">IF(C20=0,0,(C20-C21)*100/C21)</f>
        <v>0.12847965738757294</v>
      </c>
      <c r="AJ20" s="27">
        <f t="shared" si="40"/>
        <v>0.1179648806843694</v>
      </c>
      <c r="AK20" s="27">
        <f t="shared" si="40"/>
        <v>1.6891052710030423E-2</v>
      </c>
      <c r="AL20" s="27">
        <f t="shared" si="40"/>
        <v>0.36434296818071249</v>
      </c>
      <c r="AM20" s="27">
        <f t="shared" si="40"/>
        <v>0.20469130338569452</v>
      </c>
      <c r="AN20" s="27">
        <f t="shared" si="40"/>
        <v>9.6819703270661361E-2</v>
      </c>
      <c r="AO20" s="27">
        <f t="shared" si="40"/>
        <v>0.17409284951974394</v>
      </c>
      <c r="AP20" s="27">
        <f t="shared" si="40"/>
        <v>-3.4362225250312517E-2</v>
      </c>
      <c r="AQ20" s="27">
        <f t="shared" si="40"/>
        <v>0.33260119234390462</v>
      </c>
      <c r="AR20" s="27">
        <f t="shared" si="40"/>
        <v>-1.3177755947971692E-2</v>
      </c>
      <c r="AS20" s="27">
        <f t="shared" si="40"/>
        <v>-4.0995219233993109E-2</v>
      </c>
      <c r="AT20" s="27">
        <f t="shared" si="40"/>
        <v>8.4684577092822205E-2</v>
      </c>
      <c r="AU20" s="27">
        <f t="shared" si="40"/>
        <v>0.12062726176115338</v>
      </c>
      <c r="AV20" s="27">
        <f t="shared" si="40"/>
        <v>-1.8317441256990544E-2</v>
      </c>
      <c r="AW20" s="27">
        <f t="shared" si="40"/>
        <v>0.11179532292353922</v>
      </c>
      <c r="AX20" s="27">
        <f t="shared" si="40"/>
        <v>0.19647360835885389</v>
      </c>
      <c r="AY20" s="27">
        <f t="shared" si="39"/>
        <v>0.35575250924691498</v>
      </c>
      <c r="AZ20" s="27">
        <f t="shared" si="39"/>
        <v>9.6054194787823649E-3</v>
      </c>
      <c r="BA20" s="27">
        <f t="shared" si="39"/>
        <v>-8.4983334437011004E-2</v>
      </c>
      <c r="BB20" s="27">
        <f t="shared" si="39"/>
        <v>0.25630648860111643</v>
      </c>
      <c r="BC20" s="27">
        <f t="shared" si="39"/>
        <v>1.0192467766312023E-2</v>
      </c>
      <c r="BD20" s="27">
        <f t="shared" si="39"/>
        <v>8.9708141321045584E-2</v>
      </c>
      <c r="BE20" s="27">
        <f t="shared" si="39"/>
        <v>-0.19846080623580345</v>
      </c>
      <c r="BF20" s="27">
        <f t="shared" si="39"/>
        <v>0.14582973985855868</v>
      </c>
      <c r="BG20" s="27">
        <f t="shared" si="39"/>
        <v>-0.34478808705613051</v>
      </c>
      <c r="BH20" s="27">
        <f t="shared" si="39"/>
        <v>7.2331160987457038E-2</v>
      </c>
      <c r="BI20" s="27">
        <f t="shared" si="39"/>
        <v>0.23593198806728266</v>
      </c>
      <c r="BJ20" s="27">
        <f t="shared" si="39"/>
        <v>-0.10978160605943221</v>
      </c>
      <c r="BN20">
        <v>19</v>
      </c>
      <c r="BO20" s="28">
        <f t="shared" si="5"/>
        <v>-3.1965959610848325</v>
      </c>
      <c r="BP20" s="28">
        <f t="shared" si="2"/>
        <v>-7.8196309986025989E-2</v>
      </c>
      <c r="BQ20" s="28">
        <f t="shared" si="38"/>
        <v>-5.9263946270259042</v>
      </c>
      <c r="BR20" s="28">
        <f t="shared" si="38"/>
        <v>-4.5316044579350994</v>
      </c>
      <c r="BS20" s="28">
        <f t="shared" si="38"/>
        <v>-2.0899380208004894</v>
      </c>
      <c r="BT20" s="28">
        <f t="shared" si="38"/>
        <v>-0.35627082001379978</v>
      </c>
      <c r="BU20" s="28">
        <f t="shared" si="38"/>
        <v>0.75404185389480027</v>
      </c>
      <c r="BV20" s="28">
        <f t="shared" si="38"/>
        <v>0.41970137305730953</v>
      </c>
      <c r="BW20" s="28">
        <f t="shared" si="38"/>
        <v>-1.7033493688793295</v>
      </c>
      <c r="BX20" s="28">
        <f t="shared" si="38"/>
        <v>-3.1024697768801639</v>
      </c>
      <c r="BY20" s="28">
        <f t="shared" si="38"/>
        <v>2.8482341440770664</v>
      </c>
      <c r="BZ20" s="28">
        <f t="shared" si="38"/>
        <v>2.7715682143838953</v>
      </c>
      <c r="CA20" s="28">
        <f t="shared" si="38"/>
        <v>-0.79180526154337894</v>
      </c>
      <c r="CB20" s="28">
        <f t="shared" si="38"/>
        <v>2.4104607445335615</v>
      </c>
      <c r="CC20" s="28">
        <f t="shared" si="38"/>
        <v>2.3381072884879162</v>
      </c>
      <c r="CD20" s="28">
        <f t="shared" si="38"/>
        <v>0.31726034701341288</v>
      </c>
      <c r="CE20" s="28">
        <f t="shared" si="38"/>
        <v>-2.1373047157044804</v>
      </c>
      <c r="CF20" s="28">
        <f t="shared" si="38"/>
        <v>-3.5357067304407117</v>
      </c>
      <c r="CG20" s="28">
        <f t="shared" si="38"/>
        <v>-5.847301999177656</v>
      </c>
      <c r="CH20" s="28">
        <f t="shared" si="38"/>
        <v>-4.4555575716732312</v>
      </c>
      <c r="CI20" s="28">
        <f t="shared" si="38"/>
        <v>-3.1219496276827745</v>
      </c>
      <c r="CJ20" s="28">
        <f t="shared" si="38"/>
        <v>-2.0134813543814816</v>
      </c>
      <c r="CK20" s="28">
        <f t="shared" si="38"/>
        <v>-3.8495459960099243</v>
      </c>
      <c r="CL20" s="28">
        <f t="shared" si="37"/>
        <v>-2.4576094210271355</v>
      </c>
      <c r="CM20" s="28">
        <f t="shared" si="37"/>
        <v>-1.3976434172366203</v>
      </c>
      <c r="CN20" s="28">
        <f t="shared" si="37"/>
        <v>1.1137411554047316</v>
      </c>
      <c r="CO20" s="28">
        <f t="shared" si="37"/>
        <v>-1.3410610977586153</v>
      </c>
      <c r="CP20" s="28">
        <f t="shared" si="37"/>
        <v>-2.7410758120444876</v>
      </c>
      <c r="CU20" s="21">
        <v>19</v>
      </c>
      <c r="CV20" s="29">
        <f t="shared" si="6"/>
        <v>1.6314556196397785</v>
      </c>
      <c r="CW20" s="29">
        <f t="shared" si="7"/>
        <v>4.4982259159264144</v>
      </c>
      <c r="CX20" s="29">
        <f t="shared" si="8"/>
        <v>-4.3887793981680332</v>
      </c>
      <c r="CY20" s="29">
        <f t="shared" si="9"/>
        <v>12.771233794714137</v>
      </c>
      <c r="CZ20" s="29">
        <f t="shared" si="10"/>
        <v>-1.8186897007109903</v>
      </c>
      <c r="DA20" s="29">
        <f t="shared" si="11"/>
        <v>-21.08142426544298</v>
      </c>
      <c r="DB20" s="29">
        <f t="shared" si="12"/>
        <v>-20.469769745800928</v>
      </c>
      <c r="DC20" s="29">
        <f t="shared" si="13"/>
        <v>26.400138358815468</v>
      </c>
      <c r="DF20" s="44">
        <v>19</v>
      </c>
      <c r="DG20" s="49">
        <f t="shared" si="36"/>
        <v>1.1137411554047316</v>
      </c>
      <c r="DH20" s="49">
        <f t="shared" si="14"/>
        <v>0.75404185389480027</v>
      </c>
      <c r="DI20" s="49">
        <f t="shared" si="15"/>
        <v>-1.3410610977586153</v>
      </c>
      <c r="DJ20" s="49">
        <f t="shared" si="16"/>
        <v>-1.7033493688793295</v>
      </c>
      <c r="DK20" s="49">
        <f t="shared" si="17"/>
        <v>0.79180526154337894</v>
      </c>
      <c r="DL20" s="49">
        <f t="shared" si="18"/>
        <v>0.41970137305730953</v>
      </c>
      <c r="DM20" s="49">
        <f t="shared" si="19"/>
        <v>3.1965959610848325</v>
      </c>
      <c r="DN20" s="49">
        <f t="shared" si="20"/>
        <v>2.8482341440770664</v>
      </c>
      <c r="DO20" s="49">
        <f t="shared" si="21"/>
        <v>3.1219496276827745</v>
      </c>
      <c r="DP20" s="49">
        <f t="shared" si="22"/>
        <v>2.7715682143838953</v>
      </c>
      <c r="DQ20" s="49">
        <f t="shared" si="23"/>
        <v>-2.7410758120444876</v>
      </c>
      <c r="DR20" s="49">
        <f t="shared" si="24"/>
        <v>-3.1024697768801639</v>
      </c>
      <c r="DS20" s="49">
        <f t="shared" si="25"/>
        <v>0.35627082001379978</v>
      </c>
      <c r="DT20" s="49">
        <f t="shared" si="26"/>
        <v>-0.35627082001379978</v>
      </c>
      <c r="DX20">
        <v>19</v>
      </c>
      <c r="DY20" s="19">
        <f t="shared" si="27"/>
        <v>-24.967995661727343</v>
      </c>
      <c r="EM20" s="21">
        <v>19</v>
      </c>
      <c r="EN20" s="16">
        <f t="shared" si="28"/>
        <v>1.6314556196397785</v>
      </c>
      <c r="EO20" s="16">
        <f t="shared" si="4"/>
        <v>4.4982259159264144</v>
      </c>
      <c r="EP20" s="16">
        <f t="shared" si="29"/>
        <v>-4.3887793981680332</v>
      </c>
      <c r="EQ20" s="16">
        <f t="shared" si="30"/>
        <v>12.771233794714137</v>
      </c>
      <c r="ER20" s="16">
        <f t="shared" si="31"/>
        <v>-1.8186897007109903</v>
      </c>
      <c r="ES20" s="16">
        <f t="shared" si="32"/>
        <v>-21.08142426544298</v>
      </c>
      <c r="ET20" s="16">
        <f t="shared" si="33"/>
        <v>-20.469769745800928</v>
      </c>
      <c r="EU20" s="16">
        <f t="shared" si="34"/>
        <v>26.400138358815468</v>
      </c>
      <c r="FK20" s="20"/>
      <c r="FL20" s="20"/>
    </row>
    <row r="21" spans="1:168" ht="14.4" thickBot="1" x14ac:dyDescent="0.35">
      <c r="A21" s="37" t="s">
        <v>51</v>
      </c>
      <c r="B21" s="38">
        <v>19</v>
      </c>
      <c r="C21" s="34">
        <f>RTD("fxbluelabs.excelrtd", , "21422436","@bh,AUDUSD,d1,close,19")</f>
        <v>0.65380000000000005</v>
      </c>
      <c r="D21" s="34">
        <f>RTD("fxbluelabs.excelrtd", , "21422436","@bh,AUDNZD,d1,close,19")</f>
        <v>1.1105</v>
      </c>
      <c r="E21" s="35">
        <f>RTD("fxbluelabs.excelrtd", , "21422436","@bh,AUDJPY,d1,close,19")</f>
        <v>100.645</v>
      </c>
      <c r="F21" s="34">
        <f>RTD("fxbluelabs.excelrtd", , "21422436","@bh,AUDCHF,d1,close,19")</f>
        <v>0.57638</v>
      </c>
      <c r="G21" s="34">
        <f>RTD("fxbluelabs.excelrtd", , "21422436","@bh,AUDCAD,d1,close,19")</f>
        <v>0.90380000000000005</v>
      </c>
      <c r="H21" s="34">
        <f>RTD("fxbluelabs.excelrtd", , "21422436","@bh,EURUSD,d1,close,19")</f>
        <v>1.08449</v>
      </c>
      <c r="I21" s="34">
        <f>RTD("fxbluelabs.excelrtd", , "21422436","@bh,EURCAD,d1,close,19")</f>
        <v>1.4992000000000001</v>
      </c>
      <c r="J21" s="34">
        <f>RTD("fxbluelabs.excelrtd", , "21422436","@bh,EURGBP,d1,close,19")</f>
        <v>0.84394999999999998</v>
      </c>
      <c r="K21" s="34">
        <f>RTD("fxbluelabs.excelrtd", , "21422436","@bh,EURCHF,d1,close,19")</f>
        <v>0.95609999999999995</v>
      </c>
      <c r="L21" s="35">
        <f>RTD("fxbluelabs.excelrtd", , "21422436","@bh,EURJPY,d1,close,19")</f>
        <v>166.94800000000001</v>
      </c>
      <c r="M21" s="34">
        <f>RTD("fxbluelabs.excelrtd", , "21422436","@bh,EURAUD,d1,close,19")</f>
        <v>1.65873</v>
      </c>
      <c r="N21" s="34">
        <f>RTD("fxbluelabs.excelrtd", , "21422436","@bh,EURNZD,d1,close,19")</f>
        <v>1.84213</v>
      </c>
      <c r="O21" s="34">
        <f>RTD("fxbluelabs.excelrtd", , "21422436","@bh,GBPUSD,d1,close,19")</f>
        <v>1.28495</v>
      </c>
      <c r="P21" s="34">
        <f>RTD("fxbluelabs.excelrtd", , "21422436","@bh,GBPAUD,d1,close,19")</f>
        <v>1.9653400000000001</v>
      </c>
      <c r="Q21" s="34">
        <f>RTD("fxbluelabs.excelrtd", , "21422436","@bh,GBPNZD,d1,close,19")</f>
        <v>2.1825600000000001</v>
      </c>
      <c r="R21" s="34">
        <f>RTD("fxbluelabs.excelrtd", , "21422436","@bh,GBPCAD,d1,close,19")</f>
        <v>1.7763199999999999</v>
      </c>
      <c r="S21" s="34">
        <f>RTD("fxbluelabs.excelrtd", , "21422436","@bh,GBPCHF,d1,close,19")</f>
        <v>1.1328100000000001</v>
      </c>
      <c r="T21" s="35">
        <f>RTD("fxbluelabs.excelrtd", , "21422436","@bh,GBPJPY,d1,close,19")</f>
        <v>197.80500000000001</v>
      </c>
      <c r="U21" s="35">
        <f>RTD("fxbluelabs.excelrtd", , "21422436","@bh,NZDJPY,d1,close,19")</f>
        <v>90.605999999999995</v>
      </c>
      <c r="V21" s="34">
        <f>RTD("fxbluelabs.excelrtd", , "21422436","@bh,NZDCHF,d1,close,19")</f>
        <v>0.51890999999999998</v>
      </c>
      <c r="W21" s="34">
        <f>RTD("fxbluelabs.excelrtd", , "21422436","@bh,NZDUSD,d1,close,19")</f>
        <v>0.58867000000000003</v>
      </c>
      <c r="X21" s="34">
        <f>RTD("fxbluelabs.excelrtd", , "21422436","@bh,NZDCAD,d1,close,19")</f>
        <v>0.81374999999999997</v>
      </c>
      <c r="Y21" s="35">
        <f>RTD("fxbluelabs.excelrtd", , "21422436","@bh,CADJPY,d1,close,19")</f>
        <v>111.357</v>
      </c>
      <c r="Z21" s="34">
        <f>RTD("fxbluelabs.excelrtd", , "21422436","@bh,CADCHF,d1,close,19")</f>
        <v>0.63773000000000002</v>
      </c>
      <c r="AA21" s="35">
        <f>RTD("fxbluelabs.excelrtd", , "21422436","@bh,CHFJPY,d1,close,19")</f>
        <v>174.6</v>
      </c>
      <c r="AB21" s="34">
        <f>RTD("fxbluelabs.excelrtd", , "21422436","@bh,USDCAD,d1,close,19")</f>
        <v>1.38253</v>
      </c>
      <c r="AC21" s="34">
        <f>RTD("fxbluelabs.excelrtd", , "21422436","@bh,USDCHF,d1,close,19")</f>
        <v>0.88161</v>
      </c>
      <c r="AD21" s="35">
        <f>RTD("fxbluelabs.excelrtd", , "21422436","@bh,USDJPY,d1,close,19")</f>
        <v>153.94200000000001</v>
      </c>
      <c r="AH21" s="21">
        <v>20</v>
      </c>
      <c r="AI21" s="22">
        <f t="shared" si="40"/>
        <v>-0.65037685387794042</v>
      </c>
      <c r="AJ21" s="22">
        <f t="shared" si="40"/>
        <v>7.9306429228023279E-2</v>
      </c>
      <c r="AK21" s="22">
        <f t="shared" si="40"/>
        <v>-0.62108734719671865</v>
      </c>
      <c r="AL21" s="22">
        <f t="shared" si="40"/>
        <v>-1.0472462573822268</v>
      </c>
      <c r="AM21" s="22">
        <f t="shared" si="40"/>
        <v>-0.52500082547298954</v>
      </c>
      <c r="AN21" s="22">
        <f>IF(H21=0,0,(H21-H22)*100/H22)</f>
        <v>5.2586906782784652E-2</v>
      </c>
      <c r="AO21" s="22">
        <f t="shared" si="40"/>
        <v>0.17774332794312928</v>
      </c>
      <c r="AP21" s="22">
        <f t="shared" si="40"/>
        <v>0.49416527744700967</v>
      </c>
      <c r="AQ21" s="22">
        <f t="shared" si="40"/>
        <v>-0.3481197365129669</v>
      </c>
      <c r="AR21" s="22">
        <f t="shared" si="40"/>
        <v>8.1528906793273667E-2</v>
      </c>
      <c r="AS21" s="22">
        <f t="shared" si="40"/>
        <v>0.71098104455319966</v>
      </c>
      <c r="AT21" s="22">
        <f t="shared" si="40"/>
        <v>0.78124572585278174</v>
      </c>
      <c r="AU21" s="22">
        <f t="shared" si="40"/>
        <v>-0.44163793437415549</v>
      </c>
      <c r="AV21" s="22">
        <f t="shared" si="40"/>
        <v>0.21416115116717732</v>
      </c>
      <c r="AW21" s="22">
        <f t="shared" si="40"/>
        <v>0.29179169289727808</v>
      </c>
      <c r="AX21" s="22">
        <f t="shared" si="40"/>
        <v>-0.31650542099710932</v>
      </c>
      <c r="AY21" s="22">
        <f t="shared" si="39"/>
        <v>-0.83859277479669125</v>
      </c>
      <c r="AZ21" s="22">
        <f t="shared" si="39"/>
        <v>-0.41233687771869887</v>
      </c>
      <c r="BA21" s="22">
        <f t="shared" si="39"/>
        <v>-0.67309800482350834</v>
      </c>
      <c r="BB21" s="22">
        <f t="shared" si="39"/>
        <v>-1.1053724914714846</v>
      </c>
      <c r="BC21" s="22">
        <f t="shared" si="39"/>
        <v>-0.73185949646717763</v>
      </c>
      <c r="BD21" s="22">
        <f t="shared" si="39"/>
        <v>-0.60218888943176696</v>
      </c>
      <c r="BE21" s="22">
        <f t="shared" si="39"/>
        <v>-9.1513471321296502E-2</v>
      </c>
      <c r="BF21" s="22">
        <f t="shared" si="39"/>
        <v>-0.51945215736435657</v>
      </c>
      <c r="BG21" s="22">
        <f t="shared" si="39"/>
        <v>0.43198407813677664</v>
      </c>
      <c r="BH21" s="22">
        <f t="shared" si="39"/>
        <v>0.13109102497248459</v>
      </c>
      <c r="BI21" s="22">
        <f t="shared" si="39"/>
        <v>-0.39993221487883268</v>
      </c>
      <c r="BJ21" s="22">
        <f t="shared" si="39"/>
        <v>2.9240336068939561E-2</v>
      </c>
      <c r="BN21">
        <v>20</v>
      </c>
      <c r="BO21" s="23">
        <f t="shared" si="5"/>
        <v>-3.3250756184724053</v>
      </c>
      <c r="BP21" s="23">
        <f t="shared" si="2"/>
        <v>-0.19616119067039545</v>
      </c>
      <c r="BQ21" s="23">
        <f t="shared" si="38"/>
        <v>-5.9432856797359355</v>
      </c>
      <c r="BR21" s="23">
        <f t="shared" si="38"/>
        <v>-4.8959474261158116</v>
      </c>
      <c r="BS21" s="23">
        <f t="shared" si="38"/>
        <v>-2.2946293241861837</v>
      </c>
      <c r="BT21" s="23">
        <f t="shared" si="38"/>
        <v>-0.45309052328446109</v>
      </c>
      <c r="BU21" s="23">
        <f t="shared" si="38"/>
        <v>0.57994900437505637</v>
      </c>
      <c r="BV21" s="23">
        <f t="shared" si="38"/>
        <v>0.45406359830762211</v>
      </c>
      <c r="BW21" s="23">
        <f t="shared" si="38"/>
        <v>-2.0359505612232338</v>
      </c>
      <c r="BX21" s="23">
        <f t="shared" si="38"/>
        <v>-3.0892920209321924</v>
      </c>
      <c r="BY21" s="23">
        <f t="shared" si="38"/>
        <v>2.8892293633110597</v>
      </c>
      <c r="BZ21" s="23">
        <f t="shared" si="38"/>
        <v>2.6868836372910736</v>
      </c>
      <c r="CA21" s="23">
        <f t="shared" si="38"/>
        <v>-0.91243252330453239</v>
      </c>
      <c r="CB21" s="23">
        <f t="shared" si="38"/>
        <v>2.4287781857905522</v>
      </c>
      <c r="CC21" s="23">
        <f t="shared" si="38"/>
        <v>2.2263119655643768</v>
      </c>
      <c r="CD21" s="23">
        <f t="shared" si="38"/>
        <v>0.12078673865455902</v>
      </c>
      <c r="CE21" s="23">
        <f t="shared" si="38"/>
        <v>-2.493057224951396</v>
      </c>
      <c r="CF21" s="23">
        <f t="shared" si="38"/>
        <v>-3.5453121499194937</v>
      </c>
      <c r="CG21" s="23">
        <f t="shared" si="38"/>
        <v>-5.7623186647406461</v>
      </c>
      <c r="CH21" s="23">
        <f t="shared" si="38"/>
        <v>-4.7118640602743476</v>
      </c>
      <c r="CI21" s="23">
        <f t="shared" si="38"/>
        <v>-3.1321420954490864</v>
      </c>
      <c r="CJ21" s="23">
        <f t="shared" si="38"/>
        <v>-2.1031894957025274</v>
      </c>
      <c r="CK21" s="23">
        <f t="shared" si="38"/>
        <v>-3.651085189774121</v>
      </c>
      <c r="CL21" s="23">
        <f t="shared" si="37"/>
        <v>-2.6034391608856944</v>
      </c>
      <c r="CM21" s="23">
        <f t="shared" si="37"/>
        <v>-1.0528553301804902</v>
      </c>
      <c r="CN21" s="23">
        <f t="shared" si="37"/>
        <v>1.0414099944172746</v>
      </c>
      <c r="CO21" s="23">
        <f t="shared" si="37"/>
        <v>-1.5769930858258978</v>
      </c>
      <c r="CP21" s="23">
        <f t="shared" si="37"/>
        <v>-2.6312942059850553</v>
      </c>
      <c r="CU21" s="21">
        <v>20</v>
      </c>
      <c r="CV21" s="24">
        <f t="shared" si="6"/>
        <v>1.0317924978449242</v>
      </c>
      <c r="CW21" s="24">
        <f t="shared" si="7"/>
        <v>4.6558634631168072</v>
      </c>
      <c r="CX21" s="24">
        <f t="shared" si="8"/>
        <v>-3.5988512682179938</v>
      </c>
      <c r="CY21" s="24">
        <f t="shared" si="9"/>
        <v>14.660957028210195</v>
      </c>
      <c r="CZ21" s="24">
        <f t="shared" si="10"/>
        <v>-2.6289886064735564</v>
      </c>
      <c r="DA21" s="24">
        <f t="shared" si="11"/>
        <v>-21.97310678828234</v>
      </c>
      <c r="DB21" s="24">
        <f t="shared" si="12"/>
        <v>-20.426548728351666</v>
      </c>
      <c r="DC21" s="24">
        <f t="shared" si="13"/>
        <v>25.675443241267935</v>
      </c>
      <c r="DF21" s="46">
        <v>20</v>
      </c>
      <c r="DG21" s="47">
        <f t="shared" si="36"/>
        <v>1.0414099944172746</v>
      </c>
      <c r="DH21" s="47">
        <f t="shared" si="14"/>
        <v>0.57994900437505637</v>
      </c>
      <c r="DI21" s="47">
        <f t="shared" si="15"/>
        <v>-1.5769930858258978</v>
      </c>
      <c r="DJ21" s="47">
        <f t="shared" si="16"/>
        <v>-2.0359505612232338</v>
      </c>
      <c r="DK21" s="47">
        <f t="shared" si="17"/>
        <v>0.91243252330453239</v>
      </c>
      <c r="DL21" s="47">
        <f t="shared" si="18"/>
        <v>0.45406359830762211</v>
      </c>
      <c r="DM21" s="47">
        <f t="shared" si="19"/>
        <v>3.3250756184724053</v>
      </c>
      <c r="DN21" s="47">
        <f t="shared" si="20"/>
        <v>2.8892293633110597</v>
      </c>
      <c r="DO21" s="47">
        <f t="shared" si="21"/>
        <v>3.1321420954490864</v>
      </c>
      <c r="DP21" s="47">
        <f t="shared" si="22"/>
        <v>2.6868836372910736</v>
      </c>
      <c r="DQ21" s="47">
        <f t="shared" si="23"/>
        <v>-2.6312942059850553</v>
      </c>
      <c r="DR21" s="47">
        <f t="shared" si="24"/>
        <v>-3.0892920209321924</v>
      </c>
      <c r="DS21" s="47">
        <f t="shared" si="25"/>
        <v>0.45309052328446109</v>
      </c>
      <c r="DT21" s="47">
        <f t="shared" si="26"/>
        <v>-0.45309052328446109</v>
      </c>
      <c r="DX21">
        <v>20</v>
      </c>
      <c r="DY21" s="19">
        <f t="shared" si="27"/>
        <v>-25.082412191468471</v>
      </c>
      <c r="EM21" s="21">
        <v>20</v>
      </c>
      <c r="EN21" s="16">
        <f t="shared" si="28"/>
        <v>1.0317924978449242</v>
      </c>
      <c r="EO21" s="16">
        <f t="shared" si="4"/>
        <v>4.6558634631168072</v>
      </c>
      <c r="EP21" s="16">
        <f t="shared" si="29"/>
        <v>-3.5988512682179938</v>
      </c>
      <c r="EQ21" s="16">
        <f t="shared" si="30"/>
        <v>14.660957028210195</v>
      </c>
      <c r="ER21" s="16">
        <f t="shared" si="31"/>
        <v>-2.6289886064735564</v>
      </c>
      <c r="ES21" s="16">
        <f t="shared" si="32"/>
        <v>-21.97310678828234</v>
      </c>
      <c r="ET21" s="16">
        <f t="shared" si="33"/>
        <v>-20.426548728351666</v>
      </c>
      <c r="EU21" s="16">
        <f t="shared" si="34"/>
        <v>25.675443241267935</v>
      </c>
      <c r="FK21" s="20"/>
      <c r="FL21" s="20"/>
    </row>
    <row r="22" spans="1:168" ht="14.4" thickBot="1" x14ac:dyDescent="0.35">
      <c r="A22" s="37" t="s">
        <v>51</v>
      </c>
      <c r="B22" s="38">
        <v>20</v>
      </c>
      <c r="C22" s="34">
        <f>RTD("fxbluelabs.excelrtd", , "21422436","@bh,AUDUSD,d1,close,20")</f>
        <v>0.65808</v>
      </c>
      <c r="D22" s="34">
        <f>RTD("fxbluelabs.excelrtd", , "21422436","@bh,AUDNZD,d1,close,20")</f>
        <v>1.1096200000000001</v>
      </c>
      <c r="E22" s="35">
        <f>RTD("fxbluelabs.excelrtd", , "21422436","@bh,AUDJPY,d1,close,20")</f>
        <v>101.274</v>
      </c>
      <c r="F22" s="34">
        <f>RTD("fxbluelabs.excelrtd", , "21422436","@bh,AUDCHF,d1,close,20")</f>
        <v>0.58248</v>
      </c>
      <c r="G22" s="34">
        <f>RTD("fxbluelabs.excelrtd", , "21422436","@bh,AUDCAD,d1,close,20")</f>
        <v>0.90856999999999999</v>
      </c>
      <c r="H22" s="34">
        <f>RTD("fxbluelabs.excelrtd", , "21422436","@bh,EURUSD,d1,close,20")</f>
        <v>1.08392</v>
      </c>
      <c r="I22" s="34">
        <f>RTD("fxbluelabs.excelrtd", , "21422436","@bh,EURCAD,d1,close,20")</f>
        <v>1.49654</v>
      </c>
      <c r="J22" s="34">
        <f>RTD("fxbluelabs.excelrtd", , "21422436","@bh,EURGBP,d1,close,20")</f>
        <v>0.83979999999999999</v>
      </c>
      <c r="K22" s="34">
        <f>RTD("fxbluelabs.excelrtd", , "21422436","@bh,EURCHF,d1,close,20")</f>
        <v>0.95943999999999996</v>
      </c>
      <c r="L22" s="35">
        <f>RTD("fxbluelabs.excelrtd", , "21422436","@bh,EURJPY,d1,close,20")</f>
        <v>166.81200000000001</v>
      </c>
      <c r="M22" s="34">
        <f>RTD("fxbluelabs.excelrtd", , "21422436","@bh,EURAUD,d1,close,20")</f>
        <v>1.6470199999999999</v>
      </c>
      <c r="N22" s="34">
        <f>RTD("fxbluelabs.excelrtd", , "21422436","@bh,EURNZD,d1,close,20")</f>
        <v>1.82785</v>
      </c>
      <c r="O22" s="34">
        <f>RTD("fxbluelabs.excelrtd", , "21422436","@bh,GBPUSD,d1,close,20")</f>
        <v>1.2906500000000001</v>
      </c>
      <c r="P22" s="34">
        <f>RTD("fxbluelabs.excelrtd", , "21422436","@bh,GBPAUD,d1,close,20")</f>
        <v>1.9611400000000001</v>
      </c>
      <c r="Q22" s="34">
        <f>RTD("fxbluelabs.excelrtd", , "21422436","@bh,GBPNZD,d1,close,20")</f>
        <v>2.1762100000000002</v>
      </c>
      <c r="R22" s="34">
        <f>RTD("fxbluelabs.excelrtd", , "21422436","@bh,GBPCAD,d1,close,20")</f>
        <v>1.78196</v>
      </c>
      <c r="S22" s="34">
        <f>RTD("fxbluelabs.excelrtd", , "21422436","@bh,GBPCHF,d1,close,20")</f>
        <v>1.14239</v>
      </c>
      <c r="T22" s="35">
        <f>RTD("fxbluelabs.excelrtd", , "21422436","@bh,GBPJPY,d1,close,20")</f>
        <v>198.624</v>
      </c>
      <c r="U22" s="35">
        <f>RTD("fxbluelabs.excelrtd", , "21422436","@bh,NZDJPY,d1,close,20")</f>
        <v>91.22</v>
      </c>
      <c r="V22" s="34">
        <f>RTD("fxbluelabs.excelrtd", , "21422436","@bh,NZDCHF,d1,close,20")</f>
        <v>0.52471000000000001</v>
      </c>
      <c r="W22" s="34">
        <f>RTD("fxbluelabs.excelrtd", , "21422436","@bh,NZDUSD,d1,close,20")</f>
        <v>0.59301000000000004</v>
      </c>
      <c r="X22" s="34">
        <f>RTD("fxbluelabs.excelrtd", , "21422436","@bh,NZDCAD,d1,close,20")</f>
        <v>0.81867999999999996</v>
      </c>
      <c r="Y22" s="35">
        <f>RTD("fxbluelabs.excelrtd", , "21422436","@bh,CADJPY,d1,close,20")</f>
        <v>111.459</v>
      </c>
      <c r="Z22" s="34">
        <f>RTD("fxbluelabs.excelrtd", , "21422436","@bh,CADCHF,d1,close,20")</f>
        <v>0.64105999999999996</v>
      </c>
      <c r="AA22" s="35">
        <f>RTD("fxbluelabs.excelrtd", , "21422436","@bh,CHFJPY,d1,close,20")</f>
        <v>173.84899999999999</v>
      </c>
      <c r="AB22" s="34">
        <f>RTD("fxbluelabs.excelrtd", , "21422436","@bh,USDCAD,d1,close,20")</f>
        <v>1.3807199999999999</v>
      </c>
      <c r="AC22" s="34">
        <f>RTD("fxbluelabs.excelrtd", , "21422436","@bh,USDCHF,d1,close,20")</f>
        <v>0.88514999999999999</v>
      </c>
      <c r="AD22" s="35">
        <f>RTD("fxbluelabs.excelrtd", , "21422436","@bh,USDJPY,d1,close,20")</f>
        <v>153.89699999999999</v>
      </c>
      <c r="AH22" s="13">
        <v>21</v>
      </c>
      <c r="AI22" s="27">
        <f t="shared" si="40"/>
        <v>-0.52753298970630369</v>
      </c>
      <c r="AJ22" s="27">
        <f t="shared" si="40"/>
        <v>-9.9034860270804423E-2</v>
      </c>
      <c r="AK22" s="27">
        <f t="shared" si="40"/>
        <v>-1.6117280172539477</v>
      </c>
      <c r="AL22" s="27">
        <f t="shared" si="40"/>
        <v>-1.2193260637305661</v>
      </c>
      <c r="AM22" s="27">
        <f t="shared" si="40"/>
        <v>-0.360801000153534</v>
      </c>
      <c r="AN22" s="27">
        <f t="shared" si="40"/>
        <v>-0.1271537823643174</v>
      </c>
      <c r="AO22" s="27">
        <f t="shared" si="40"/>
        <v>4.0108560503759098E-2</v>
      </c>
      <c r="AP22" s="27">
        <f t="shared" si="40"/>
        <v>-0.12368583797155712</v>
      </c>
      <c r="AQ22" s="27">
        <f t="shared" si="40"/>
        <v>-0.82282406450279899</v>
      </c>
      <c r="AR22" s="27">
        <f t="shared" si="40"/>
        <v>-1.2169340368455521</v>
      </c>
      <c r="AS22" s="27">
        <f t="shared" si="40"/>
        <v>0.4017239382356988</v>
      </c>
      <c r="AT22" s="27">
        <f t="shared" si="40"/>
        <v>0.30841331774803171</v>
      </c>
      <c r="AU22" s="27">
        <f t="shared" si="40"/>
        <v>-3.0991175262702867E-3</v>
      </c>
      <c r="AV22" s="27">
        <f t="shared" si="40"/>
        <v>0.5264317970956548</v>
      </c>
      <c r="AW22" s="27">
        <f t="shared" si="40"/>
        <v>0.42501153668668135</v>
      </c>
      <c r="AX22" s="27">
        <f t="shared" si="40"/>
        <v>0.16413346523968173</v>
      </c>
      <c r="AY22" s="27">
        <f t="shared" si="39"/>
        <v>-0.70059541918379387</v>
      </c>
      <c r="AZ22" s="27">
        <f t="shared" si="39"/>
        <v>-1.0940090926745722</v>
      </c>
      <c r="BA22" s="27">
        <f t="shared" si="39"/>
        <v>-1.5476935696246223</v>
      </c>
      <c r="BB22" s="27">
        <f t="shared" si="39"/>
        <v>-1.1473247927656443</v>
      </c>
      <c r="BC22" s="27">
        <f t="shared" si="39"/>
        <v>-0.43151213942710653</v>
      </c>
      <c r="BD22" s="27">
        <f t="shared" si="39"/>
        <v>-0.27043488853697162</v>
      </c>
      <c r="BE22" s="27">
        <f t="shared" si="39"/>
        <v>-1.2562346625087415</v>
      </c>
      <c r="BF22" s="27">
        <f t="shared" si="39"/>
        <v>-0.86292218235803997</v>
      </c>
      <c r="BG22" s="27">
        <f t="shared" si="39"/>
        <v>-0.39989229262033005</v>
      </c>
      <c r="BH22" s="27">
        <f t="shared" si="39"/>
        <v>0.16758439071103912</v>
      </c>
      <c r="BI22" s="27">
        <f t="shared" si="39"/>
        <v>-0.69668820678514276</v>
      </c>
      <c r="BJ22" s="27">
        <f t="shared" si="39"/>
        <v>-1.0912947074134822</v>
      </c>
      <c r="BN22">
        <v>21</v>
      </c>
      <c r="BO22" s="28">
        <f t="shared" si="5"/>
        <v>-2.6746987645944653</v>
      </c>
      <c r="BP22" s="28">
        <f t="shared" si="2"/>
        <v>-0.27546761989841873</v>
      </c>
      <c r="BQ22" s="28">
        <f t="shared" si="38"/>
        <v>-5.3221983325392168</v>
      </c>
      <c r="BR22" s="28">
        <f t="shared" si="38"/>
        <v>-3.8487011687335846</v>
      </c>
      <c r="BS22" s="28">
        <f t="shared" si="38"/>
        <v>-1.7696284987131943</v>
      </c>
      <c r="BT22" s="28">
        <f t="shared" si="38"/>
        <v>-0.50567743006724575</v>
      </c>
      <c r="BU22" s="28">
        <f t="shared" si="38"/>
        <v>0.40220567643192706</v>
      </c>
      <c r="BV22" s="28">
        <f t="shared" si="38"/>
        <v>-4.0101679139387572E-2</v>
      </c>
      <c r="BW22" s="28">
        <f t="shared" si="38"/>
        <v>-1.6878308247102671</v>
      </c>
      <c r="BX22" s="28">
        <f t="shared" si="38"/>
        <v>-3.1708209277254658</v>
      </c>
      <c r="BY22" s="28">
        <f t="shared" si="38"/>
        <v>2.1782483187578605</v>
      </c>
      <c r="BZ22" s="28">
        <f t="shared" si="38"/>
        <v>1.905637911438292</v>
      </c>
      <c r="CA22" s="28">
        <f t="shared" si="38"/>
        <v>-0.47079458893037684</v>
      </c>
      <c r="CB22" s="28">
        <f t="shared" si="38"/>
        <v>2.2146170346233744</v>
      </c>
      <c r="CC22" s="28">
        <f t="shared" si="38"/>
        <v>1.9345202726670987</v>
      </c>
      <c r="CD22" s="28">
        <f t="shared" si="38"/>
        <v>0.43729215965166834</v>
      </c>
      <c r="CE22" s="28">
        <f t="shared" si="38"/>
        <v>-1.6544644501547046</v>
      </c>
      <c r="CF22" s="28">
        <f t="shared" si="38"/>
        <v>-3.1329752722007949</v>
      </c>
      <c r="CG22" s="28">
        <f t="shared" si="38"/>
        <v>-5.089220659917137</v>
      </c>
      <c r="CH22" s="28">
        <f t="shared" si="38"/>
        <v>-3.6064915688028627</v>
      </c>
      <c r="CI22" s="28">
        <f t="shared" si="38"/>
        <v>-2.4002825989819088</v>
      </c>
      <c r="CJ22" s="28">
        <f t="shared" si="38"/>
        <v>-1.5010006062707604</v>
      </c>
      <c r="CK22" s="28">
        <f t="shared" si="38"/>
        <v>-3.5595717184528244</v>
      </c>
      <c r="CL22" s="28">
        <f t="shared" si="37"/>
        <v>-2.0839870035213384</v>
      </c>
      <c r="CM22" s="28">
        <f t="shared" si="37"/>
        <v>-1.4848394083172667</v>
      </c>
      <c r="CN22" s="28">
        <f t="shared" si="37"/>
        <v>0.91031896944478974</v>
      </c>
      <c r="CO22" s="28">
        <f t="shared" si="37"/>
        <v>-1.1770608709470651</v>
      </c>
      <c r="CP22" s="28">
        <f t="shared" si="37"/>
        <v>-2.6605345420539952</v>
      </c>
      <c r="CU22" s="13">
        <v>21</v>
      </c>
      <c r="CV22" s="29">
        <f t="shared" si="6"/>
        <v>-0.91833895501428664</v>
      </c>
      <c r="CW22" s="29">
        <f t="shared" si="7"/>
        <v>3.1241769390177261</v>
      </c>
      <c r="CX22" s="29">
        <f t="shared" si="8"/>
        <v>-4.1227464225185928</v>
      </c>
      <c r="CY22" s="29">
        <f t="shared" si="9"/>
        <v>10.489709475031217</v>
      </c>
      <c r="CZ22" s="29">
        <f t="shared" si="10"/>
        <v>-0.63170316520434722</v>
      </c>
      <c r="DA22" s="29">
        <f t="shared" si="11"/>
        <v>-18.283559737860113</v>
      </c>
      <c r="DB22" s="29">
        <f t="shared" si="12"/>
        <v>-16.161685998179642</v>
      </c>
      <c r="DC22" s="29">
        <f t="shared" si="13"/>
        <v>24.4201608612067</v>
      </c>
      <c r="DF22" s="48">
        <v>21</v>
      </c>
      <c r="DG22" s="49">
        <f t="shared" si="36"/>
        <v>0.91031896944478974</v>
      </c>
      <c r="DH22" s="49">
        <f t="shared" si="14"/>
        <v>0.40220567643192706</v>
      </c>
      <c r="DI22" s="49">
        <f t="shared" si="15"/>
        <v>-1.1770608709470651</v>
      </c>
      <c r="DJ22" s="49">
        <f t="shared" si="16"/>
        <v>-1.6878308247102671</v>
      </c>
      <c r="DK22" s="49">
        <f t="shared" si="17"/>
        <v>0.47079458893037684</v>
      </c>
      <c r="DL22" s="49">
        <f t="shared" si="18"/>
        <v>-4.0101679139387572E-2</v>
      </c>
      <c r="DM22" s="49">
        <f t="shared" si="19"/>
        <v>2.6746987645944653</v>
      </c>
      <c r="DN22" s="49">
        <f t="shared" si="20"/>
        <v>2.1782483187578605</v>
      </c>
      <c r="DO22" s="49">
        <f t="shared" si="21"/>
        <v>2.4002825989819088</v>
      </c>
      <c r="DP22" s="49">
        <f t="shared" si="22"/>
        <v>1.905637911438292</v>
      </c>
      <c r="DQ22" s="49">
        <f t="shared" si="23"/>
        <v>-2.6605345420539952</v>
      </c>
      <c r="DR22" s="49">
        <f t="shared" si="24"/>
        <v>-3.1708209277254658</v>
      </c>
      <c r="DS22" s="49">
        <f t="shared" si="25"/>
        <v>0.50567743006724575</v>
      </c>
      <c r="DT22" s="49">
        <f t="shared" si="26"/>
        <v>-0.50567743006724575</v>
      </c>
      <c r="DX22">
        <v>21</v>
      </c>
      <c r="DY22" s="19">
        <f t="shared" si="27"/>
        <v>-19.285862937197368</v>
      </c>
      <c r="EM22" s="13">
        <v>21</v>
      </c>
      <c r="EN22" s="16">
        <f t="shared" si="28"/>
        <v>-0.91833895501428664</v>
      </c>
      <c r="EO22" s="16">
        <f t="shared" si="4"/>
        <v>3.1241769390177261</v>
      </c>
      <c r="EP22" s="16">
        <f t="shared" si="29"/>
        <v>-4.1227464225185928</v>
      </c>
      <c r="EQ22" s="16">
        <f t="shared" si="30"/>
        <v>10.489709475031217</v>
      </c>
      <c r="ER22" s="16">
        <f t="shared" si="31"/>
        <v>-0.63170316520434722</v>
      </c>
      <c r="ES22" s="16">
        <f t="shared" si="32"/>
        <v>-18.283559737860113</v>
      </c>
      <c r="ET22" s="16">
        <f t="shared" si="33"/>
        <v>-16.161685998179642</v>
      </c>
      <c r="EU22" s="16">
        <f t="shared" si="34"/>
        <v>24.4201608612067</v>
      </c>
      <c r="FK22" s="20"/>
      <c r="FL22" s="20"/>
    </row>
    <row r="23" spans="1:168" ht="14.4" thickBot="1" x14ac:dyDescent="0.35">
      <c r="A23" s="37" t="s">
        <v>51</v>
      </c>
      <c r="B23" s="38">
        <v>21</v>
      </c>
      <c r="C23" s="34">
        <f>RTD("fxbluelabs.excelrtd", , "21422436","@bh,AUDUSD,d1,close,21")</f>
        <v>0.66156999999999999</v>
      </c>
      <c r="D23" s="34">
        <f>RTD("fxbluelabs.excelrtd", , "21422436","@bh,AUDNZD,d1,close,21")</f>
        <v>1.1107199999999999</v>
      </c>
      <c r="E23" s="35">
        <f>RTD("fxbluelabs.excelrtd", , "21422436","@bh,AUDJPY,d1,close,21")</f>
        <v>102.93300000000001</v>
      </c>
      <c r="F23" s="34">
        <f>RTD("fxbluelabs.excelrtd", , "21422436","@bh,AUDCHF,d1,close,21")</f>
        <v>0.58967000000000003</v>
      </c>
      <c r="G23" s="34">
        <f>RTD("fxbluelabs.excelrtd", , "21422436","@bh,AUDCAD,d1,close,21")</f>
        <v>0.91186</v>
      </c>
      <c r="H23" s="34">
        <f>RTD("fxbluelabs.excelrtd", , "21422436","@bh,EURUSD,d1,close,21")</f>
        <v>1.0852999999999999</v>
      </c>
      <c r="I23" s="34">
        <f>RTD("fxbluelabs.excelrtd", , "21422436","@bh,EURCAD,d1,close,21")</f>
        <v>1.49594</v>
      </c>
      <c r="J23" s="34">
        <f>RTD("fxbluelabs.excelrtd", , "21422436","@bh,EURGBP,d1,close,21")</f>
        <v>0.84084000000000003</v>
      </c>
      <c r="K23" s="34">
        <f>RTD("fxbluelabs.excelrtd", , "21422436","@bh,EURCHF,d1,close,21")</f>
        <v>0.96740000000000004</v>
      </c>
      <c r="L23" s="35">
        <f>RTD("fxbluelabs.excelrtd", , "21422436","@bh,EURJPY,d1,close,21")</f>
        <v>168.86699999999999</v>
      </c>
      <c r="M23" s="34">
        <f>RTD("fxbluelabs.excelrtd", , "21422436","@bh,EURAUD,d1,close,21")</f>
        <v>1.6404300000000001</v>
      </c>
      <c r="N23" s="34">
        <f>RTD("fxbluelabs.excelrtd", , "21422436","@bh,EURNZD,d1,close,21")</f>
        <v>1.82223</v>
      </c>
      <c r="O23" s="34">
        <f>RTD("fxbluelabs.excelrtd", , "21422436","@bh,GBPUSD,d1,close,21")</f>
        <v>1.2906899999999999</v>
      </c>
      <c r="P23" s="34">
        <f>RTD("fxbluelabs.excelrtd", , "21422436","@bh,GBPAUD,d1,close,21")</f>
        <v>1.9508700000000001</v>
      </c>
      <c r="Q23" s="34">
        <f>RTD("fxbluelabs.excelrtd", , "21422436","@bh,GBPNZD,d1,close,21")</f>
        <v>2.1669999999999998</v>
      </c>
      <c r="R23" s="34">
        <f>RTD("fxbluelabs.excelrtd", , "21422436","@bh,GBPCAD,d1,close,21")</f>
        <v>1.77904</v>
      </c>
      <c r="S23" s="34">
        <f>RTD("fxbluelabs.excelrtd", , "21422436","@bh,GBPCHF,d1,close,21")</f>
        <v>1.15045</v>
      </c>
      <c r="T23" s="35">
        <f>RTD("fxbluelabs.excelrtd", , "21422436","@bh,GBPJPY,d1,close,21")</f>
        <v>200.821</v>
      </c>
      <c r="U23" s="35">
        <f>RTD("fxbluelabs.excelrtd", , "21422436","@bh,NZDJPY,d1,close,21")</f>
        <v>92.653999999999996</v>
      </c>
      <c r="V23" s="34">
        <f>RTD("fxbluelabs.excelrtd", , "21422436","@bh,NZDCHF,d1,close,21")</f>
        <v>0.53080000000000005</v>
      </c>
      <c r="W23" s="34">
        <f>RTD("fxbluelabs.excelrtd", , "21422436","@bh,NZDUSD,d1,close,21")</f>
        <v>0.59558</v>
      </c>
      <c r="X23" s="34">
        <f>RTD("fxbluelabs.excelrtd", , "21422436","@bh,NZDCAD,d1,close,21")</f>
        <v>0.82089999999999996</v>
      </c>
      <c r="Y23" s="35">
        <f>RTD("fxbluelabs.excelrtd", , "21422436","@bh,CADJPY,d1,close,21")</f>
        <v>112.877</v>
      </c>
      <c r="Z23" s="34">
        <f>RTD("fxbluelabs.excelrtd", , "21422436","@bh,CADCHF,d1,close,21")</f>
        <v>0.64663999999999999</v>
      </c>
      <c r="AA23" s="35">
        <f>RTD("fxbluelabs.excelrtd", , "21422436","@bh,CHFJPY,d1,close,21")</f>
        <v>174.547</v>
      </c>
      <c r="AB23" s="34">
        <f>RTD("fxbluelabs.excelrtd", , "21422436","@bh,USDCAD,d1,close,21")</f>
        <v>1.3784099999999999</v>
      </c>
      <c r="AC23" s="34">
        <f>RTD("fxbluelabs.excelrtd", , "21422436","@bh,USDCHF,d1,close,21")</f>
        <v>0.89136000000000004</v>
      </c>
      <c r="AD23" s="35">
        <f>RTD("fxbluelabs.excelrtd", , "21422436","@bh,USDJPY,d1,close,21")</f>
        <v>155.595</v>
      </c>
      <c r="AH23" s="21">
        <v>22</v>
      </c>
      <c r="AI23" s="22">
        <f t="shared" si="40"/>
        <v>-0.40196314585090642</v>
      </c>
      <c r="AJ23" s="22">
        <f t="shared" si="40"/>
        <v>-1.8003096532601626E-2</v>
      </c>
      <c r="AK23" s="22">
        <f t="shared" si="40"/>
        <v>-1.3333461140293617</v>
      </c>
      <c r="AL23" s="22">
        <f t="shared" si="40"/>
        <v>-0.20984583100641702</v>
      </c>
      <c r="AM23" s="22">
        <f t="shared" si="40"/>
        <v>-0.20683994528043201</v>
      </c>
      <c r="AN23" s="22">
        <f t="shared" si="40"/>
        <v>-0.34433680730913563</v>
      </c>
      <c r="AO23" s="22">
        <f t="shared" si="40"/>
        <v>-0.14951474455673014</v>
      </c>
      <c r="AP23" s="22">
        <f t="shared" si="40"/>
        <v>-0.1448827874498253</v>
      </c>
      <c r="AQ23" s="22">
        <f t="shared" si="40"/>
        <v>-0.15069256652148058</v>
      </c>
      <c r="AR23" s="22">
        <f t="shared" si="40"/>
        <v>-1.2750806791076257</v>
      </c>
      <c r="AS23" s="22">
        <f t="shared" si="40"/>
        <v>5.7334902927139719E-2</v>
      </c>
      <c r="AT23" s="22">
        <f t="shared" si="40"/>
        <v>4.0076859730997498E-2</v>
      </c>
      <c r="AU23" s="22">
        <f t="shared" si="40"/>
        <v>-0.20643904249398251</v>
      </c>
      <c r="AV23" s="22">
        <f t="shared" si="40"/>
        <v>0.1956796400727297</v>
      </c>
      <c r="AW23" s="22">
        <f t="shared" si="40"/>
        <v>0.1789074165676402</v>
      </c>
      <c r="AX23" s="22">
        <f t="shared" si="40"/>
        <v>-1.0678776774230117E-2</v>
      </c>
      <c r="AY23" s="22">
        <f t="shared" si="39"/>
        <v>-1.2167670499485394E-2</v>
      </c>
      <c r="AZ23" s="22">
        <f t="shared" si="39"/>
        <v>-1.1386572410330069</v>
      </c>
      <c r="BA23" s="22">
        <f t="shared" si="39"/>
        <v>-1.3090761905776331</v>
      </c>
      <c r="BB23" s="22">
        <f t="shared" si="39"/>
        <v>-0.18428673511602181</v>
      </c>
      <c r="BC23" s="22">
        <f t="shared" si="39"/>
        <v>-0.37802756590392739</v>
      </c>
      <c r="BD23" s="22">
        <f t="shared" si="39"/>
        <v>-0.18360671684439772</v>
      </c>
      <c r="BE23" s="22">
        <f t="shared" si="39"/>
        <v>-1.1316557033870855</v>
      </c>
      <c r="BF23" s="22">
        <f t="shared" si="39"/>
        <v>-4.6391513445767536E-3</v>
      </c>
      <c r="BG23" s="22">
        <f t="shared" si="39"/>
        <v>-1.1233218149889561</v>
      </c>
      <c r="BH23" s="22">
        <f t="shared" si="39"/>
        <v>0.19626229365199968</v>
      </c>
      <c r="BI23" s="22">
        <f t="shared" si="39"/>
        <v>0.19446286658498582</v>
      </c>
      <c r="BJ23" s="22">
        <f t="shared" si="39"/>
        <v>-0.93402605340566969</v>
      </c>
      <c r="BN23">
        <v>22</v>
      </c>
      <c r="BO23" s="23">
        <f t="shared" si="5"/>
        <v>-2.1471657748881614</v>
      </c>
      <c r="BP23" s="23">
        <f t="shared" si="2"/>
        <v>-0.17643275962761429</v>
      </c>
      <c r="BQ23" s="23">
        <f t="shared" si="38"/>
        <v>-3.7104703152852681</v>
      </c>
      <c r="BR23" s="23">
        <f t="shared" si="38"/>
        <v>-2.6293751050030183</v>
      </c>
      <c r="BS23" s="23">
        <f t="shared" si="38"/>
        <v>-1.4088274985596605</v>
      </c>
      <c r="BT23" s="23">
        <f t="shared" si="38"/>
        <v>-0.3785236477029284</v>
      </c>
      <c r="BU23" s="23">
        <f t="shared" si="38"/>
        <v>0.36209711592816801</v>
      </c>
      <c r="BV23" s="23">
        <f t="shared" si="38"/>
        <v>8.3584158832169547E-2</v>
      </c>
      <c r="BW23" s="23">
        <f t="shared" si="38"/>
        <v>-0.86500676020746814</v>
      </c>
      <c r="BX23" s="23">
        <f t="shared" si="38"/>
        <v>-1.9538868908799136</v>
      </c>
      <c r="BY23" s="23">
        <f t="shared" si="38"/>
        <v>1.7765243805221616</v>
      </c>
      <c r="BZ23" s="23">
        <f t="shared" si="38"/>
        <v>1.5972245936902603</v>
      </c>
      <c r="CA23" s="23">
        <f t="shared" si="38"/>
        <v>-0.46769547140410661</v>
      </c>
      <c r="CB23" s="23">
        <f t="shared" si="38"/>
        <v>1.6881852375277198</v>
      </c>
      <c r="CC23" s="23">
        <f t="shared" si="38"/>
        <v>1.5095087359804178</v>
      </c>
      <c r="CD23" s="23">
        <f t="shared" si="38"/>
        <v>0.27315869441198659</v>
      </c>
      <c r="CE23" s="23">
        <f t="shared" si="38"/>
        <v>-0.95386903097091091</v>
      </c>
      <c r="CF23" s="23">
        <f t="shared" si="38"/>
        <v>-2.0389661795262226</v>
      </c>
      <c r="CG23" s="23">
        <f t="shared" si="38"/>
        <v>-3.5415270902925151</v>
      </c>
      <c r="CH23" s="23">
        <f t="shared" si="38"/>
        <v>-2.4591667760372191</v>
      </c>
      <c r="CI23" s="23">
        <f t="shared" si="38"/>
        <v>-1.9687704595548026</v>
      </c>
      <c r="CJ23" s="23">
        <f t="shared" si="38"/>
        <v>-1.2305657177337888</v>
      </c>
      <c r="CK23" s="23">
        <f t="shared" si="38"/>
        <v>-2.3033370559440822</v>
      </c>
      <c r="CL23" s="23">
        <f t="shared" si="37"/>
        <v>-1.2210648211632984</v>
      </c>
      <c r="CM23" s="23">
        <f t="shared" si="37"/>
        <v>-1.0849471156969366</v>
      </c>
      <c r="CN23" s="23">
        <f t="shared" si="37"/>
        <v>0.74273457873375059</v>
      </c>
      <c r="CO23" s="23">
        <f t="shared" si="37"/>
        <v>-0.48037266416192259</v>
      </c>
      <c r="CP23" s="23">
        <f t="shared" si="37"/>
        <v>-1.5692398346405128</v>
      </c>
      <c r="CU23" s="21">
        <v>22</v>
      </c>
      <c r="CV23" s="24">
        <f t="shared" si="6"/>
        <v>0.62201295018244895</v>
      </c>
      <c r="CW23" s="24">
        <f t="shared" si="7"/>
        <v>3.6552774334813138</v>
      </c>
      <c r="CX23" s="24">
        <f t="shared" si="8"/>
        <v>-2.2629990498878358</v>
      </c>
      <c r="CY23" s="24">
        <f t="shared" si="9"/>
        <v>6.3028432206836023</v>
      </c>
      <c r="CZ23" s="24">
        <f t="shared" si="10"/>
        <v>-7.3262172813285426E-2</v>
      </c>
      <c r="DA23" s="24">
        <f t="shared" si="11"/>
        <v>-13.536981071413603</v>
      </c>
      <c r="DB23" s="24">
        <f t="shared" si="12"/>
        <v>-12.130330613661389</v>
      </c>
      <c r="DC23" s="24">
        <f t="shared" si="13"/>
        <v>16.202374482265451</v>
      </c>
      <c r="DF23" s="46">
        <v>22</v>
      </c>
      <c r="DG23" s="47">
        <f t="shared" si="36"/>
        <v>0.74273457873375059</v>
      </c>
      <c r="DH23" s="47">
        <f t="shared" si="14"/>
        <v>0.36209711592816801</v>
      </c>
      <c r="DI23" s="47">
        <f t="shared" si="15"/>
        <v>-0.48037266416192259</v>
      </c>
      <c r="DJ23" s="47">
        <f t="shared" si="16"/>
        <v>-0.86500676020746814</v>
      </c>
      <c r="DK23" s="47">
        <f t="shared" si="17"/>
        <v>0.46769547140410661</v>
      </c>
      <c r="DL23" s="47">
        <f t="shared" si="18"/>
        <v>8.3584158832169547E-2</v>
      </c>
      <c r="DM23" s="47">
        <f t="shared" si="19"/>
        <v>2.1471657748881614</v>
      </c>
      <c r="DN23" s="47">
        <f t="shared" si="20"/>
        <v>1.7765243805221616</v>
      </c>
      <c r="DO23" s="47">
        <f t="shared" si="21"/>
        <v>1.9687704595548026</v>
      </c>
      <c r="DP23" s="47">
        <f t="shared" si="22"/>
        <v>1.5972245936902603</v>
      </c>
      <c r="DQ23" s="47">
        <f t="shared" si="23"/>
        <v>-1.5692398346405128</v>
      </c>
      <c r="DR23" s="47">
        <f t="shared" si="24"/>
        <v>-1.9538868908799136</v>
      </c>
      <c r="DS23" s="47">
        <f t="shared" si="25"/>
        <v>0.3785236477029284</v>
      </c>
      <c r="DT23" s="47">
        <f t="shared" si="26"/>
        <v>-0.3785236477029284</v>
      </c>
      <c r="DX23">
        <v>22</v>
      </c>
      <c r="DY23" s="19">
        <f t="shared" si="27"/>
        <v>-15.785608047142702</v>
      </c>
      <c r="EM23" s="21">
        <v>22</v>
      </c>
      <c r="EN23" s="16">
        <f t="shared" si="28"/>
        <v>0.62201295018244895</v>
      </c>
      <c r="EO23" s="16">
        <f t="shared" si="4"/>
        <v>3.6552774334813138</v>
      </c>
      <c r="EP23" s="16">
        <f t="shared" si="29"/>
        <v>-2.2629990498878358</v>
      </c>
      <c r="EQ23" s="16">
        <f t="shared" si="30"/>
        <v>6.3028432206836023</v>
      </c>
      <c r="ER23" s="16">
        <f t="shared" si="31"/>
        <v>-7.3262172813285426E-2</v>
      </c>
      <c r="ES23" s="16">
        <f t="shared" si="32"/>
        <v>-13.536981071413603</v>
      </c>
      <c r="ET23" s="16">
        <f t="shared" si="33"/>
        <v>-12.130330613661389</v>
      </c>
      <c r="EU23" s="16">
        <f t="shared" si="34"/>
        <v>16.202374482265451</v>
      </c>
      <c r="FK23" s="20"/>
      <c r="FL23" s="20"/>
    </row>
    <row r="24" spans="1:168" ht="14.4" thickBot="1" x14ac:dyDescent="0.35">
      <c r="A24" s="37" t="s">
        <v>51</v>
      </c>
      <c r="B24" s="38">
        <v>22</v>
      </c>
      <c r="C24" s="34">
        <f>RTD("fxbluelabs.excelrtd", , "21422436","@bh,AUDUSD,d1,close,22")</f>
        <v>0.66424000000000005</v>
      </c>
      <c r="D24" s="34">
        <f>RTD("fxbluelabs.excelrtd", , "21422436","@bh,AUDNZD,d1,close,22")</f>
        <v>1.1109199999999999</v>
      </c>
      <c r="E24" s="35">
        <f>RTD("fxbluelabs.excelrtd", , "21422436","@bh,AUDJPY,d1,close,22")</f>
        <v>104.324</v>
      </c>
      <c r="F24" s="34">
        <f>RTD("fxbluelabs.excelrtd", , "21422436","@bh,AUDCHF,d1,close,22")</f>
        <v>0.59091000000000005</v>
      </c>
      <c r="G24" s="34">
        <f>RTD("fxbluelabs.excelrtd", , "21422436","@bh,AUDCAD,d1,close,22")</f>
        <v>0.91374999999999995</v>
      </c>
      <c r="H24" s="34">
        <f>RTD("fxbluelabs.excelrtd", , "21422436","@bh,EURUSD,d1,close,22")</f>
        <v>1.0890500000000001</v>
      </c>
      <c r="I24" s="34">
        <f>RTD("fxbluelabs.excelrtd", , "21422436","@bh,EURCAD,d1,close,22")</f>
        <v>1.4981800000000001</v>
      </c>
      <c r="J24" s="34">
        <f>RTD("fxbluelabs.excelrtd", , "21422436","@bh,EURGBP,d1,close,22")</f>
        <v>0.84206000000000003</v>
      </c>
      <c r="K24" s="34">
        <f>RTD("fxbluelabs.excelrtd", , "21422436","@bh,EURCHF,d1,close,22")</f>
        <v>0.96886000000000005</v>
      </c>
      <c r="L24" s="35">
        <f>RTD("fxbluelabs.excelrtd", , "21422436","@bh,EURJPY,d1,close,22")</f>
        <v>171.048</v>
      </c>
      <c r="M24" s="34">
        <f>RTD("fxbluelabs.excelrtd", , "21422436","@bh,EURAUD,d1,close,22")</f>
        <v>1.6394899999999999</v>
      </c>
      <c r="N24" s="34">
        <f>RTD("fxbluelabs.excelrtd", , "21422436","@bh,EURNZD,d1,close,22")</f>
        <v>1.8214999999999999</v>
      </c>
      <c r="O24" s="34">
        <f>RTD("fxbluelabs.excelrtd", , "21422436","@bh,GBPUSD,d1,close,22")</f>
        <v>1.2933600000000001</v>
      </c>
      <c r="P24" s="34">
        <f>RTD("fxbluelabs.excelrtd", , "21422436","@bh,GBPAUD,d1,close,22")</f>
        <v>1.94706</v>
      </c>
      <c r="Q24" s="34">
        <f>RTD("fxbluelabs.excelrtd", , "21422436","@bh,GBPNZD,d1,close,22")</f>
        <v>2.1631300000000002</v>
      </c>
      <c r="R24" s="34">
        <f>RTD("fxbluelabs.excelrtd", , "21422436","@bh,GBPCAD,d1,close,22")</f>
        <v>1.7792300000000001</v>
      </c>
      <c r="S24" s="34">
        <f>RTD("fxbluelabs.excelrtd", , "21422436","@bh,GBPCHF,d1,close,22")</f>
        <v>1.15059</v>
      </c>
      <c r="T24" s="35">
        <f>RTD("fxbluelabs.excelrtd", , "21422436","@bh,GBPJPY,d1,close,22")</f>
        <v>203.13399999999999</v>
      </c>
      <c r="U24" s="35">
        <f>RTD("fxbluelabs.excelrtd", , "21422436","@bh,NZDJPY,d1,close,22")</f>
        <v>93.882999999999996</v>
      </c>
      <c r="V24" s="34">
        <f>RTD("fxbluelabs.excelrtd", , "21422436","@bh,NZDCHF,d1,close,22")</f>
        <v>0.53178000000000003</v>
      </c>
      <c r="W24" s="34">
        <f>RTD("fxbluelabs.excelrtd", , "21422436","@bh,NZDUSD,d1,close,22")</f>
        <v>0.59784000000000004</v>
      </c>
      <c r="X24" s="34">
        <f>RTD("fxbluelabs.excelrtd", , "21422436","@bh,NZDCAD,d1,close,22")</f>
        <v>0.82240999999999997</v>
      </c>
      <c r="Y24" s="35">
        <f>RTD("fxbluelabs.excelrtd", , "21422436","@bh,CADJPY,d1,close,22")</f>
        <v>114.169</v>
      </c>
      <c r="Z24" s="34">
        <f>RTD("fxbluelabs.excelrtd", , "21422436","@bh,CADCHF,d1,close,22")</f>
        <v>0.64666999999999997</v>
      </c>
      <c r="AA24" s="35">
        <f>RTD("fxbluelabs.excelrtd", , "21422436","@bh,CHFJPY,d1,close,22")</f>
        <v>176.53</v>
      </c>
      <c r="AB24" s="34">
        <f>RTD("fxbluelabs.excelrtd", , "21422436","@bh,USDCAD,d1,close,22")</f>
        <v>1.37571</v>
      </c>
      <c r="AC24" s="34">
        <f>RTD("fxbluelabs.excelrtd", , "21422436","@bh,USDCHF,d1,close,22")</f>
        <v>0.88963000000000003</v>
      </c>
      <c r="AD24" s="35">
        <f>RTD("fxbluelabs.excelrtd", , "21422436","@bh,USDJPY,d1,close,22")</f>
        <v>157.06200000000001</v>
      </c>
      <c r="AH24" s="21">
        <v>23</v>
      </c>
      <c r="AI24" s="27">
        <f t="shared" si="40"/>
        <v>-0.62238180730100856</v>
      </c>
      <c r="AJ24" s="27">
        <f t="shared" si="40"/>
        <v>-0.11778139413611792</v>
      </c>
      <c r="AK24" s="27">
        <f t="shared" si="40"/>
        <v>-0.90805471124620352</v>
      </c>
      <c r="AL24" s="27">
        <f t="shared" si="40"/>
        <v>-0.5402948899212171</v>
      </c>
      <c r="AM24" s="27">
        <f t="shared" si="40"/>
        <v>-0.42825385755384227</v>
      </c>
      <c r="AN24" s="27">
        <f t="shared" si="40"/>
        <v>7.4432110563844134E-2</v>
      </c>
      <c r="AO24" s="27">
        <f t="shared" si="40"/>
        <v>0.27173185554039669</v>
      </c>
      <c r="AP24" s="27">
        <f t="shared" si="40"/>
        <v>-7.7132109503854046E-2</v>
      </c>
      <c r="AQ24" s="27">
        <f t="shared" si="40"/>
        <v>0.16334463650649511</v>
      </c>
      <c r="AR24" s="27">
        <f t="shared" si="40"/>
        <v>-0.19313918274700451</v>
      </c>
      <c r="AS24" s="27">
        <f t="shared" si="40"/>
        <v>0.7156723019461334</v>
      </c>
      <c r="AT24" s="27">
        <f t="shared" si="40"/>
        <v>0.58534430393726566</v>
      </c>
      <c r="AU24" s="27">
        <f t="shared" si="40"/>
        <v>0.16573473149424814</v>
      </c>
      <c r="AV24" s="27">
        <f t="shared" si="40"/>
        <v>0.80820109244350746</v>
      </c>
      <c r="AW24" s="27">
        <f t="shared" si="40"/>
        <v>0.67438007297641001</v>
      </c>
      <c r="AX24" s="27">
        <f t="shared" si="40"/>
        <v>0.36326919714122941</v>
      </c>
      <c r="AY24" s="27">
        <f t="shared" si="39"/>
        <v>0.24831407810131381</v>
      </c>
      <c r="AZ24" s="27">
        <f t="shared" si="39"/>
        <v>-0.12193802794741858</v>
      </c>
      <c r="BA24" s="27">
        <f t="shared" si="39"/>
        <v>-0.79777679156365267</v>
      </c>
      <c r="BB24" s="27">
        <f t="shared" si="39"/>
        <v>-0.42878274383508042</v>
      </c>
      <c r="BC24" s="27">
        <f t="shared" si="39"/>
        <v>-0.49764492452106873</v>
      </c>
      <c r="BD24" s="27">
        <f t="shared" si="39"/>
        <v>-0.30427192939921593</v>
      </c>
      <c r="BE24" s="27">
        <f t="shared" si="39"/>
        <v>-0.47856482853606808</v>
      </c>
      <c r="BF24" s="27">
        <f t="shared" si="39"/>
        <v>-0.10967283512002046</v>
      </c>
      <c r="BG24" s="27">
        <f t="shared" si="39"/>
        <v>-0.35504828995421667</v>
      </c>
      <c r="BH24" s="27">
        <f t="shared" si="39"/>
        <v>0.19591848625657904</v>
      </c>
      <c r="BI24" s="27">
        <f t="shared" si="39"/>
        <v>8.0998076295694041E-2</v>
      </c>
      <c r="BJ24" s="27">
        <f t="shared" si="39"/>
        <v>-0.28759165793732316</v>
      </c>
      <c r="BN24">
        <v>23</v>
      </c>
      <c r="BO24" s="28">
        <f t="shared" si="5"/>
        <v>-1.7452026290372551</v>
      </c>
      <c r="BP24" s="28">
        <f t="shared" si="2"/>
        <v>-0.15842966309501263</v>
      </c>
      <c r="BQ24" s="28">
        <f t="shared" si="38"/>
        <v>-2.3771242012559068</v>
      </c>
      <c r="BR24" s="28">
        <f t="shared" si="38"/>
        <v>-2.4195292739966012</v>
      </c>
      <c r="BS24" s="28">
        <f t="shared" si="38"/>
        <v>-1.2019875532792281</v>
      </c>
      <c r="BT24" s="28">
        <f t="shared" ref="BT24:CK28" si="41">AN24+SUM(AN25:AN59)</f>
        <v>-3.4186840393792758E-2</v>
      </c>
      <c r="BU24" s="28">
        <f t="shared" si="41"/>
        <v>0.51161186048489815</v>
      </c>
      <c r="BV24" s="28">
        <f t="shared" si="41"/>
        <v>0.22846694628199485</v>
      </c>
      <c r="BW24" s="28">
        <f t="shared" si="41"/>
        <v>-0.71431419368598759</v>
      </c>
      <c r="BX24" s="28">
        <f t="shared" si="41"/>
        <v>-0.67880621177228795</v>
      </c>
      <c r="BY24" s="28">
        <f t="shared" si="41"/>
        <v>1.7191894775950218</v>
      </c>
      <c r="BZ24" s="28">
        <f t="shared" si="41"/>
        <v>1.5571477339592628</v>
      </c>
      <c r="CA24" s="28">
        <f t="shared" si="41"/>
        <v>-0.26125642891012413</v>
      </c>
      <c r="CB24" s="28">
        <f t="shared" si="41"/>
        <v>1.4925055974549903</v>
      </c>
      <c r="CC24" s="28">
        <f t="shared" si="41"/>
        <v>1.3306013194127773</v>
      </c>
      <c r="CD24" s="28">
        <f t="shared" si="41"/>
        <v>0.28383747118621672</v>
      </c>
      <c r="CE24" s="28">
        <f t="shared" si="41"/>
        <v>-0.9417013604714255</v>
      </c>
      <c r="CF24" s="28">
        <f t="shared" si="41"/>
        <v>-0.90030893849321558</v>
      </c>
      <c r="CG24" s="28">
        <f t="shared" si="41"/>
        <v>-2.2324508997148818</v>
      </c>
      <c r="CH24" s="28">
        <f t="shared" si="41"/>
        <v>-2.2748800409211967</v>
      </c>
      <c r="CI24" s="28">
        <f t="shared" si="41"/>
        <v>-1.5907428936508752</v>
      </c>
      <c r="CJ24" s="28">
        <f t="shared" si="41"/>
        <v>-1.046959000889391</v>
      </c>
      <c r="CK24" s="28">
        <f t="shared" si="41"/>
        <v>-1.1716813525569969</v>
      </c>
      <c r="CL24" s="28">
        <f t="shared" si="37"/>
        <v>-1.2164256698187215</v>
      </c>
      <c r="CM24" s="28">
        <f t="shared" si="37"/>
        <v>3.8374699292019421E-2</v>
      </c>
      <c r="CN24" s="28">
        <f t="shared" si="37"/>
        <v>0.54647228508175094</v>
      </c>
      <c r="CO24" s="28">
        <f t="shared" si="37"/>
        <v>-0.67483553074690839</v>
      </c>
      <c r="CP24" s="28">
        <f t="shared" si="37"/>
        <v>-0.63521378123484307</v>
      </c>
      <c r="CU24" s="21">
        <v>23</v>
      </c>
      <c r="CV24" s="29">
        <f t="shared" si="6"/>
        <v>2.5891087724691095</v>
      </c>
      <c r="CW24" s="29">
        <f t="shared" si="7"/>
        <v>2.8678117650920467</v>
      </c>
      <c r="CX24" s="29">
        <f t="shared" si="8"/>
        <v>-1.4810820849599655</v>
      </c>
      <c r="CY24" s="29">
        <f t="shared" si="9"/>
        <v>7.0636350991141379</v>
      </c>
      <c r="CZ24" s="29">
        <f t="shared" si="10"/>
        <v>0.77521071389722418</v>
      </c>
      <c r="DA24" s="29">
        <f t="shared" si="11"/>
        <v>-11.113968395714016</v>
      </c>
      <c r="DB24" s="29">
        <f t="shared" si="12"/>
        <v>-9.8743522254533715</v>
      </c>
      <c r="DC24" s="29">
        <f t="shared" si="13"/>
        <v>7.9572106857361122</v>
      </c>
      <c r="DF24" s="48">
        <v>23</v>
      </c>
      <c r="DG24" s="49">
        <f t="shared" si="36"/>
        <v>0.54647228508175094</v>
      </c>
      <c r="DH24" s="49">
        <f t="shared" si="14"/>
        <v>0.51161186048489815</v>
      </c>
      <c r="DI24" s="49">
        <f t="shared" si="15"/>
        <v>-0.67483553074690839</v>
      </c>
      <c r="DJ24" s="49">
        <f t="shared" si="16"/>
        <v>-0.71431419368598759</v>
      </c>
      <c r="DK24" s="49">
        <f t="shared" si="17"/>
        <v>0.26125642891012413</v>
      </c>
      <c r="DL24" s="49">
        <f t="shared" si="18"/>
        <v>0.22846694628199485</v>
      </c>
      <c r="DM24" s="49">
        <f t="shared" si="19"/>
        <v>1.7452026290372551</v>
      </c>
      <c r="DN24" s="49">
        <f t="shared" si="20"/>
        <v>1.7191894775950218</v>
      </c>
      <c r="DO24" s="49">
        <f t="shared" si="21"/>
        <v>1.5907428936508752</v>
      </c>
      <c r="DP24" s="49">
        <f t="shared" si="22"/>
        <v>1.5571477339592628</v>
      </c>
      <c r="DQ24" s="49">
        <f t="shared" si="23"/>
        <v>-0.63521378123484307</v>
      </c>
      <c r="DR24" s="49">
        <f t="shared" si="24"/>
        <v>-0.67880621177228795</v>
      </c>
      <c r="DS24" s="49">
        <f t="shared" si="25"/>
        <v>3.4186840393792758E-2</v>
      </c>
      <c r="DT24" s="49">
        <f t="shared" si="26"/>
        <v>-3.4186840393792758E-2</v>
      </c>
      <c r="DX24">
        <v>23</v>
      </c>
      <c r="DY24" s="19">
        <f t="shared" si="27"/>
        <v>-12.742163990545418</v>
      </c>
      <c r="EM24" s="21">
        <v>23</v>
      </c>
      <c r="EN24" s="16">
        <f t="shared" si="28"/>
        <v>2.5891087724691095</v>
      </c>
      <c r="EO24" s="16">
        <f t="shared" si="4"/>
        <v>2.8678117650920467</v>
      </c>
      <c r="EP24" s="16">
        <f t="shared" si="29"/>
        <v>-1.4810820849599655</v>
      </c>
      <c r="EQ24" s="16">
        <f t="shared" si="30"/>
        <v>7.0636350991141379</v>
      </c>
      <c r="ER24" s="16">
        <f t="shared" si="31"/>
        <v>0.77521071389722418</v>
      </c>
      <c r="ES24" s="16">
        <f t="shared" si="32"/>
        <v>-11.113968395714016</v>
      </c>
      <c r="ET24" s="16">
        <f t="shared" si="33"/>
        <v>-9.8743522254533715</v>
      </c>
      <c r="EU24" s="16">
        <f t="shared" si="34"/>
        <v>7.9572106857361122</v>
      </c>
      <c r="FK24" s="20"/>
      <c r="FL24" s="20"/>
    </row>
    <row r="25" spans="1:168" ht="14.4" thickBot="1" x14ac:dyDescent="0.35">
      <c r="A25" s="37" t="s">
        <v>51</v>
      </c>
      <c r="B25" s="38">
        <v>23</v>
      </c>
      <c r="C25" s="34">
        <f>RTD("fxbluelabs.excelrtd", , "21422436","@bh,AUDUSD,d1,close,23")</f>
        <v>0.66839999999999999</v>
      </c>
      <c r="D25" s="34">
        <f>RTD("fxbluelabs.excelrtd", , "21422436","@bh,AUDNZD,d1,close,23")</f>
        <v>1.1122300000000001</v>
      </c>
      <c r="E25" s="35">
        <f>RTD("fxbluelabs.excelrtd", , "21422436","@bh,AUDJPY,d1,close,23")</f>
        <v>105.28</v>
      </c>
      <c r="F25" s="34">
        <f>RTD("fxbluelabs.excelrtd", , "21422436","@bh,AUDCHF,d1,close,23")</f>
        <v>0.59411999999999998</v>
      </c>
      <c r="G25" s="34">
        <f>RTD("fxbluelabs.excelrtd", , "21422436","@bh,AUDCAD,d1,close,23")</f>
        <v>0.91768000000000005</v>
      </c>
      <c r="H25" s="34">
        <f>RTD("fxbluelabs.excelrtd", , "21422436","@bh,EURUSD,d1,close,23")</f>
        <v>1.0882400000000001</v>
      </c>
      <c r="I25" s="34">
        <f>RTD("fxbluelabs.excelrtd", , "21422436","@bh,EURCAD,d1,close,23")</f>
        <v>1.4941199999999999</v>
      </c>
      <c r="J25" s="34">
        <f>RTD("fxbluelabs.excelrtd", , "21422436","@bh,EURGBP,d1,close,23")</f>
        <v>0.84270999999999996</v>
      </c>
      <c r="K25" s="34">
        <f>RTD("fxbluelabs.excelrtd", , "21422436","@bh,EURCHF,d1,close,23")</f>
        <v>0.96728000000000003</v>
      </c>
      <c r="L25" s="35">
        <f>RTD("fxbluelabs.excelrtd", , "21422436","@bh,EURJPY,d1,close,23")</f>
        <v>171.37899999999999</v>
      </c>
      <c r="M25" s="34">
        <f>RTD("fxbluelabs.excelrtd", , "21422436","@bh,EURAUD,d1,close,23")</f>
        <v>1.62784</v>
      </c>
      <c r="N25" s="34">
        <f>RTD("fxbluelabs.excelrtd", , "21422436","@bh,EURNZD,d1,close,23")</f>
        <v>1.8109</v>
      </c>
      <c r="O25" s="34">
        <f>RTD("fxbluelabs.excelrtd", , "21422436","@bh,GBPUSD,d1,close,23")</f>
        <v>1.29122</v>
      </c>
      <c r="P25" s="34">
        <f>RTD("fxbluelabs.excelrtd", , "21422436","@bh,GBPAUD,d1,close,23")</f>
        <v>1.9314499999999999</v>
      </c>
      <c r="Q25" s="34">
        <f>RTD("fxbluelabs.excelrtd", , "21422436","@bh,GBPNZD,d1,close,23")</f>
        <v>2.1486399999999999</v>
      </c>
      <c r="R25" s="34">
        <f>RTD("fxbluelabs.excelrtd", , "21422436","@bh,GBPCAD,d1,close,23")</f>
        <v>1.7727900000000001</v>
      </c>
      <c r="S25" s="34">
        <f>RTD("fxbluelabs.excelrtd", , "21422436","@bh,GBPCHF,d1,close,23")</f>
        <v>1.14774</v>
      </c>
      <c r="T25" s="35">
        <f>RTD("fxbluelabs.excelrtd", , "21422436","@bh,GBPJPY,d1,close,23")</f>
        <v>203.38200000000001</v>
      </c>
      <c r="U25" s="35">
        <f>RTD("fxbluelabs.excelrtd", , "21422436","@bh,NZDJPY,d1,close,23")</f>
        <v>94.638000000000005</v>
      </c>
      <c r="V25" s="34">
        <f>RTD("fxbluelabs.excelrtd", , "21422436","@bh,NZDCHF,d1,close,23")</f>
        <v>0.53407000000000004</v>
      </c>
      <c r="W25" s="34">
        <f>RTD("fxbluelabs.excelrtd", , "21422436","@bh,NZDUSD,d1,close,23")</f>
        <v>0.60082999999999998</v>
      </c>
      <c r="X25" s="34">
        <f>RTD("fxbluelabs.excelrtd", , "21422436","@bh,NZDCAD,d1,close,23")</f>
        <v>0.82491999999999999</v>
      </c>
      <c r="Y25" s="35">
        <f>RTD("fxbluelabs.excelrtd", , "21422436","@bh,CADJPY,d1,close,23")</f>
        <v>114.718</v>
      </c>
      <c r="Z25" s="34">
        <f>RTD("fxbluelabs.excelrtd", , "21422436","@bh,CADCHF,d1,close,23")</f>
        <v>0.64737999999999996</v>
      </c>
      <c r="AA25" s="35">
        <f>RTD("fxbluelabs.excelrtd", , "21422436","@bh,CHFJPY,d1,close,23")</f>
        <v>177.15899999999999</v>
      </c>
      <c r="AB25" s="34">
        <f>RTD("fxbluelabs.excelrtd", , "21422436","@bh,USDCAD,d1,close,23")</f>
        <v>1.3730199999999999</v>
      </c>
      <c r="AC25" s="34">
        <f>RTD("fxbluelabs.excelrtd", , "21422436","@bh,USDCHF,d1,close,23")</f>
        <v>0.88890999999999998</v>
      </c>
      <c r="AD25" s="35">
        <f>RTD("fxbluelabs.excelrtd", , "21422436","@bh,USDJPY,d1,close,23")</f>
        <v>157.51499999999999</v>
      </c>
      <c r="AH25" s="21">
        <v>24</v>
      </c>
      <c r="AI25" s="22">
        <f t="shared" si="40"/>
        <v>-0.3280644199224545</v>
      </c>
      <c r="AJ25" s="22">
        <f t="shared" si="40"/>
        <v>0.26141905474476712</v>
      </c>
      <c r="AK25" s="22">
        <f t="shared" si="40"/>
        <v>-0.23217247097844543</v>
      </c>
      <c r="AL25" s="22">
        <f t="shared" si="40"/>
        <v>-0.19989585258101231</v>
      </c>
      <c r="AM25" s="22">
        <f t="shared" si="40"/>
        <v>-0.14798050139274863</v>
      </c>
      <c r="AN25" s="22">
        <f t="shared" si="40"/>
        <v>-0.12389981552693786</v>
      </c>
      <c r="AO25" s="22">
        <f t="shared" si="40"/>
        <v>5.6252009000318223E-2</v>
      </c>
      <c r="AP25" s="22">
        <f t="shared" si="40"/>
        <v>0.10691248619047196</v>
      </c>
      <c r="AQ25" s="22">
        <f t="shared" si="40"/>
        <v>-4.1351362527321861E-3</v>
      </c>
      <c r="AR25" s="22">
        <f t="shared" si="40"/>
        <v>-4.8990161142639044E-2</v>
      </c>
      <c r="AS25" s="22">
        <f t="shared" si="40"/>
        <v>0.195733261113092</v>
      </c>
      <c r="AT25" s="22">
        <f t="shared" si="40"/>
        <v>0.4654620501411863</v>
      </c>
      <c r="AU25" s="22">
        <f t="shared" si="40"/>
        <v>-0.23796646836127416</v>
      </c>
      <c r="AV25" s="22">
        <f t="shared" si="40"/>
        <v>8.1352208427459188E-2</v>
      </c>
      <c r="AW25" s="22">
        <f t="shared" si="40"/>
        <v>0.35403024670022887</v>
      </c>
      <c r="AX25" s="22">
        <f t="shared" si="39"/>
        <v>-5.8066771149263417E-2</v>
      </c>
      <c r="AY25" s="22">
        <f t="shared" si="39"/>
        <v>-0.11052993446533139</v>
      </c>
      <c r="AZ25" s="22">
        <f t="shared" si="39"/>
        <v>-0.1428760807765373</v>
      </c>
      <c r="BA25" s="22">
        <f t="shared" si="39"/>
        <v>-0.49522127243477426</v>
      </c>
      <c r="BB25" s="22">
        <f t="shared" si="39"/>
        <v>-0.4659224332333054</v>
      </c>
      <c r="BC25" s="22">
        <f t="shared" si="39"/>
        <v>-0.60546907310294573</v>
      </c>
      <c r="BD25" s="22">
        <f t="shared" si="39"/>
        <v>-0.42369300966889334</v>
      </c>
      <c r="BE25" s="22">
        <f t="shared" si="39"/>
        <v>-8.5353957636565433E-2</v>
      </c>
      <c r="BF25" s="22">
        <f t="shared" si="39"/>
        <v>-5.4034860204108574E-2</v>
      </c>
      <c r="BG25" s="22">
        <f t="shared" si="39"/>
        <v>-4.6264690449739083E-2</v>
      </c>
      <c r="BH25" s="22">
        <f t="shared" si="39"/>
        <v>0.17729590906105636</v>
      </c>
      <c r="BI25" s="22">
        <f t="shared" si="39"/>
        <v>0.12841163814952408</v>
      </c>
      <c r="BJ25" s="22">
        <f t="shared" si="39"/>
        <v>9.5955873007792153E-2</v>
      </c>
      <c r="BN25">
        <v>24</v>
      </c>
      <c r="BO25" s="23">
        <f t="shared" si="5"/>
        <v>-1.1228208217362465</v>
      </c>
      <c r="BP25" s="23">
        <f t="shared" si="2"/>
        <v>-4.0648268958894729E-2</v>
      </c>
      <c r="BQ25" s="23">
        <f t="shared" ref="BQ25:BS28" si="42">AK25+SUM(AK26:AK60)</f>
        <v>-1.469069490009703</v>
      </c>
      <c r="BR25" s="23">
        <f t="shared" si="42"/>
        <v>-1.8792343840753845</v>
      </c>
      <c r="BS25" s="23">
        <f t="shared" si="42"/>
        <v>-0.77373369572538608</v>
      </c>
      <c r="BT25" s="23">
        <f t="shared" si="41"/>
        <v>-0.10861895095763691</v>
      </c>
      <c r="BU25" s="23">
        <f t="shared" si="41"/>
        <v>0.23988000494450146</v>
      </c>
      <c r="BV25" s="23">
        <f t="shared" si="41"/>
        <v>0.30559905578584889</v>
      </c>
      <c r="BW25" s="23">
        <f t="shared" si="41"/>
        <v>-0.8776588301924827</v>
      </c>
      <c r="BX25" s="23">
        <f t="shared" si="41"/>
        <v>-0.48566702902528353</v>
      </c>
      <c r="BY25" s="23">
        <f t="shared" si="41"/>
        <v>1.0035171756488885</v>
      </c>
      <c r="BZ25" s="23">
        <f t="shared" si="41"/>
        <v>0.97180343002199687</v>
      </c>
      <c r="CA25" s="23">
        <f t="shared" si="41"/>
        <v>-0.42699116040437224</v>
      </c>
      <c r="CB25" s="23">
        <f t="shared" si="41"/>
        <v>0.68430450501148277</v>
      </c>
      <c r="CC25" s="23">
        <f t="shared" si="41"/>
        <v>0.65622124643636737</v>
      </c>
      <c r="CD25" s="23">
        <f t="shared" si="41"/>
        <v>-7.9431725955012703E-2</v>
      </c>
      <c r="CE25" s="23">
        <f t="shared" si="41"/>
        <v>-1.1900154385727393</v>
      </c>
      <c r="CF25" s="23">
        <f t="shared" si="41"/>
        <v>-0.77837091054579699</v>
      </c>
      <c r="CG25" s="23">
        <f t="shared" si="41"/>
        <v>-1.4346741081512291</v>
      </c>
      <c r="CH25" s="23">
        <f t="shared" si="41"/>
        <v>-1.8460972970861167</v>
      </c>
      <c r="CI25" s="23">
        <f t="shared" si="41"/>
        <v>-1.0930979691298064</v>
      </c>
      <c r="CJ25" s="23">
        <f t="shared" si="41"/>
        <v>-0.74268707149017499</v>
      </c>
      <c r="CK25" s="23">
        <f t="shared" si="41"/>
        <v>-0.69311652402092894</v>
      </c>
      <c r="CL25" s="23">
        <f t="shared" si="37"/>
        <v>-1.106752834698701</v>
      </c>
      <c r="CM25" s="23">
        <f t="shared" si="37"/>
        <v>0.39342298924623614</v>
      </c>
      <c r="CN25" s="23">
        <f t="shared" si="37"/>
        <v>0.3505537988251719</v>
      </c>
      <c r="CO25" s="23">
        <f t="shared" si="37"/>
        <v>-0.75583360704260238</v>
      </c>
      <c r="CP25" s="23">
        <f t="shared" si="37"/>
        <v>-0.34762212329751996</v>
      </c>
      <c r="CU25" s="21">
        <v>24</v>
      </c>
      <c r="CV25" s="24">
        <f t="shared" si="6"/>
        <v>1.0488548562258326</v>
      </c>
      <c r="CW25" s="24">
        <f t="shared" si="7"/>
        <v>1.9986269707131117</v>
      </c>
      <c r="CX25" s="24">
        <f t="shared" si="8"/>
        <v>-0.79445066931872976</v>
      </c>
      <c r="CY25" s="24">
        <f t="shared" si="9"/>
        <v>6.9422625462155612</v>
      </c>
      <c r="CZ25" s="24">
        <f t="shared" si="10"/>
        <v>-1.4398825398159198</v>
      </c>
      <c r="DA25" s="24">
        <f t="shared" si="11"/>
        <v>-6.9733283411659857</v>
      </c>
      <c r="DB25" s="24">
        <f t="shared" si="12"/>
        <v>-6.7039328533567968</v>
      </c>
      <c r="DC25" s="24">
        <f t="shared" si="13"/>
        <v>4.8150971958042259</v>
      </c>
      <c r="DF25" s="46">
        <v>24</v>
      </c>
      <c r="DG25" s="47">
        <f t="shared" si="36"/>
        <v>0.3505537988251719</v>
      </c>
      <c r="DH25" s="47">
        <f t="shared" si="14"/>
        <v>0.23988000494450146</v>
      </c>
      <c r="DI25" s="47">
        <f t="shared" si="15"/>
        <v>-0.75583360704260238</v>
      </c>
      <c r="DJ25" s="47">
        <f t="shared" si="16"/>
        <v>-0.8776588301924827</v>
      </c>
      <c r="DK25" s="47">
        <f t="shared" si="17"/>
        <v>0.42699116040437224</v>
      </c>
      <c r="DL25" s="47">
        <f t="shared" si="18"/>
        <v>0.30559905578584889</v>
      </c>
      <c r="DM25" s="47">
        <f t="shared" si="19"/>
        <v>1.1228208217362465</v>
      </c>
      <c r="DN25" s="47">
        <f t="shared" si="20"/>
        <v>1.0035171756488885</v>
      </c>
      <c r="DO25" s="47">
        <f t="shared" si="21"/>
        <v>1.0930979691298064</v>
      </c>
      <c r="DP25" s="47">
        <f t="shared" si="22"/>
        <v>0.97180343002199687</v>
      </c>
      <c r="DQ25" s="47">
        <f t="shared" si="23"/>
        <v>-0.34762212329751996</v>
      </c>
      <c r="DR25" s="47">
        <f t="shared" si="24"/>
        <v>-0.48566702902528353</v>
      </c>
      <c r="DS25" s="47">
        <f t="shared" si="25"/>
        <v>0.10861895095763691</v>
      </c>
      <c r="DT25" s="47">
        <f t="shared" si="26"/>
        <v>-0.10861895095763691</v>
      </c>
      <c r="DX25">
        <v>24</v>
      </c>
      <c r="DY25" s="19">
        <f t="shared" si="27"/>
        <v>-8.7025598240699082</v>
      </c>
      <c r="EM25" s="21">
        <v>24</v>
      </c>
      <c r="EN25" s="16">
        <f t="shared" si="28"/>
        <v>1.0488548562258326</v>
      </c>
      <c r="EO25" s="16">
        <f t="shared" si="4"/>
        <v>1.9986269707131117</v>
      </c>
      <c r="EP25" s="16">
        <f t="shared" si="29"/>
        <v>-0.79445066931872976</v>
      </c>
      <c r="EQ25" s="16">
        <f t="shared" si="30"/>
        <v>6.9422625462155612</v>
      </c>
      <c r="ER25" s="16">
        <f t="shared" si="31"/>
        <v>-1.4398825398159198</v>
      </c>
      <c r="ES25" s="16">
        <f t="shared" si="32"/>
        <v>-6.9733283411659857</v>
      </c>
      <c r="ET25" s="16">
        <f t="shared" si="33"/>
        <v>-6.7039328533567968</v>
      </c>
      <c r="EU25" s="16">
        <f t="shared" si="34"/>
        <v>4.8150971958042259</v>
      </c>
      <c r="FK25" s="20"/>
      <c r="FL25" s="20"/>
    </row>
    <row r="26" spans="1:168" ht="14.4" thickBot="1" x14ac:dyDescent="0.35">
      <c r="A26" s="37" t="s">
        <v>51</v>
      </c>
      <c r="B26" s="38">
        <v>24</v>
      </c>
      <c r="C26" s="34">
        <f>RTD("fxbluelabs.excelrtd", , "21422436","@bh,AUDUSD,d1,close,24")</f>
        <v>0.67059999999999997</v>
      </c>
      <c r="D26" s="34">
        <f>RTD("fxbluelabs.excelrtd", , "21422436","@bh,AUDNZD,d1,close,24")</f>
        <v>1.1093299999999999</v>
      </c>
      <c r="E26" s="35">
        <f>RTD("fxbluelabs.excelrtd", , "21422436","@bh,AUDJPY,d1,close,24")</f>
        <v>105.52500000000001</v>
      </c>
      <c r="F26" s="34">
        <f>RTD("fxbluelabs.excelrtd", , "21422436","@bh,AUDCHF,d1,close,24")</f>
        <v>0.59531000000000001</v>
      </c>
      <c r="G26" s="34">
        <f>RTD("fxbluelabs.excelrtd", , "21422436","@bh,AUDCAD,d1,close,24")</f>
        <v>0.91903999999999997</v>
      </c>
      <c r="H26" s="34">
        <f>RTD("fxbluelabs.excelrtd", , "21422436","@bh,EURUSD,d1,close,24")</f>
        <v>1.0895900000000001</v>
      </c>
      <c r="I26" s="34">
        <f>RTD("fxbluelabs.excelrtd", , "21422436","@bh,EURCAD,d1,close,24")</f>
        <v>1.4932799999999999</v>
      </c>
      <c r="J26" s="34">
        <f>RTD("fxbluelabs.excelrtd", , "21422436","@bh,EURGBP,d1,close,24")</f>
        <v>0.84180999999999995</v>
      </c>
      <c r="K26" s="34">
        <f>RTD("fxbluelabs.excelrtd", , "21422436","@bh,EURCHF,d1,close,24")</f>
        <v>0.96731999999999996</v>
      </c>
      <c r="L26" s="35">
        <f>RTD("fxbluelabs.excelrtd", , "21422436","@bh,EURJPY,d1,close,24")</f>
        <v>171.46299999999999</v>
      </c>
      <c r="M26" s="34">
        <f>RTD("fxbluelabs.excelrtd", , "21422436","@bh,EURAUD,d1,close,24")</f>
        <v>1.62466</v>
      </c>
      <c r="N26" s="34">
        <f>RTD("fxbluelabs.excelrtd", , "21422436","@bh,EURNZD,d1,close,24")</f>
        <v>1.8025100000000001</v>
      </c>
      <c r="O26" s="34">
        <f>RTD("fxbluelabs.excelrtd", , "21422436","@bh,GBPUSD,d1,close,24")</f>
        <v>1.2943</v>
      </c>
      <c r="P26" s="34">
        <f>RTD("fxbluelabs.excelrtd", , "21422436","@bh,GBPAUD,d1,close,24")</f>
        <v>1.92988</v>
      </c>
      <c r="Q26" s="34">
        <f>RTD("fxbluelabs.excelrtd", , "21422436","@bh,GBPNZD,d1,close,24")</f>
        <v>2.14106</v>
      </c>
      <c r="R26" s="34">
        <f>RTD("fxbluelabs.excelrtd", , "21422436","@bh,GBPCAD,d1,close,24")</f>
        <v>1.77382</v>
      </c>
      <c r="S26" s="34">
        <f>RTD("fxbluelabs.excelrtd", , "21422436","@bh,GBPCHF,d1,close,24")</f>
        <v>1.1490100000000001</v>
      </c>
      <c r="T26" s="35">
        <f>RTD("fxbluelabs.excelrtd", , "21422436","@bh,GBPJPY,d1,close,24")</f>
        <v>203.673</v>
      </c>
      <c r="U26" s="35">
        <f>RTD("fxbluelabs.excelrtd", , "21422436","@bh,NZDJPY,d1,close,24")</f>
        <v>95.108999999999995</v>
      </c>
      <c r="V26" s="34">
        <f>RTD("fxbluelabs.excelrtd", , "21422436","@bh,NZDCHF,d1,close,24")</f>
        <v>0.53656999999999999</v>
      </c>
      <c r="W26" s="34">
        <f>RTD("fxbluelabs.excelrtd", , "21422436","@bh,NZDUSD,d1,close,24")</f>
        <v>0.60448999999999997</v>
      </c>
      <c r="X26" s="34">
        <f>RTD("fxbluelabs.excelrtd", , "21422436","@bh,NZDCAD,d1,close,24")</f>
        <v>0.82843</v>
      </c>
      <c r="Y26" s="35">
        <f>RTD("fxbluelabs.excelrtd", , "21422436","@bh,CADJPY,d1,close,24")</f>
        <v>114.816</v>
      </c>
      <c r="Z26" s="34">
        <f>RTD("fxbluelabs.excelrtd", , "21422436","@bh,CADCHF,d1,close,24")</f>
        <v>0.64773000000000003</v>
      </c>
      <c r="AA26" s="35">
        <f>RTD("fxbluelabs.excelrtd", , "21422436","@bh,CHFJPY,d1,close,24")</f>
        <v>177.24100000000001</v>
      </c>
      <c r="AB26" s="34">
        <f>RTD("fxbluelabs.excelrtd", , "21422436","@bh,USDCAD,d1,close,24")</f>
        <v>1.37059</v>
      </c>
      <c r="AC26" s="34">
        <f>RTD("fxbluelabs.excelrtd", , "21422436","@bh,USDCHF,d1,close,24")</f>
        <v>0.88776999999999995</v>
      </c>
      <c r="AD26" s="35">
        <f>RTD("fxbluelabs.excelrtd", , "21422436","@bh,USDJPY,d1,close,24")</f>
        <v>157.364</v>
      </c>
      <c r="AH26" s="13">
        <v>25</v>
      </c>
      <c r="AI26" s="27">
        <f t="shared" si="40"/>
        <v>-0.34180413137168669</v>
      </c>
      <c r="AJ26" s="27">
        <f t="shared" si="40"/>
        <v>0.27388592605982698</v>
      </c>
      <c r="AK26" s="27">
        <f t="shared" si="40"/>
        <v>0.40819821877141094</v>
      </c>
      <c r="AL26" s="27">
        <f t="shared" si="40"/>
        <v>0.15646556075237833</v>
      </c>
      <c r="AM26" s="27">
        <f t="shared" si="40"/>
        <v>-0.18138175972891141</v>
      </c>
      <c r="AN26" s="27">
        <f t="shared" si="40"/>
        <v>-0.39946615964020482</v>
      </c>
      <c r="AO26" s="27">
        <f t="shared" si="40"/>
        <v>-0.23850085178876126</v>
      </c>
      <c r="AP26" s="27">
        <f t="shared" si="40"/>
        <v>0.10107496194823848</v>
      </c>
      <c r="AQ26" s="27">
        <f t="shared" si="40"/>
        <v>0.10037770993945416</v>
      </c>
      <c r="AR26" s="27">
        <f t="shared" si="40"/>
        <v>0.3464601951179454</v>
      </c>
      <c r="AS26" s="27">
        <f t="shared" si="40"/>
        <v>-6.397244264008918E-2</v>
      </c>
      <c r="AT26" s="27">
        <f t="shared" si="40"/>
        <v>0.21237678532710788</v>
      </c>
      <c r="AU26" s="27">
        <f t="shared" si="40"/>
        <v>-0.50045740730775556</v>
      </c>
      <c r="AV26" s="27">
        <f t="shared" si="40"/>
        <v>-0.16553893268772477</v>
      </c>
      <c r="AW26" s="27">
        <f t="shared" si="40"/>
        <v>0.11877373136560633</v>
      </c>
      <c r="AX26" s="27">
        <f t="shared" si="39"/>
        <v>-0.33991246551715071</v>
      </c>
      <c r="AY26" s="27">
        <f t="shared" si="39"/>
        <v>-1.7405985918478176E-3</v>
      </c>
      <c r="AZ26" s="27">
        <f t="shared" si="39"/>
        <v>0.25004306844191165</v>
      </c>
      <c r="BA26" s="27">
        <f t="shared" si="39"/>
        <v>0.16956649955765407</v>
      </c>
      <c r="BB26" s="27">
        <f t="shared" si="39"/>
        <v>-8.7516758528223312E-2</v>
      </c>
      <c r="BC26" s="27">
        <f t="shared" si="39"/>
        <v>-0.60999671160802227</v>
      </c>
      <c r="BD26" s="27">
        <f t="shared" si="39"/>
        <v>-0.44583844064700545</v>
      </c>
      <c r="BE26" s="27">
        <f t="shared" si="39"/>
        <v>0.58873002523128415</v>
      </c>
      <c r="BF26" s="27">
        <f t="shared" si="39"/>
        <v>0.33614226408079889</v>
      </c>
      <c r="BG26" s="27">
        <f t="shared" si="39"/>
        <v>0.25453784412103392</v>
      </c>
      <c r="BH26" s="27">
        <f t="shared" si="39"/>
        <v>0.1658968662301212</v>
      </c>
      <c r="BI26" s="27">
        <f t="shared" si="39"/>
        <v>0.50150564901396222</v>
      </c>
      <c r="BJ26" s="27">
        <f t="shared" si="39"/>
        <v>0.75358384500630171</v>
      </c>
      <c r="BN26">
        <v>25</v>
      </c>
      <c r="BO26" s="28">
        <f t="shared" si="5"/>
        <v>-0.79475640181379203</v>
      </c>
      <c r="BP26" s="28">
        <f t="shared" si="2"/>
        <v>-0.30206732370366185</v>
      </c>
      <c r="BQ26" s="28">
        <f t="shared" si="42"/>
        <v>-1.2368970190312578</v>
      </c>
      <c r="BR26" s="28">
        <f t="shared" si="42"/>
        <v>-1.6793385314943718</v>
      </c>
      <c r="BS26" s="28">
        <f t="shared" si="42"/>
        <v>-0.62575319433263743</v>
      </c>
      <c r="BT26" s="28">
        <f t="shared" si="41"/>
        <v>1.5280864569300945E-2</v>
      </c>
      <c r="BU26" s="28">
        <f t="shared" si="41"/>
        <v>0.18362799594418319</v>
      </c>
      <c r="BV26" s="28">
        <f t="shared" si="41"/>
        <v>0.19868656959537695</v>
      </c>
      <c r="BW26" s="28">
        <f t="shared" si="41"/>
        <v>-0.87352369393975049</v>
      </c>
      <c r="BX26" s="28">
        <f t="shared" si="41"/>
        <v>-0.43667686788264443</v>
      </c>
      <c r="BY26" s="28">
        <f t="shared" si="41"/>
        <v>0.80778391453579645</v>
      </c>
      <c r="BZ26" s="28">
        <f t="shared" si="41"/>
        <v>0.50634137988081063</v>
      </c>
      <c r="CA26" s="28">
        <f t="shared" si="41"/>
        <v>-0.18902469204309807</v>
      </c>
      <c r="CB26" s="28">
        <f t="shared" si="41"/>
        <v>0.60295229658402349</v>
      </c>
      <c r="CC26" s="28">
        <f t="shared" si="41"/>
        <v>0.3021909997361385</v>
      </c>
      <c r="CD26" s="28">
        <f t="shared" si="41"/>
        <v>-2.1364954805749292E-2</v>
      </c>
      <c r="CE26" s="28">
        <f t="shared" si="41"/>
        <v>-1.0794855041074078</v>
      </c>
      <c r="CF26" s="28">
        <f t="shared" si="41"/>
        <v>-0.63549482976925975</v>
      </c>
      <c r="CG26" s="28">
        <f t="shared" si="41"/>
        <v>-0.93945283571645488</v>
      </c>
      <c r="CH26" s="28">
        <f t="shared" si="41"/>
        <v>-1.3801748638528113</v>
      </c>
      <c r="CI26" s="28">
        <f t="shared" si="41"/>
        <v>-0.4876288960268606</v>
      </c>
      <c r="CJ26" s="28">
        <f t="shared" si="41"/>
        <v>-0.3189940618212817</v>
      </c>
      <c r="CK26" s="28">
        <f t="shared" si="41"/>
        <v>-0.60776256638436355</v>
      </c>
      <c r="CL26" s="28">
        <f t="shared" si="37"/>
        <v>-1.0527179744945925</v>
      </c>
      <c r="CM26" s="28">
        <f t="shared" si="37"/>
        <v>0.43968767969597522</v>
      </c>
      <c r="CN26" s="28">
        <f t="shared" si="37"/>
        <v>0.17325788976411555</v>
      </c>
      <c r="CO26" s="28">
        <f t="shared" si="37"/>
        <v>-0.88424524519212633</v>
      </c>
      <c r="CP26" s="28">
        <f t="shared" si="37"/>
        <v>-0.44357799630531214</v>
      </c>
      <c r="CU26" s="21">
        <v>25</v>
      </c>
      <c r="CV26" s="29">
        <f t="shared" si="6"/>
        <v>0.40152016270307334</v>
      </c>
      <c r="CW26" s="29">
        <f t="shared" si="7"/>
        <v>0.30156377358112685</v>
      </c>
      <c r="CX26" s="29">
        <f t="shared" si="8"/>
        <v>-1.0512542156275861</v>
      </c>
      <c r="CY26" s="29">
        <f t="shared" si="9"/>
        <v>6.3364555182824427</v>
      </c>
      <c r="CZ26" s="29">
        <f t="shared" si="10"/>
        <v>-1.2189132540007299</v>
      </c>
      <c r="DA26" s="29">
        <f t="shared" si="11"/>
        <v>-6.0495486814955406</v>
      </c>
      <c r="DB26" s="29">
        <f t="shared" si="12"/>
        <v>-3.632715713330696</v>
      </c>
      <c r="DC26" s="29">
        <f t="shared" si="13"/>
        <v>3.8601744353933176</v>
      </c>
      <c r="DF26" s="48">
        <v>25</v>
      </c>
      <c r="DG26" s="49">
        <f t="shared" si="36"/>
        <v>0.17325788976411555</v>
      </c>
      <c r="DH26" s="49">
        <f t="shared" si="14"/>
        <v>0.18362799594418319</v>
      </c>
      <c r="DI26" s="49">
        <f t="shared" si="15"/>
        <v>-0.88424524519212633</v>
      </c>
      <c r="DJ26" s="49">
        <f t="shared" si="16"/>
        <v>-0.87352369393975049</v>
      </c>
      <c r="DK26" s="49">
        <f t="shared" si="17"/>
        <v>0.18902469204309807</v>
      </c>
      <c r="DL26" s="49">
        <f t="shared" si="18"/>
        <v>0.19868656959537695</v>
      </c>
      <c r="DM26" s="49">
        <f t="shared" si="19"/>
        <v>0.79475640181379203</v>
      </c>
      <c r="DN26" s="49">
        <f t="shared" si="20"/>
        <v>0.80778391453579645</v>
      </c>
      <c r="DO26" s="49">
        <f t="shared" si="21"/>
        <v>0.4876288960268606</v>
      </c>
      <c r="DP26" s="49">
        <f t="shared" si="22"/>
        <v>0.50634137988081063</v>
      </c>
      <c r="DQ26" s="49">
        <f t="shared" si="23"/>
        <v>-0.44357799630531214</v>
      </c>
      <c r="DR26" s="49">
        <f t="shared" si="24"/>
        <v>-0.43667686788264443</v>
      </c>
      <c r="DS26" s="49">
        <f t="shared" si="25"/>
        <v>-1.5280864569300945E-2</v>
      </c>
      <c r="DT26" s="49">
        <f t="shared" si="26"/>
        <v>1.5280864569300945E-2</v>
      </c>
      <c r="DX26">
        <v>25</v>
      </c>
      <c r="DY26" s="19">
        <f t="shared" si="27"/>
        <v>-3.9342794869118229</v>
      </c>
      <c r="EM26" s="21">
        <v>25</v>
      </c>
      <c r="EN26" s="16">
        <f t="shared" si="28"/>
        <v>0.40152016270307334</v>
      </c>
      <c r="EO26" s="16">
        <f t="shared" si="4"/>
        <v>0.30156377358112685</v>
      </c>
      <c r="EP26" s="16">
        <f t="shared" si="29"/>
        <v>-1.0512542156275861</v>
      </c>
      <c r="EQ26" s="16">
        <f t="shared" si="30"/>
        <v>6.3364555182824427</v>
      </c>
      <c r="ER26" s="16">
        <f t="shared" si="31"/>
        <v>-1.2189132540007299</v>
      </c>
      <c r="ES26" s="16">
        <f t="shared" si="32"/>
        <v>-6.0495486814955406</v>
      </c>
      <c r="ET26" s="16">
        <f t="shared" si="33"/>
        <v>-3.632715713330696</v>
      </c>
      <c r="EU26" s="16">
        <f t="shared" si="34"/>
        <v>3.8601744353933176</v>
      </c>
      <c r="FK26" s="20"/>
      <c r="FL26" s="20"/>
    </row>
    <row r="27" spans="1:168" ht="14.4" thickBot="1" x14ac:dyDescent="0.35">
      <c r="A27" s="37" t="s">
        <v>51</v>
      </c>
      <c r="B27" s="38">
        <v>25</v>
      </c>
      <c r="C27" s="34">
        <f>RTD("fxbluelabs.excelrtd", , "21422436","@bh,AUDUSD,d1,close,25")</f>
        <v>0.67290000000000005</v>
      </c>
      <c r="D27" s="34">
        <f>RTD("fxbluelabs.excelrtd", , "21422436","@bh,AUDNZD,d1,close,25")</f>
        <v>1.1063000000000001</v>
      </c>
      <c r="E27" s="35">
        <f>RTD("fxbluelabs.excelrtd", , "21422436","@bh,AUDJPY,d1,close,25")</f>
        <v>105.096</v>
      </c>
      <c r="F27" s="34">
        <f>RTD("fxbluelabs.excelrtd", , "21422436","@bh,AUDCHF,d1,close,25")</f>
        <v>0.59438000000000002</v>
      </c>
      <c r="G27" s="34">
        <f>RTD("fxbluelabs.excelrtd", , "21422436","@bh,AUDCAD,d1,close,25")</f>
        <v>0.92071000000000003</v>
      </c>
      <c r="H27" s="34">
        <f>RTD("fxbluelabs.excelrtd", , "21422436","@bh,EURUSD,d1,close,25")</f>
        <v>1.09396</v>
      </c>
      <c r="I27" s="34">
        <f>RTD("fxbluelabs.excelrtd", , "21422436","@bh,EURCAD,d1,close,25")</f>
        <v>1.49685</v>
      </c>
      <c r="J27" s="34">
        <f>RTD("fxbluelabs.excelrtd", , "21422436","@bh,EURGBP,d1,close,25")</f>
        <v>0.84096000000000004</v>
      </c>
      <c r="K27" s="34">
        <f>RTD("fxbluelabs.excelrtd", , "21422436","@bh,EURCHF,d1,close,25")</f>
        <v>0.96635000000000004</v>
      </c>
      <c r="L27" s="35">
        <f>RTD("fxbluelabs.excelrtd", , "21422436","@bh,EURJPY,d1,close,25")</f>
        <v>170.87100000000001</v>
      </c>
      <c r="M27" s="34">
        <f>RTD("fxbluelabs.excelrtd", , "21422436","@bh,EURAUD,d1,close,25")</f>
        <v>1.6256999999999999</v>
      </c>
      <c r="N27" s="34">
        <f>RTD("fxbluelabs.excelrtd", , "21422436","@bh,EURNZD,d1,close,25")</f>
        <v>1.7986899999999999</v>
      </c>
      <c r="O27" s="34">
        <f>RTD("fxbluelabs.excelrtd", , "21422436","@bh,GBPUSD,d1,close,25")</f>
        <v>1.30081</v>
      </c>
      <c r="P27" s="34">
        <f>RTD("fxbluelabs.excelrtd", , "21422436","@bh,GBPAUD,d1,close,25")</f>
        <v>1.9330799999999999</v>
      </c>
      <c r="Q27" s="34">
        <f>RTD("fxbluelabs.excelrtd", , "21422436","@bh,GBPNZD,d1,close,25")</f>
        <v>2.1385200000000002</v>
      </c>
      <c r="R27" s="34">
        <f>RTD("fxbluelabs.excelrtd", , "21422436","@bh,GBPCAD,d1,close,25")</f>
        <v>1.7798700000000001</v>
      </c>
      <c r="S27" s="34">
        <f>RTD("fxbluelabs.excelrtd", , "21422436","@bh,GBPCHF,d1,close,25")</f>
        <v>1.14903</v>
      </c>
      <c r="T27" s="35">
        <f>RTD("fxbluelabs.excelrtd", , "21422436","@bh,GBPJPY,d1,close,25")</f>
        <v>203.16499999999999</v>
      </c>
      <c r="U27" s="35">
        <f>RTD("fxbluelabs.excelrtd", , "21422436","@bh,NZDJPY,d1,close,25")</f>
        <v>94.947999999999993</v>
      </c>
      <c r="V27" s="34">
        <f>RTD("fxbluelabs.excelrtd", , "21422436","@bh,NZDCHF,d1,close,25")</f>
        <v>0.53703999999999996</v>
      </c>
      <c r="W27" s="34">
        <f>RTD("fxbluelabs.excelrtd", , "21422436","@bh,NZDUSD,d1,close,25")</f>
        <v>0.60819999999999996</v>
      </c>
      <c r="X27" s="34">
        <f>RTD("fxbluelabs.excelrtd", , "21422436","@bh,NZDCAD,d1,close,25")</f>
        <v>0.83213999999999999</v>
      </c>
      <c r="Y27" s="35">
        <f>RTD("fxbluelabs.excelrtd", , "21422436","@bh,CADJPY,d1,close,25")</f>
        <v>114.14400000000001</v>
      </c>
      <c r="Z27" s="34">
        <f>RTD("fxbluelabs.excelrtd", , "21422436","@bh,CADCHF,d1,close,25")</f>
        <v>0.64556000000000002</v>
      </c>
      <c r="AA27" s="35">
        <f>RTD("fxbluelabs.excelrtd", , "21422436","@bh,CHFJPY,d1,close,25")</f>
        <v>176.791</v>
      </c>
      <c r="AB27" s="34">
        <f>RTD("fxbluelabs.excelrtd", , "21422436","@bh,USDCAD,d1,close,25")</f>
        <v>1.36832</v>
      </c>
      <c r="AC27" s="34">
        <f>RTD("fxbluelabs.excelrtd", , "21422436","@bh,USDCHF,d1,close,25")</f>
        <v>0.88334000000000001</v>
      </c>
      <c r="AD27" s="35">
        <f>RTD("fxbluelabs.excelrtd", , "21422436","@bh,USDJPY,d1,close,25")</f>
        <v>156.18700000000001</v>
      </c>
      <c r="AH27" s="21">
        <v>26</v>
      </c>
      <c r="AI27" s="22">
        <f t="shared" si="40"/>
        <v>-6.8314126173206743E-2</v>
      </c>
      <c r="AJ27" s="22">
        <f t="shared" si="40"/>
        <v>-0.59572479850483984</v>
      </c>
      <c r="AK27" s="22">
        <f t="shared" si="40"/>
        <v>-1.4663416463528904</v>
      </c>
      <c r="AL27" s="22">
        <f t="shared" si="40"/>
        <v>-1.2362500415406603</v>
      </c>
      <c r="AM27" s="22">
        <f t="shared" si="40"/>
        <v>8.6897016173794039E-3</v>
      </c>
      <c r="AN27" s="22">
        <f t="shared" si="40"/>
        <v>0.37619510762850206</v>
      </c>
      <c r="AO27" s="22">
        <f t="shared" si="40"/>
        <v>0.45298973223273831</v>
      </c>
      <c r="AP27" s="22">
        <f t="shared" si="40"/>
        <v>0.10594355232302753</v>
      </c>
      <c r="AQ27" s="22">
        <f t="shared" si="40"/>
        <v>-0.79764300086231099</v>
      </c>
      <c r="AR27" s="22">
        <f t="shared" si="40"/>
        <v>-1.0241023175528128</v>
      </c>
      <c r="AS27" s="22">
        <f t="shared" si="40"/>
        <v>0.44671819681550151</v>
      </c>
      <c r="AT27" s="22">
        <f t="shared" si="40"/>
        <v>-0.15099283339162411</v>
      </c>
      <c r="AU27" s="22">
        <f t="shared" si="40"/>
        <v>0.27056193632930892</v>
      </c>
      <c r="AV27" s="22">
        <f t="shared" si="40"/>
        <v>0.34051035026887339</v>
      </c>
      <c r="AW27" s="22">
        <f t="shared" si="40"/>
        <v>-0.26443552110586477</v>
      </c>
      <c r="AX27" s="22">
        <f t="shared" si="39"/>
        <v>0.34672890873419143</v>
      </c>
      <c r="AY27" s="22">
        <f t="shared" si="39"/>
        <v>-0.90297542043984302</v>
      </c>
      <c r="AZ27" s="22">
        <f t="shared" si="39"/>
        <v>-1.133847538869565</v>
      </c>
      <c r="BA27" s="22">
        <f t="shared" si="39"/>
        <v>-0.90383451270169257</v>
      </c>
      <c r="BB27" s="22">
        <f t="shared" si="39"/>
        <v>-0.66587747854395674</v>
      </c>
      <c r="BC27" s="22">
        <f t="shared" si="39"/>
        <v>0.5339107724349893</v>
      </c>
      <c r="BD27" s="22">
        <f t="shared" si="39"/>
        <v>0.60692523454879876</v>
      </c>
      <c r="BE27" s="22">
        <f t="shared" si="39"/>
        <v>-1.471743390102632</v>
      </c>
      <c r="BF27" s="22">
        <f t="shared" si="39"/>
        <v>-1.2406871969036288</v>
      </c>
      <c r="BG27" s="22">
        <f t="shared" si="39"/>
        <v>-0.23362771930815476</v>
      </c>
      <c r="BH27" s="22">
        <f t="shared" si="39"/>
        <v>7.6063425194541706E-2</v>
      </c>
      <c r="BI27" s="22">
        <f t="shared" si="39"/>
        <v>-1.170284179906022</v>
      </c>
      <c r="BJ27" s="22">
        <f t="shared" si="39"/>
        <v>-1.3995858690437013</v>
      </c>
      <c r="BN27">
        <v>26</v>
      </c>
      <c r="BO27" s="23">
        <f t="shared" si="5"/>
        <v>-0.45295227044210534</v>
      </c>
      <c r="BP27" s="23">
        <f t="shared" si="2"/>
        <v>-0.57595324976348883</v>
      </c>
      <c r="BQ27" s="23">
        <f t="shared" si="42"/>
        <v>-1.6450952378026686</v>
      </c>
      <c r="BR27" s="23">
        <f t="shared" si="42"/>
        <v>-1.8358040922467502</v>
      </c>
      <c r="BS27" s="23">
        <f t="shared" si="42"/>
        <v>-0.44437143460372602</v>
      </c>
      <c r="BT27" s="23">
        <f t="shared" si="41"/>
        <v>0.41474702420950577</v>
      </c>
      <c r="BU27" s="23">
        <f t="shared" si="41"/>
        <v>0.42212884773294446</v>
      </c>
      <c r="BV27" s="23">
        <f t="shared" si="41"/>
        <v>9.7611607647138457E-2</v>
      </c>
      <c r="BW27" s="23">
        <f t="shared" si="41"/>
        <v>-0.97390140387920465</v>
      </c>
      <c r="BX27" s="23">
        <f t="shared" si="41"/>
        <v>-0.78313706300058983</v>
      </c>
      <c r="BY27" s="23">
        <f t="shared" si="41"/>
        <v>0.87175635717588562</v>
      </c>
      <c r="BZ27" s="23">
        <f t="shared" si="41"/>
        <v>0.29396459455370277</v>
      </c>
      <c r="CA27" s="23">
        <f t="shared" si="41"/>
        <v>0.31143271526465749</v>
      </c>
      <c r="CB27" s="23">
        <f t="shared" si="41"/>
        <v>0.76849122927174829</v>
      </c>
      <c r="CC27" s="23">
        <f t="shared" si="41"/>
        <v>0.18341726837053218</v>
      </c>
      <c r="CD27" s="23">
        <f t="shared" si="41"/>
        <v>0.31854751071140142</v>
      </c>
      <c r="CE27" s="23">
        <f t="shared" si="41"/>
        <v>-1.0777449055155601</v>
      </c>
      <c r="CF27" s="23">
        <f t="shared" si="41"/>
        <v>-0.88553789821117146</v>
      </c>
      <c r="CG27" s="23">
        <f t="shared" si="41"/>
        <v>-1.1090193352741089</v>
      </c>
      <c r="CH27" s="23">
        <f t="shared" si="41"/>
        <v>-1.292658105324588</v>
      </c>
      <c r="CI27" s="23">
        <f t="shared" si="41"/>
        <v>0.12236781558116167</v>
      </c>
      <c r="CJ27" s="23">
        <f t="shared" si="41"/>
        <v>0.12684437882572375</v>
      </c>
      <c r="CK27" s="23">
        <f t="shared" si="41"/>
        <v>-1.1964925916156477</v>
      </c>
      <c r="CL27" s="23">
        <f t="shared" ref="CL27:CP28" si="43">BF27+SUM(BF28:BF62)</f>
        <v>-1.3888602385753914</v>
      </c>
      <c r="CM27" s="23">
        <f t="shared" si="43"/>
        <v>0.18514983557494127</v>
      </c>
      <c r="CN27" s="23">
        <f t="shared" si="43"/>
        <v>7.3610235339943569E-3</v>
      </c>
      <c r="CO27" s="23">
        <f t="shared" si="43"/>
        <v>-1.3857508942060885</v>
      </c>
      <c r="CP27" s="23">
        <f t="shared" si="43"/>
        <v>-1.1971618413116139</v>
      </c>
      <c r="CU27" s="13">
        <v>26</v>
      </c>
      <c r="CV27" s="24">
        <f t="shared" si="6"/>
        <v>0.34316996443938269</v>
      </c>
      <c r="CW27" s="24">
        <f t="shared" si="7"/>
        <v>-2.9711469965969282</v>
      </c>
      <c r="CX27" s="24">
        <f t="shared" si="8"/>
        <v>-3.0158631563913767</v>
      </c>
      <c r="CY27" s="24">
        <f t="shared" si="9"/>
        <v>6.7510092367471328</v>
      </c>
      <c r="CZ27" s="24">
        <f t="shared" si="10"/>
        <v>-0.47900568775553082</v>
      </c>
      <c r="DA27" s="24">
        <f t="shared" si="11"/>
        <v>-6.5944238713063728</v>
      </c>
      <c r="DB27" s="24">
        <f t="shared" si="12"/>
        <v>-2.0538938593525575</v>
      </c>
      <c r="DC27" s="24">
        <f t="shared" si="13"/>
        <v>6.6312941316408587</v>
      </c>
      <c r="DF27" s="46">
        <v>26</v>
      </c>
      <c r="DG27" s="47">
        <f t="shared" si="36"/>
        <v>7.3610235339943569E-3</v>
      </c>
      <c r="DH27" s="47">
        <f t="shared" si="14"/>
        <v>0.42212884773294446</v>
      </c>
      <c r="DI27" s="47">
        <f t="shared" si="15"/>
        <v>-1.3857508942060885</v>
      </c>
      <c r="DJ27" s="47">
        <f t="shared" si="16"/>
        <v>-0.97390140387920465</v>
      </c>
      <c r="DK27" s="47">
        <f t="shared" si="17"/>
        <v>-0.31143271526465749</v>
      </c>
      <c r="DL27" s="47">
        <f t="shared" si="18"/>
        <v>9.7611607647138457E-2</v>
      </c>
      <c r="DM27" s="47">
        <f t="shared" si="19"/>
        <v>0.45295227044210534</v>
      </c>
      <c r="DN27" s="47">
        <f t="shared" si="20"/>
        <v>0.87175635717588562</v>
      </c>
      <c r="DO27" s="47">
        <f t="shared" si="21"/>
        <v>-0.12236781558116167</v>
      </c>
      <c r="DP27" s="47">
        <f t="shared" si="22"/>
        <v>0.29396459455370277</v>
      </c>
      <c r="DQ27" s="47">
        <f t="shared" si="23"/>
        <v>-1.1971618413116139</v>
      </c>
      <c r="DR27" s="47">
        <f t="shared" si="24"/>
        <v>-0.78313706300058983</v>
      </c>
      <c r="DS27" s="47">
        <f t="shared" si="25"/>
        <v>-0.41474702420950577</v>
      </c>
      <c r="DT27" s="47">
        <f t="shared" si="26"/>
        <v>0.41474702420950577</v>
      </c>
      <c r="DX27">
        <v>26</v>
      </c>
      <c r="DY27" s="19">
        <f t="shared" si="27"/>
        <v>0.91725313724437063</v>
      </c>
      <c r="EM27" s="13">
        <v>26</v>
      </c>
      <c r="EN27" s="16">
        <f t="shared" si="28"/>
        <v>0.34316996443938269</v>
      </c>
      <c r="EO27" s="16">
        <f t="shared" si="4"/>
        <v>-2.9711469965969282</v>
      </c>
      <c r="EP27" s="16">
        <f t="shared" si="29"/>
        <v>-3.0158631563913767</v>
      </c>
      <c r="EQ27" s="16">
        <f t="shared" si="30"/>
        <v>6.7510092367471328</v>
      </c>
      <c r="ER27" s="16">
        <f t="shared" si="31"/>
        <v>-0.47900568775553082</v>
      </c>
      <c r="ES27" s="16">
        <f t="shared" si="32"/>
        <v>-6.5944238713063728</v>
      </c>
      <c r="ET27" s="16">
        <f t="shared" si="33"/>
        <v>-2.0538938593525575</v>
      </c>
      <c r="EU27" s="16">
        <f t="shared" si="34"/>
        <v>6.6312941316408587</v>
      </c>
      <c r="FK27" s="20"/>
      <c r="FL27" s="20"/>
    </row>
    <row r="28" spans="1:168" ht="14.4" thickBot="1" x14ac:dyDescent="0.35">
      <c r="A28" s="37" t="s">
        <v>51</v>
      </c>
      <c r="B28" s="38">
        <v>26</v>
      </c>
      <c r="C28" s="34">
        <f>RTD("fxbluelabs.excelrtd", , "21422436","@bh,AUDUSD,d1,close,26")</f>
        <v>0.67335999999999996</v>
      </c>
      <c r="D28" s="34">
        <f>RTD("fxbluelabs.excelrtd", , "21422436","@bh,AUDNZD,d1,close,26")</f>
        <v>1.11293</v>
      </c>
      <c r="E28" s="35">
        <f>RTD("fxbluelabs.excelrtd", , "21422436","@bh,AUDJPY,d1,close,26")</f>
        <v>106.66</v>
      </c>
      <c r="F28" s="34">
        <f>RTD("fxbluelabs.excelrtd", , "21422436","@bh,AUDCHF,d1,close,26")</f>
        <v>0.60182000000000002</v>
      </c>
      <c r="G28" s="34">
        <f>RTD("fxbluelabs.excelrtd", , "21422436","@bh,AUDCAD,d1,close,26")</f>
        <v>0.92062999999999995</v>
      </c>
      <c r="H28" s="34">
        <f>RTD("fxbluelabs.excelrtd", , "21422436","@bh,EURUSD,d1,close,26")</f>
        <v>1.0898600000000001</v>
      </c>
      <c r="I28" s="34">
        <f>RTD("fxbluelabs.excelrtd", , "21422436","@bh,EURCAD,d1,close,26")</f>
        <v>1.4901</v>
      </c>
      <c r="J28" s="34">
        <f>RTD("fxbluelabs.excelrtd", , "21422436","@bh,EURGBP,d1,close,26")</f>
        <v>0.84006999999999998</v>
      </c>
      <c r="K28" s="34">
        <f>RTD("fxbluelabs.excelrtd", , "21422436","@bh,EURCHF,d1,close,26")</f>
        <v>0.97411999999999999</v>
      </c>
      <c r="L28" s="35">
        <f>RTD("fxbluelabs.excelrtd", , "21422436","@bh,EURJPY,d1,close,26")</f>
        <v>172.63900000000001</v>
      </c>
      <c r="M28" s="34">
        <f>RTD("fxbluelabs.excelrtd", , "21422436","@bh,EURAUD,d1,close,26")</f>
        <v>1.6184700000000001</v>
      </c>
      <c r="N28" s="34">
        <f>RTD("fxbluelabs.excelrtd", , "21422436","@bh,EURNZD,d1,close,26")</f>
        <v>1.80141</v>
      </c>
      <c r="O28" s="34">
        <f>RTD("fxbluelabs.excelrtd", , "21422436","@bh,GBPUSD,d1,close,26")</f>
        <v>1.2972999999999999</v>
      </c>
      <c r="P28" s="34">
        <f>RTD("fxbluelabs.excelrtd", , "21422436","@bh,GBPAUD,d1,close,26")</f>
        <v>1.92652</v>
      </c>
      <c r="Q28" s="34">
        <f>RTD("fxbluelabs.excelrtd", , "21422436","@bh,GBPNZD,d1,close,26")</f>
        <v>2.14419</v>
      </c>
      <c r="R28" s="34">
        <f>RTD("fxbluelabs.excelrtd", , "21422436","@bh,GBPCAD,d1,close,26")</f>
        <v>1.77372</v>
      </c>
      <c r="S28" s="34">
        <f>RTD("fxbluelabs.excelrtd", , "21422436","@bh,GBPCHF,d1,close,26")</f>
        <v>1.1595</v>
      </c>
      <c r="T28" s="35">
        <f>RTD("fxbluelabs.excelrtd", , "21422436","@bh,GBPJPY,d1,close,26")</f>
        <v>205.495</v>
      </c>
      <c r="U28" s="35">
        <f>RTD("fxbluelabs.excelrtd", , "21422436","@bh,NZDJPY,d1,close,26")</f>
        <v>95.813999999999993</v>
      </c>
      <c r="V28" s="34">
        <f>RTD("fxbluelabs.excelrtd", , "21422436","@bh,NZDCHF,d1,close,26")</f>
        <v>0.54064000000000001</v>
      </c>
      <c r="W28" s="34">
        <f>RTD("fxbluelabs.excelrtd", , "21422436","@bh,NZDUSD,d1,close,26")</f>
        <v>0.60497000000000001</v>
      </c>
      <c r="X28" s="34">
        <f>RTD("fxbluelabs.excelrtd", , "21422436","@bh,NZDCAD,d1,close,26")</f>
        <v>0.82711999999999997</v>
      </c>
      <c r="Y28" s="35">
        <f>RTD("fxbluelabs.excelrtd", , "21422436","@bh,CADJPY,d1,close,26")</f>
        <v>115.849</v>
      </c>
      <c r="Z28" s="34">
        <f>RTD("fxbluelabs.excelrtd", , "21422436","@bh,CADCHF,d1,close,26")</f>
        <v>0.65366999999999997</v>
      </c>
      <c r="AA28" s="35">
        <f>RTD("fxbluelabs.excelrtd", , "21422436","@bh,CHFJPY,d1,close,26")</f>
        <v>177.20500000000001</v>
      </c>
      <c r="AB28" s="34">
        <f>RTD("fxbluelabs.excelrtd", , "21422436","@bh,USDCAD,d1,close,26")</f>
        <v>1.3672800000000001</v>
      </c>
      <c r="AC28" s="34">
        <f>RTD("fxbluelabs.excelrtd", , "21422436","@bh,USDCHF,d1,close,26")</f>
        <v>0.89380000000000004</v>
      </c>
      <c r="AD28" s="35">
        <f>RTD("fxbluelabs.excelrtd", , "21422436","@bh,USDJPY,d1,close,26")</f>
        <v>158.404</v>
      </c>
      <c r="AH28" s="21">
        <v>27</v>
      </c>
      <c r="AI28" s="27">
        <f>IF(C28=0,0,(C28-C29)*100/C29)</f>
        <v>-0.38463814426889859</v>
      </c>
      <c r="AJ28" s="27">
        <f t="shared" si="40"/>
        <v>1.9771548741351019E-2</v>
      </c>
      <c r="AK28" s="27">
        <f t="shared" si="40"/>
        <v>-0.1787535914497782</v>
      </c>
      <c r="AL28" s="27">
        <f t="shared" si="40"/>
        <v>-0.59955405070609002</v>
      </c>
      <c r="AM28" s="27">
        <f t="shared" si="40"/>
        <v>-0.45306113622110544</v>
      </c>
      <c r="AN28" s="27">
        <f t="shared" si="40"/>
        <v>3.8551916581003723E-2</v>
      </c>
      <c r="AO28" s="27">
        <f t="shared" si="40"/>
        <v>-3.0860884499793833E-2</v>
      </c>
      <c r="AP28" s="27">
        <f t="shared" si="40"/>
        <v>-8.3319446758890782E-3</v>
      </c>
      <c r="AQ28" s="27">
        <f t="shared" si="40"/>
        <v>-0.17625840301689363</v>
      </c>
      <c r="AR28" s="27">
        <f t="shared" si="40"/>
        <v>0.24096525455222298</v>
      </c>
      <c r="AS28" s="27">
        <f t="shared" si="40"/>
        <v>0.42503816036038411</v>
      </c>
      <c r="AT28" s="27">
        <f t="shared" si="40"/>
        <v>0.44495742794532689</v>
      </c>
      <c r="AU28" s="27">
        <f t="shared" si="40"/>
        <v>4.0870778935348552E-2</v>
      </c>
      <c r="AV28" s="27">
        <f t="shared" si="40"/>
        <v>0.42798087900287496</v>
      </c>
      <c r="AW28" s="27">
        <f t="shared" si="40"/>
        <v>0.44785278947639695</v>
      </c>
      <c r="AX28" s="27">
        <f t="shared" si="39"/>
        <v>-2.8181398022790013E-2</v>
      </c>
      <c r="AY28" s="27">
        <f t="shared" si="39"/>
        <v>-0.17476948507571705</v>
      </c>
      <c r="AZ28" s="27">
        <f t="shared" si="39"/>
        <v>0.24830964065839353</v>
      </c>
      <c r="BA28" s="27">
        <f t="shared" si="39"/>
        <v>-0.20518482257241644</v>
      </c>
      <c r="BB28" s="27">
        <f t="shared" si="39"/>
        <v>-0.62678062678063118</v>
      </c>
      <c r="BC28" s="27">
        <f t="shared" si="39"/>
        <v>-0.41154295685382764</v>
      </c>
      <c r="BD28" s="27">
        <f t="shared" si="39"/>
        <v>-0.48008085572307502</v>
      </c>
      <c r="BE28" s="27">
        <f t="shared" si="39"/>
        <v>0.2752507984869843</v>
      </c>
      <c r="BF28" s="27">
        <f t="shared" si="39"/>
        <v>-0.14817304167176257</v>
      </c>
      <c r="BG28" s="27">
        <f t="shared" si="39"/>
        <v>0.41877755488309604</v>
      </c>
      <c r="BH28" s="27">
        <f t="shared" si="39"/>
        <v>-6.8702401660547349E-2</v>
      </c>
      <c r="BI28" s="27">
        <f t="shared" si="39"/>
        <v>-0.21546671430006667</v>
      </c>
      <c r="BJ28" s="27">
        <f t="shared" si="39"/>
        <v>0.20242402773208748</v>
      </c>
      <c r="BN28">
        <v>27</v>
      </c>
      <c r="BO28" s="28">
        <f t="shared" si="5"/>
        <v>-0.38463814426889859</v>
      </c>
      <c r="BP28" s="28">
        <f t="shared" si="2"/>
        <v>1.9771548741351019E-2</v>
      </c>
      <c r="BQ28" s="28">
        <f t="shared" si="42"/>
        <v>-0.1787535914497782</v>
      </c>
      <c r="BR28" s="28">
        <f t="shared" si="42"/>
        <v>-0.59955405070609002</v>
      </c>
      <c r="BS28" s="28">
        <f t="shared" si="42"/>
        <v>-0.45306113622110544</v>
      </c>
      <c r="BT28" s="28">
        <f t="shared" si="41"/>
        <v>3.8551916581003723E-2</v>
      </c>
      <c r="BU28" s="28">
        <f t="shared" si="41"/>
        <v>-3.0860884499793833E-2</v>
      </c>
      <c r="BV28" s="28">
        <f t="shared" si="41"/>
        <v>-8.3319446758890782E-3</v>
      </c>
      <c r="BW28" s="28">
        <f t="shared" si="41"/>
        <v>-0.17625840301689363</v>
      </c>
      <c r="BX28" s="28">
        <f t="shared" si="41"/>
        <v>0.24096525455222298</v>
      </c>
      <c r="BY28" s="28">
        <f t="shared" si="41"/>
        <v>0.42503816036038411</v>
      </c>
      <c r="BZ28" s="28">
        <f t="shared" si="41"/>
        <v>0.44495742794532689</v>
      </c>
      <c r="CA28" s="28">
        <f t="shared" si="41"/>
        <v>4.0870778935348552E-2</v>
      </c>
      <c r="CB28" s="28">
        <f t="shared" si="41"/>
        <v>0.42798087900287496</v>
      </c>
      <c r="CC28" s="28">
        <f t="shared" si="41"/>
        <v>0.44785278947639695</v>
      </c>
      <c r="CD28" s="28">
        <f t="shared" si="41"/>
        <v>-2.8181398022790013E-2</v>
      </c>
      <c r="CE28" s="28">
        <f t="shared" si="41"/>
        <v>-0.17476948507571705</v>
      </c>
      <c r="CF28" s="28">
        <f t="shared" si="41"/>
        <v>0.24830964065839353</v>
      </c>
      <c r="CG28" s="28">
        <f t="shared" si="41"/>
        <v>-0.20518482257241644</v>
      </c>
      <c r="CH28" s="28">
        <f t="shared" si="41"/>
        <v>-0.62678062678063118</v>
      </c>
      <c r="CI28" s="28">
        <f t="shared" si="41"/>
        <v>-0.41154295685382764</v>
      </c>
      <c r="CJ28" s="28">
        <f t="shared" si="41"/>
        <v>-0.48008085572307502</v>
      </c>
      <c r="CK28" s="28">
        <f t="shared" si="41"/>
        <v>0.2752507984869843</v>
      </c>
      <c r="CL28" s="28">
        <f t="shared" si="43"/>
        <v>-0.14817304167176257</v>
      </c>
      <c r="CM28" s="28">
        <f t="shared" si="43"/>
        <v>0.41877755488309604</v>
      </c>
      <c r="CN28" s="28">
        <f t="shared" si="43"/>
        <v>-6.8702401660547349E-2</v>
      </c>
      <c r="CO28" s="28">
        <f t="shared" si="43"/>
        <v>-0.21546671430006667</v>
      </c>
      <c r="CP28" s="28">
        <f t="shared" si="43"/>
        <v>0.20242402773208748</v>
      </c>
      <c r="CU28" s="21">
        <v>27</v>
      </c>
      <c r="CV28" s="29">
        <f t="shared" si="6"/>
        <v>0.93406152724636116</v>
      </c>
      <c r="CW28" s="29">
        <f t="shared" si="7"/>
        <v>0.63501331737784739</v>
      </c>
      <c r="CX28" s="29">
        <f t="shared" si="8"/>
        <v>1.1879644329425334</v>
      </c>
      <c r="CY28" s="29">
        <f t="shared" si="9"/>
        <v>2.2116068347624944</v>
      </c>
      <c r="CZ28" s="29">
        <f t="shared" si="10"/>
        <v>0.97039514965039608</v>
      </c>
      <c r="DA28" s="29">
        <f t="shared" si="11"/>
        <v>-2.4492544132677798</v>
      </c>
      <c r="DB28" s="29">
        <f t="shared" si="12"/>
        <v>-2.6361710280930248</v>
      </c>
      <c r="DC28" s="29">
        <f t="shared" si="13"/>
        <v>-1.0017888622905897</v>
      </c>
      <c r="DF28" s="48">
        <v>27</v>
      </c>
      <c r="DG28" s="49">
        <f t="shared" si="36"/>
        <v>-6.8702401660547349E-2</v>
      </c>
      <c r="DH28" s="49">
        <f t="shared" si="14"/>
        <v>-3.0860884499793833E-2</v>
      </c>
      <c r="DI28" s="49">
        <f t="shared" si="15"/>
        <v>-0.21546671430006667</v>
      </c>
      <c r="DJ28" s="49">
        <f t="shared" si="16"/>
        <v>-0.17625840301689363</v>
      </c>
      <c r="DK28" s="49">
        <f t="shared" si="17"/>
        <v>-4.0870778935348552E-2</v>
      </c>
      <c r="DL28" s="49">
        <f t="shared" si="18"/>
        <v>-8.3319446758890782E-3</v>
      </c>
      <c r="DM28" s="49">
        <f t="shared" si="19"/>
        <v>0.38463814426889859</v>
      </c>
      <c r="DN28" s="49">
        <f t="shared" si="20"/>
        <v>0.42503816036038411</v>
      </c>
      <c r="DO28" s="49">
        <f t="shared" si="21"/>
        <v>0.41154295685382764</v>
      </c>
      <c r="DP28" s="49">
        <f t="shared" si="22"/>
        <v>0.44495742794532689</v>
      </c>
      <c r="DQ28" s="49">
        <f t="shared" si="23"/>
        <v>0.20242402773208748</v>
      </c>
      <c r="DR28" s="49">
        <f t="shared" si="24"/>
        <v>0.24096525455222298</v>
      </c>
      <c r="DS28" s="49">
        <f t="shared" si="25"/>
        <v>-3.8551916581003723E-2</v>
      </c>
      <c r="DT28" s="49">
        <f t="shared" si="26"/>
        <v>3.8551916581003723E-2</v>
      </c>
      <c r="DX28">
        <v>27</v>
      </c>
      <c r="DY28" s="19">
        <f t="shared" si="27"/>
        <v>-3.2711843454708722</v>
      </c>
      <c r="EM28" s="21">
        <v>27</v>
      </c>
      <c r="EN28" s="16">
        <f t="shared" si="28"/>
        <v>0.93406152724636116</v>
      </c>
      <c r="EO28" s="16">
        <f t="shared" si="4"/>
        <v>0.63501331737784739</v>
      </c>
      <c r="EP28" s="16">
        <f t="shared" si="29"/>
        <v>1.1879644329425334</v>
      </c>
      <c r="EQ28" s="16">
        <f t="shared" si="30"/>
        <v>2.2116068347624944</v>
      </c>
      <c r="ER28" s="16">
        <f t="shared" si="31"/>
        <v>0.97039514965039608</v>
      </c>
      <c r="ES28" s="16">
        <f t="shared" si="32"/>
        <v>-2.4492544132677798</v>
      </c>
      <c r="ET28" s="16">
        <f t="shared" si="33"/>
        <v>-2.6361710280930248</v>
      </c>
      <c r="EU28" s="16">
        <f t="shared" si="34"/>
        <v>-1.0017888622905897</v>
      </c>
      <c r="FK28" s="20"/>
      <c r="FL28" s="20"/>
    </row>
    <row r="29" spans="1:168" ht="14.4" thickBot="1" x14ac:dyDescent="0.35">
      <c r="A29" s="37" t="s">
        <v>51</v>
      </c>
      <c r="B29" s="38">
        <v>27</v>
      </c>
      <c r="C29" s="34">
        <f>RTD("fxbluelabs.excelrtd", , "21422436","@bh,AUDUSD,d1,close,27")</f>
        <v>0.67596000000000001</v>
      </c>
      <c r="D29" s="34">
        <f>RTD("fxbluelabs.excelrtd", , "21422436","@bh,AUDNZD,d1,close,27")</f>
        <v>1.1127100000000001</v>
      </c>
      <c r="E29" s="35">
        <f>RTD("fxbluelabs.excelrtd", , "21422436","@bh,AUDJPY,d1,close,27")</f>
        <v>106.851</v>
      </c>
      <c r="F29" s="34">
        <f>RTD("fxbluelabs.excelrtd", , "21422436","@bh,AUDCHF,d1,close,27")</f>
        <v>0.60545000000000004</v>
      </c>
      <c r="G29" s="34">
        <f>RTD("fxbluelabs.excelrtd", , "21422436","@bh,AUDCAD,d1,close,27")</f>
        <v>0.92481999999999998</v>
      </c>
      <c r="H29" s="34">
        <f>RTD("fxbluelabs.excelrtd", , "21422436","@bh,EURUSD,d1,close,27")</f>
        <v>1.08944</v>
      </c>
      <c r="I29" s="34">
        <f>RTD("fxbluelabs.excelrtd", , "21422436","@bh,EURCAD,d1,close,27")</f>
        <v>1.4905600000000001</v>
      </c>
      <c r="J29" s="34">
        <f>RTD("fxbluelabs.excelrtd", , "21422436","@bh,EURGBP,d1,close,27")</f>
        <v>0.84014</v>
      </c>
      <c r="K29" s="34">
        <f>RTD("fxbluelabs.excelrtd", , "21422436","@bh,EURCHF,d1,close,27")</f>
        <v>0.97584000000000004</v>
      </c>
      <c r="L29" s="35">
        <f>RTD("fxbluelabs.excelrtd", , "21422436","@bh,EURJPY,d1,close,27")</f>
        <v>172.22399999999999</v>
      </c>
      <c r="M29" s="34">
        <f>RTD("fxbluelabs.excelrtd", , "21422436","@bh,EURAUD,d1,close,27")</f>
        <v>1.6116200000000001</v>
      </c>
      <c r="N29" s="34">
        <f>RTD("fxbluelabs.excelrtd", , "21422436","@bh,EURNZD,d1,close,27")</f>
        <v>1.7934300000000001</v>
      </c>
      <c r="O29" s="34">
        <f>RTD("fxbluelabs.excelrtd", , "21422436","@bh,GBPUSD,d1,close,27")</f>
        <v>1.29677</v>
      </c>
      <c r="P29" s="34">
        <f>RTD("fxbluelabs.excelrtd", , "21422436","@bh,GBPAUD,d1,close,27")</f>
        <v>1.91831</v>
      </c>
      <c r="Q29" s="34">
        <f>RTD("fxbluelabs.excelrtd", , "21422436","@bh,GBPNZD,d1,close,27")</f>
        <v>2.13463</v>
      </c>
      <c r="R29" s="34">
        <f>RTD("fxbluelabs.excelrtd", , "21422436","@bh,GBPCAD,d1,close,27")</f>
        <v>1.7742199999999999</v>
      </c>
      <c r="S29" s="34">
        <f>RTD("fxbluelabs.excelrtd", , "21422436","@bh,GBPCHF,d1,close,27")</f>
        <v>1.16153</v>
      </c>
      <c r="T29" s="35">
        <f>RTD("fxbluelabs.excelrtd", , "21422436","@bh,GBPJPY,d1,close,27")</f>
        <v>204.98599999999999</v>
      </c>
      <c r="U29" s="35">
        <f>RTD("fxbluelabs.excelrtd", , "21422436","@bh,NZDJPY,d1,close,27")</f>
        <v>96.010999999999996</v>
      </c>
      <c r="V29" s="34">
        <f>RTD("fxbluelabs.excelrtd", , "21422436","@bh,NZDCHF,d1,close,27")</f>
        <v>0.54405000000000003</v>
      </c>
      <c r="W29" s="34">
        <f>RTD("fxbluelabs.excelrtd", , "21422436","@bh,NZDUSD,d1,close,27")</f>
        <v>0.60746999999999995</v>
      </c>
      <c r="X29" s="34">
        <f>RTD("fxbluelabs.excelrtd", , "21422436","@bh,NZDCAD,d1,close,27")</f>
        <v>0.83111000000000002</v>
      </c>
      <c r="Y29" s="35">
        <f>RTD("fxbluelabs.excelrtd", , "21422436","@bh,CADJPY,d1,close,27")</f>
        <v>115.53100000000001</v>
      </c>
      <c r="Z29" s="34">
        <f>RTD("fxbluelabs.excelrtd", , "21422436","@bh,CADCHF,d1,close,27")</f>
        <v>0.65464</v>
      </c>
      <c r="AA29" s="35">
        <f>RTD("fxbluelabs.excelrtd", , "21422436","@bh,CHFJPY,d1,close,27")</f>
        <v>176.46600000000001</v>
      </c>
      <c r="AB29" s="34">
        <f>RTD("fxbluelabs.excelrtd", , "21422436","@bh,USDCAD,d1,close,27")</f>
        <v>1.36822</v>
      </c>
      <c r="AC29" s="34">
        <f>RTD("fxbluelabs.excelrtd", , "21422436","@bh,USDCHF,d1,close,27")</f>
        <v>0.89573000000000003</v>
      </c>
      <c r="AD29" s="35">
        <f>RTD("fxbluelabs.excelrtd", , "21422436","@bh,USDJPY,d1,close,27")</f>
        <v>158.084</v>
      </c>
      <c r="AH29" s="21">
        <v>28</v>
      </c>
      <c r="AI29" s="22">
        <f>0</f>
        <v>0</v>
      </c>
      <c r="AJ29" s="22">
        <f>0</f>
        <v>0</v>
      </c>
      <c r="AK29" s="22">
        <f>0</f>
        <v>0</v>
      </c>
      <c r="AL29" s="22">
        <f>0</f>
        <v>0</v>
      </c>
      <c r="AM29" s="22">
        <f>0</f>
        <v>0</v>
      </c>
      <c r="AN29" s="22">
        <f>0</f>
        <v>0</v>
      </c>
      <c r="AO29" s="22">
        <f>0</f>
        <v>0</v>
      </c>
      <c r="AP29" s="22">
        <f>0</f>
        <v>0</v>
      </c>
      <c r="AQ29" s="22">
        <f>0</f>
        <v>0</v>
      </c>
      <c r="AR29" s="22">
        <f>0</f>
        <v>0</v>
      </c>
      <c r="AS29" s="22">
        <f>0</f>
        <v>0</v>
      </c>
      <c r="AT29" s="22">
        <f>0</f>
        <v>0</v>
      </c>
      <c r="AU29" s="22">
        <f>0</f>
        <v>0</v>
      </c>
      <c r="AV29" s="22">
        <f>0</f>
        <v>0</v>
      </c>
      <c r="AW29" s="22">
        <f>0</f>
        <v>0</v>
      </c>
      <c r="AX29" s="22">
        <f>0</f>
        <v>0</v>
      </c>
      <c r="AY29" s="22">
        <f>0</f>
        <v>0</v>
      </c>
      <c r="AZ29" s="22">
        <f>0</f>
        <v>0</v>
      </c>
      <c r="BA29" s="22">
        <f>0</f>
        <v>0</v>
      </c>
      <c r="BB29" s="22">
        <f>0</f>
        <v>0</v>
      </c>
      <c r="BC29" s="22">
        <f>0</f>
        <v>0</v>
      </c>
      <c r="BD29" s="22">
        <f>0</f>
        <v>0</v>
      </c>
      <c r="BE29" s="22">
        <f>0</f>
        <v>0</v>
      </c>
      <c r="BF29" s="22">
        <f>0</f>
        <v>0</v>
      </c>
      <c r="BG29" s="22">
        <f>0</f>
        <v>0</v>
      </c>
      <c r="BH29" s="22">
        <f>0</f>
        <v>0</v>
      </c>
      <c r="BI29" s="22">
        <f>0</f>
        <v>0</v>
      </c>
      <c r="BJ29" s="22">
        <f>0</f>
        <v>0</v>
      </c>
      <c r="BN29">
        <v>28</v>
      </c>
      <c r="BO29" s="23">
        <f t="shared" ref="BO29:BO37" si="44">AI29+SUM(AI30:AI130)</f>
        <v>0</v>
      </c>
      <c r="BP29" s="23">
        <f t="shared" ref="BP29:BP37" si="45">AJ29+SUM(AJ30:AJ130)</f>
        <v>0</v>
      </c>
      <c r="BQ29" s="23">
        <f t="shared" ref="BQ29:CP37" si="46">AK29+SUM(AK30:AK130)</f>
        <v>0</v>
      </c>
      <c r="BR29" s="23">
        <f t="shared" si="46"/>
        <v>0</v>
      </c>
      <c r="BS29" s="23">
        <f t="shared" si="46"/>
        <v>0</v>
      </c>
      <c r="BT29" s="23">
        <f t="shared" si="46"/>
        <v>0</v>
      </c>
      <c r="BU29" s="23">
        <f t="shared" si="46"/>
        <v>0</v>
      </c>
      <c r="BV29" s="23">
        <f t="shared" si="46"/>
        <v>0</v>
      </c>
      <c r="BW29" s="23">
        <f t="shared" si="46"/>
        <v>0</v>
      </c>
      <c r="BX29" s="23">
        <f t="shared" si="46"/>
        <v>0</v>
      </c>
      <c r="BY29" s="23">
        <f t="shared" si="46"/>
        <v>0</v>
      </c>
      <c r="BZ29" s="23">
        <f t="shared" si="46"/>
        <v>0</v>
      </c>
      <c r="CA29" s="23">
        <f t="shared" si="46"/>
        <v>0</v>
      </c>
      <c r="CB29" s="23">
        <f t="shared" si="46"/>
        <v>0</v>
      </c>
      <c r="CC29" s="23">
        <f t="shared" si="46"/>
        <v>0</v>
      </c>
      <c r="CD29" s="23">
        <f t="shared" si="46"/>
        <v>0</v>
      </c>
      <c r="CE29" s="23">
        <f t="shared" si="46"/>
        <v>0</v>
      </c>
      <c r="CF29" s="23">
        <f t="shared" si="46"/>
        <v>0</v>
      </c>
      <c r="CG29" s="23">
        <f t="shared" si="46"/>
        <v>0</v>
      </c>
      <c r="CH29" s="23">
        <f t="shared" si="46"/>
        <v>0</v>
      </c>
      <c r="CI29" s="23">
        <f t="shared" si="46"/>
        <v>0</v>
      </c>
      <c r="CJ29" s="23">
        <f t="shared" si="46"/>
        <v>0</v>
      </c>
      <c r="CK29" s="23">
        <f t="shared" si="46"/>
        <v>0</v>
      </c>
      <c r="CL29" s="23">
        <f t="shared" si="46"/>
        <v>0</v>
      </c>
      <c r="CM29" s="23">
        <f t="shared" si="46"/>
        <v>0</v>
      </c>
      <c r="CN29" s="23">
        <f t="shared" si="46"/>
        <v>0</v>
      </c>
      <c r="CO29" s="23">
        <f t="shared" si="46"/>
        <v>0</v>
      </c>
      <c r="CP29" s="23">
        <f t="shared" si="46"/>
        <v>0</v>
      </c>
      <c r="CU29" s="21">
        <v>28</v>
      </c>
      <c r="CV29" s="24">
        <f t="shared" si="6"/>
        <v>0</v>
      </c>
      <c r="CW29" s="24">
        <f t="shared" si="7"/>
        <v>0</v>
      </c>
      <c r="CX29" s="24">
        <f t="shared" si="8"/>
        <v>0</v>
      </c>
      <c r="CY29" s="24">
        <f t="shared" si="9"/>
        <v>0</v>
      </c>
      <c r="CZ29" s="24">
        <f t="shared" si="10"/>
        <v>0</v>
      </c>
      <c r="DA29" s="24">
        <f t="shared" si="11"/>
        <v>0</v>
      </c>
      <c r="DB29" s="24">
        <f t="shared" si="12"/>
        <v>0</v>
      </c>
      <c r="DC29" s="24">
        <f t="shared" si="13"/>
        <v>0</v>
      </c>
      <c r="DF29" s="44">
        <v>28</v>
      </c>
      <c r="DG29" s="47">
        <f t="shared" si="36"/>
        <v>0</v>
      </c>
      <c r="DH29" s="47">
        <f t="shared" si="14"/>
        <v>0</v>
      </c>
      <c r="DI29" s="47">
        <f t="shared" si="15"/>
        <v>0</v>
      </c>
      <c r="DJ29" s="47">
        <f t="shared" si="16"/>
        <v>0</v>
      </c>
      <c r="DK29" s="47">
        <f t="shared" si="17"/>
        <v>0</v>
      </c>
      <c r="DL29" s="47">
        <f t="shared" si="18"/>
        <v>0</v>
      </c>
      <c r="DM29" s="47">
        <f t="shared" si="19"/>
        <v>0</v>
      </c>
      <c r="DN29" s="47">
        <f t="shared" si="20"/>
        <v>0</v>
      </c>
      <c r="DO29" s="47">
        <f t="shared" si="21"/>
        <v>0</v>
      </c>
      <c r="DP29" s="47">
        <f t="shared" si="22"/>
        <v>0</v>
      </c>
      <c r="DQ29" s="47">
        <f t="shared" si="23"/>
        <v>0</v>
      </c>
      <c r="DR29" s="47">
        <f t="shared" si="24"/>
        <v>0</v>
      </c>
      <c r="DS29" s="47">
        <f t="shared" si="25"/>
        <v>0</v>
      </c>
      <c r="DT29" s="47">
        <f t="shared" si="26"/>
        <v>0</v>
      </c>
      <c r="DX29">
        <v>28</v>
      </c>
      <c r="DY29" s="19">
        <f t="shared" si="27"/>
        <v>0</v>
      </c>
      <c r="EM29" s="21">
        <v>28</v>
      </c>
      <c r="EN29" s="16">
        <f t="shared" si="28"/>
        <v>0</v>
      </c>
      <c r="EO29" s="16">
        <f t="shared" si="4"/>
        <v>0</v>
      </c>
      <c r="EP29" s="16">
        <f t="shared" si="29"/>
        <v>0</v>
      </c>
      <c r="EQ29" s="16">
        <f t="shared" si="30"/>
        <v>0</v>
      </c>
      <c r="ER29" s="16">
        <f t="shared" si="31"/>
        <v>0</v>
      </c>
      <c r="ES29" s="16">
        <f t="shared" si="32"/>
        <v>0</v>
      </c>
      <c r="ET29" s="16">
        <f t="shared" si="33"/>
        <v>0</v>
      </c>
      <c r="EU29" s="16">
        <f t="shared" si="34"/>
        <v>0</v>
      </c>
      <c r="FK29" s="20"/>
      <c r="FL29" s="20"/>
    </row>
    <row r="30" spans="1:168" ht="14.4" thickBot="1" x14ac:dyDescent="0.35">
      <c r="C30" s="36">
        <v>0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H30" s="13">
        <v>29</v>
      </c>
      <c r="AI30" s="27">
        <f t="shared" ref="AI30:AX36" si="47">IF(C30=0,0,(C30-C31)*100/C31)</f>
        <v>0</v>
      </c>
      <c r="AJ30" s="27">
        <f t="shared" si="47"/>
        <v>0</v>
      </c>
      <c r="AK30" s="27">
        <f t="shared" si="47"/>
        <v>0</v>
      </c>
      <c r="AL30" s="27">
        <f t="shared" si="47"/>
        <v>0</v>
      </c>
      <c r="AM30" s="27">
        <f t="shared" si="47"/>
        <v>0</v>
      </c>
      <c r="AN30" s="27">
        <f t="shared" si="47"/>
        <v>0</v>
      </c>
      <c r="AO30" s="27">
        <f t="shared" si="47"/>
        <v>0</v>
      </c>
      <c r="AP30" s="27">
        <f t="shared" si="47"/>
        <v>0</v>
      </c>
      <c r="AQ30" s="27">
        <f t="shared" si="47"/>
        <v>0</v>
      </c>
      <c r="AR30" s="27">
        <f t="shared" si="47"/>
        <v>0</v>
      </c>
      <c r="AS30" s="27">
        <f t="shared" si="47"/>
        <v>0</v>
      </c>
      <c r="AT30" s="27">
        <f t="shared" si="47"/>
        <v>0</v>
      </c>
      <c r="AU30" s="27">
        <f t="shared" si="47"/>
        <v>0</v>
      </c>
      <c r="AV30" s="27">
        <f t="shared" si="47"/>
        <v>0</v>
      </c>
      <c r="AW30" s="27">
        <f t="shared" si="47"/>
        <v>0</v>
      </c>
      <c r="AX30" s="27">
        <f t="shared" si="47"/>
        <v>0</v>
      </c>
      <c r="AY30" s="27">
        <f t="shared" ref="AY30:BJ36" si="48">IF(S30=0,0,(S30-S31)*100/S31)</f>
        <v>0</v>
      </c>
      <c r="AZ30" s="27">
        <f t="shared" si="48"/>
        <v>0</v>
      </c>
      <c r="BA30" s="27">
        <f t="shared" si="48"/>
        <v>0</v>
      </c>
      <c r="BB30" s="27">
        <f t="shared" si="48"/>
        <v>0</v>
      </c>
      <c r="BC30" s="27">
        <f t="shared" si="48"/>
        <v>0</v>
      </c>
      <c r="BD30" s="27">
        <f t="shared" si="48"/>
        <v>0</v>
      </c>
      <c r="BE30" s="27">
        <f t="shared" si="48"/>
        <v>0</v>
      </c>
      <c r="BF30" s="27">
        <f t="shared" si="48"/>
        <v>0</v>
      </c>
      <c r="BG30" s="27">
        <f t="shared" si="48"/>
        <v>0</v>
      </c>
      <c r="BH30" s="27">
        <f t="shared" si="48"/>
        <v>0</v>
      </c>
      <c r="BI30" s="27">
        <f t="shared" si="48"/>
        <v>0</v>
      </c>
      <c r="BJ30" s="27">
        <f t="shared" si="48"/>
        <v>0</v>
      </c>
      <c r="BN30">
        <v>29</v>
      </c>
      <c r="BO30" s="28">
        <f t="shared" si="44"/>
        <v>0</v>
      </c>
      <c r="BP30" s="28">
        <f t="shared" si="45"/>
        <v>0</v>
      </c>
      <c r="BQ30" s="28">
        <f t="shared" si="46"/>
        <v>0</v>
      </c>
      <c r="BR30" s="28">
        <f t="shared" si="46"/>
        <v>0</v>
      </c>
      <c r="BS30" s="28">
        <f t="shared" si="46"/>
        <v>0</v>
      </c>
      <c r="BT30" s="28">
        <f t="shared" si="46"/>
        <v>0</v>
      </c>
      <c r="BU30" s="28">
        <f t="shared" si="46"/>
        <v>0</v>
      </c>
      <c r="BV30" s="28">
        <f t="shared" si="46"/>
        <v>0</v>
      </c>
      <c r="BW30" s="28">
        <f t="shared" si="46"/>
        <v>0</v>
      </c>
      <c r="BX30" s="28">
        <f t="shared" si="46"/>
        <v>0</v>
      </c>
      <c r="BY30" s="28">
        <f t="shared" si="46"/>
        <v>0</v>
      </c>
      <c r="BZ30" s="28">
        <f t="shared" si="46"/>
        <v>0</v>
      </c>
      <c r="CA30" s="28">
        <f t="shared" si="46"/>
        <v>0</v>
      </c>
      <c r="CB30" s="28">
        <f t="shared" si="46"/>
        <v>0</v>
      </c>
      <c r="CC30" s="28">
        <f t="shared" si="46"/>
        <v>0</v>
      </c>
      <c r="CD30" s="28">
        <f t="shared" si="46"/>
        <v>0</v>
      </c>
      <c r="CE30" s="28">
        <f t="shared" si="46"/>
        <v>0</v>
      </c>
      <c r="CF30" s="28">
        <f t="shared" si="46"/>
        <v>0</v>
      </c>
      <c r="CG30" s="28">
        <f t="shared" si="46"/>
        <v>0</v>
      </c>
      <c r="CH30" s="28">
        <f t="shared" si="46"/>
        <v>0</v>
      </c>
      <c r="CI30" s="28">
        <f t="shared" si="46"/>
        <v>0</v>
      </c>
      <c r="CJ30" s="28">
        <f t="shared" si="46"/>
        <v>0</v>
      </c>
      <c r="CK30" s="28">
        <f t="shared" si="46"/>
        <v>0</v>
      </c>
      <c r="CL30" s="28">
        <f t="shared" si="46"/>
        <v>0</v>
      </c>
      <c r="CM30" s="28">
        <f t="shared" si="46"/>
        <v>0</v>
      </c>
      <c r="CN30" s="28">
        <f t="shared" si="46"/>
        <v>0</v>
      </c>
      <c r="CO30" s="28">
        <f t="shared" si="46"/>
        <v>0</v>
      </c>
      <c r="CP30" s="28">
        <f t="shared" si="46"/>
        <v>0</v>
      </c>
      <c r="CU30" s="21">
        <v>29</v>
      </c>
      <c r="CV30" s="29">
        <f t="shared" si="6"/>
        <v>0</v>
      </c>
      <c r="CW30" s="29">
        <f t="shared" si="7"/>
        <v>0</v>
      </c>
      <c r="CX30" s="29">
        <f t="shared" si="8"/>
        <v>0</v>
      </c>
      <c r="CY30" s="29">
        <f t="shared" si="9"/>
        <v>0</v>
      </c>
      <c r="CZ30" s="29">
        <f t="shared" si="10"/>
        <v>0</v>
      </c>
      <c r="DA30" s="29">
        <f t="shared" si="11"/>
        <v>0</v>
      </c>
      <c r="DB30" s="29">
        <f t="shared" si="12"/>
        <v>0</v>
      </c>
      <c r="DC30" s="29">
        <f t="shared" si="13"/>
        <v>0</v>
      </c>
      <c r="DF30" s="46">
        <v>29</v>
      </c>
      <c r="DG30" s="49">
        <f t="shared" si="36"/>
        <v>0</v>
      </c>
      <c r="DH30" s="49">
        <f t="shared" si="14"/>
        <v>0</v>
      </c>
      <c r="DI30" s="49">
        <f t="shared" si="15"/>
        <v>0</v>
      </c>
      <c r="DJ30" s="49">
        <f t="shared" si="16"/>
        <v>0</v>
      </c>
      <c r="DK30" s="49">
        <f t="shared" si="17"/>
        <v>0</v>
      </c>
      <c r="DL30" s="49">
        <f t="shared" si="18"/>
        <v>0</v>
      </c>
      <c r="DM30" s="49">
        <f t="shared" si="19"/>
        <v>0</v>
      </c>
      <c r="DN30" s="49">
        <f t="shared" si="20"/>
        <v>0</v>
      </c>
      <c r="DO30" s="49">
        <f t="shared" si="21"/>
        <v>0</v>
      </c>
      <c r="DP30" s="49">
        <f t="shared" si="22"/>
        <v>0</v>
      </c>
      <c r="DQ30" s="49">
        <f t="shared" si="23"/>
        <v>0</v>
      </c>
      <c r="DR30" s="49">
        <f t="shared" si="24"/>
        <v>0</v>
      </c>
      <c r="DS30" s="49">
        <f t="shared" si="25"/>
        <v>0</v>
      </c>
      <c r="DT30" s="49">
        <f t="shared" si="26"/>
        <v>0</v>
      </c>
      <c r="DX30">
        <v>29</v>
      </c>
      <c r="DY30" s="19">
        <f t="shared" si="27"/>
        <v>0</v>
      </c>
      <c r="EM30" s="21">
        <v>29</v>
      </c>
      <c r="EN30" s="16">
        <f t="shared" si="28"/>
        <v>0</v>
      </c>
      <c r="EO30" s="16">
        <f t="shared" si="4"/>
        <v>0</v>
      </c>
      <c r="EP30" s="16">
        <f t="shared" si="29"/>
        <v>0</v>
      </c>
      <c r="EQ30" s="16">
        <f t="shared" si="30"/>
        <v>0</v>
      </c>
      <c r="ER30" s="16">
        <f t="shared" si="31"/>
        <v>0</v>
      </c>
      <c r="ES30" s="16">
        <f t="shared" si="32"/>
        <v>0</v>
      </c>
      <c r="ET30" s="16">
        <f t="shared" si="33"/>
        <v>0</v>
      </c>
      <c r="EU30" s="16">
        <f t="shared" si="34"/>
        <v>0</v>
      </c>
      <c r="FK30" s="20"/>
      <c r="FL30" s="20"/>
    </row>
    <row r="31" spans="1:168" ht="14.4" thickBot="1" x14ac:dyDescent="0.35"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H31" s="21">
        <v>30</v>
      </c>
      <c r="AI31" s="22">
        <f t="shared" si="47"/>
        <v>0</v>
      </c>
      <c r="AJ31" s="22">
        <f t="shared" si="47"/>
        <v>0</v>
      </c>
      <c r="AK31" s="22">
        <f t="shared" si="47"/>
        <v>0</v>
      </c>
      <c r="AL31" s="22">
        <f t="shared" si="47"/>
        <v>0</v>
      </c>
      <c r="AM31" s="22">
        <f t="shared" si="47"/>
        <v>0</v>
      </c>
      <c r="AN31" s="22">
        <f t="shared" si="47"/>
        <v>0</v>
      </c>
      <c r="AO31" s="22">
        <f t="shared" si="47"/>
        <v>0</v>
      </c>
      <c r="AP31" s="22">
        <f t="shared" si="47"/>
        <v>0</v>
      </c>
      <c r="AQ31" s="22">
        <f t="shared" si="47"/>
        <v>0</v>
      </c>
      <c r="AR31" s="22">
        <f t="shared" si="47"/>
        <v>0</v>
      </c>
      <c r="AS31" s="22">
        <f t="shared" si="47"/>
        <v>0</v>
      </c>
      <c r="AT31" s="22">
        <f t="shared" si="47"/>
        <v>0</v>
      </c>
      <c r="AU31" s="22">
        <f t="shared" si="47"/>
        <v>0</v>
      </c>
      <c r="AV31" s="22">
        <f t="shared" si="47"/>
        <v>0</v>
      </c>
      <c r="AW31" s="22">
        <f t="shared" si="47"/>
        <v>0</v>
      </c>
      <c r="AX31" s="22">
        <f t="shared" si="47"/>
        <v>0</v>
      </c>
      <c r="AY31" s="22">
        <f t="shared" si="48"/>
        <v>0</v>
      </c>
      <c r="AZ31" s="22">
        <f t="shared" si="48"/>
        <v>0</v>
      </c>
      <c r="BA31" s="22">
        <f t="shared" si="48"/>
        <v>0</v>
      </c>
      <c r="BB31" s="22">
        <f t="shared" si="48"/>
        <v>0</v>
      </c>
      <c r="BC31" s="22">
        <f t="shared" si="48"/>
        <v>0</v>
      </c>
      <c r="BD31" s="22">
        <f t="shared" si="48"/>
        <v>0</v>
      </c>
      <c r="BE31" s="22">
        <f t="shared" si="48"/>
        <v>0</v>
      </c>
      <c r="BF31" s="22">
        <f t="shared" si="48"/>
        <v>0</v>
      </c>
      <c r="BG31" s="22">
        <f t="shared" si="48"/>
        <v>0</v>
      </c>
      <c r="BH31" s="22">
        <f t="shared" si="48"/>
        <v>0</v>
      </c>
      <c r="BI31" s="22">
        <f t="shared" si="48"/>
        <v>0</v>
      </c>
      <c r="BJ31" s="22">
        <f t="shared" si="48"/>
        <v>0</v>
      </c>
      <c r="BN31">
        <v>30</v>
      </c>
      <c r="BO31" s="23">
        <f t="shared" si="44"/>
        <v>0</v>
      </c>
      <c r="BP31" s="23">
        <f t="shared" si="45"/>
        <v>0</v>
      </c>
      <c r="BQ31" s="23">
        <f t="shared" si="46"/>
        <v>0</v>
      </c>
      <c r="BR31" s="23">
        <f t="shared" si="46"/>
        <v>0</v>
      </c>
      <c r="BS31" s="23">
        <f t="shared" si="46"/>
        <v>0</v>
      </c>
      <c r="BT31" s="23">
        <f t="shared" si="46"/>
        <v>0</v>
      </c>
      <c r="BU31" s="23">
        <f t="shared" si="46"/>
        <v>0</v>
      </c>
      <c r="BV31" s="23">
        <f t="shared" si="46"/>
        <v>0</v>
      </c>
      <c r="BW31" s="23">
        <f t="shared" si="46"/>
        <v>0</v>
      </c>
      <c r="BX31" s="23">
        <f t="shared" si="46"/>
        <v>0</v>
      </c>
      <c r="BY31" s="23">
        <f t="shared" si="46"/>
        <v>0</v>
      </c>
      <c r="BZ31" s="23">
        <f t="shared" si="46"/>
        <v>0</v>
      </c>
      <c r="CA31" s="23">
        <f t="shared" si="46"/>
        <v>0</v>
      </c>
      <c r="CB31" s="23">
        <f t="shared" si="46"/>
        <v>0</v>
      </c>
      <c r="CC31" s="23">
        <f t="shared" si="46"/>
        <v>0</v>
      </c>
      <c r="CD31" s="23">
        <f t="shared" si="46"/>
        <v>0</v>
      </c>
      <c r="CE31" s="23">
        <f t="shared" si="46"/>
        <v>0</v>
      </c>
      <c r="CF31" s="23">
        <f t="shared" si="46"/>
        <v>0</v>
      </c>
      <c r="CG31" s="23">
        <f t="shared" si="46"/>
        <v>0</v>
      </c>
      <c r="CH31" s="23">
        <f t="shared" si="46"/>
        <v>0</v>
      </c>
      <c r="CI31" s="23">
        <f t="shared" si="46"/>
        <v>0</v>
      </c>
      <c r="CJ31" s="23">
        <f t="shared" si="46"/>
        <v>0</v>
      </c>
      <c r="CK31" s="23">
        <f t="shared" si="46"/>
        <v>0</v>
      </c>
      <c r="CL31" s="23">
        <f t="shared" si="46"/>
        <v>0</v>
      </c>
      <c r="CM31" s="23">
        <f t="shared" si="46"/>
        <v>0</v>
      </c>
      <c r="CN31" s="23">
        <f t="shared" si="46"/>
        <v>0</v>
      </c>
      <c r="CO31" s="23">
        <f t="shared" si="46"/>
        <v>0</v>
      </c>
      <c r="CP31" s="23">
        <f t="shared" si="46"/>
        <v>0</v>
      </c>
      <c r="CU31" s="21">
        <v>30</v>
      </c>
      <c r="CV31" s="24">
        <f t="shared" si="6"/>
        <v>0</v>
      </c>
      <c r="CW31" s="24">
        <f t="shared" si="7"/>
        <v>0</v>
      </c>
      <c r="CX31" s="24">
        <f t="shared" si="8"/>
        <v>0</v>
      </c>
      <c r="CY31" s="24">
        <f t="shared" si="9"/>
        <v>0</v>
      </c>
      <c r="CZ31" s="24">
        <f t="shared" si="10"/>
        <v>0</v>
      </c>
      <c r="DA31" s="24">
        <f t="shared" si="11"/>
        <v>0</v>
      </c>
      <c r="DB31" s="24">
        <f t="shared" si="12"/>
        <v>0</v>
      </c>
      <c r="DC31" s="24">
        <f t="shared" si="13"/>
        <v>0</v>
      </c>
      <c r="DF31" s="48">
        <v>30</v>
      </c>
      <c r="DG31" s="47">
        <f t="shared" si="36"/>
        <v>0</v>
      </c>
      <c r="DH31" s="47">
        <f t="shared" si="14"/>
        <v>0</v>
      </c>
      <c r="DI31" s="47">
        <f t="shared" si="15"/>
        <v>0</v>
      </c>
      <c r="DJ31" s="47">
        <f t="shared" si="16"/>
        <v>0</v>
      </c>
      <c r="DK31" s="47">
        <f t="shared" si="17"/>
        <v>0</v>
      </c>
      <c r="DL31" s="47">
        <f t="shared" si="18"/>
        <v>0</v>
      </c>
      <c r="DM31" s="47">
        <f t="shared" si="19"/>
        <v>0</v>
      </c>
      <c r="DN31" s="47">
        <f t="shared" si="20"/>
        <v>0</v>
      </c>
      <c r="DO31" s="47">
        <f t="shared" si="21"/>
        <v>0</v>
      </c>
      <c r="DP31" s="47">
        <f t="shared" si="22"/>
        <v>0</v>
      </c>
      <c r="DQ31" s="47">
        <f t="shared" si="23"/>
        <v>0</v>
      </c>
      <c r="DR31" s="47">
        <f t="shared" si="24"/>
        <v>0</v>
      </c>
      <c r="DS31" s="47">
        <f t="shared" si="25"/>
        <v>0</v>
      </c>
      <c r="DT31" s="47">
        <f t="shared" si="26"/>
        <v>0</v>
      </c>
      <c r="DX31">
        <v>30</v>
      </c>
      <c r="DY31" s="19">
        <f t="shared" si="27"/>
        <v>0</v>
      </c>
      <c r="EM31" s="21">
        <v>30</v>
      </c>
      <c r="EN31" s="16">
        <f t="shared" si="28"/>
        <v>0</v>
      </c>
      <c r="EO31" s="16">
        <f t="shared" si="4"/>
        <v>0</v>
      </c>
      <c r="EP31" s="16">
        <f t="shared" si="29"/>
        <v>0</v>
      </c>
      <c r="EQ31" s="16">
        <f t="shared" si="30"/>
        <v>0</v>
      </c>
      <c r="ER31" s="16">
        <f t="shared" si="31"/>
        <v>0</v>
      </c>
      <c r="ES31" s="16">
        <f t="shared" si="32"/>
        <v>0</v>
      </c>
      <c r="ET31" s="16">
        <f t="shared" si="33"/>
        <v>0</v>
      </c>
      <c r="EU31" s="16">
        <f t="shared" si="34"/>
        <v>0</v>
      </c>
      <c r="FK31" s="20"/>
      <c r="FL31" s="20"/>
    </row>
    <row r="32" spans="1:168" ht="14.4" thickBot="1" x14ac:dyDescent="0.35">
      <c r="C32" s="36">
        <v>0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H32" s="21">
        <v>31</v>
      </c>
      <c r="AI32" s="27">
        <f t="shared" si="47"/>
        <v>0</v>
      </c>
      <c r="AJ32" s="27">
        <f t="shared" si="47"/>
        <v>0</v>
      </c>
      <c r="AK32" s="27">
        <f t="shared" si="47"/>
        <v>0</v>
      </c>
      <c r="AL32" s="27">
        <f t="shared" si="47"/>
        <v>0</v>
      </c>
      <c r="AM32" s="27">
        <f t="shared" si="47"/>
        <v>0</v>
      </c>
      <c r="AN32" s="27">
        <f t="shared" si="47"/>
        <v>0</v>
      </c>
      <c r="AO32" s="27">
        <f t="shared" si="47"/>
        <v>0</v>
      </c>
      <c r="AP32" s="27">
        <f t="shared" si="47"/>
        <v>0</v>
      </c>
      <c r="AQ32" s="27">
        <f t="shared" si="47"/>
        <v>0</v>
      </c>
      <c r="AR32" s="27">
        <f t="shared" si="47"/>
        <v>0</v>
      </c>
      <c r="AS32" s="27">
        <f t="shared" si="47"/>
        <v>0</v>
      </c>
      <c r="AT32" s="27">
        <f t="shared" si="47"/>
        <v>0</v>
      </c>
      <c r="AU32" s="27">
        <f t="shared" si="47"/>
        <v>0</v>
      </c>
      <c r="AV32" s="27">
        <f t="shared" si="47"/>
        <v>0</v>
      </c>
      <c r="AW32" s="27">
        <f t="shared" si="47"/>
        <v>0</v>
      </c>
      <c r="AX32" s="27">
        <f t="shared" si="47"/>
        <v>0</v>
      </c>
      <c r="AY32" s="27">
        <f t="shared" si="48"/>
        <v>0</v>
      </c>
      <c r="AZ32" s="27">
        <f t="shared" si="48"/>
        <v>0</v>
      </c>
      <c r="BA32" s="27">
        <f t="shared" si="48"/>
        <v>0</v>
      </c>
      <c r="BB32" s="27">
        <f t="shared" si="48"/>
        <v>0</v>
      </c>
      <c r="BC32" s="27">
        <f t="shared" si="48"/>
        <v>0</v>
      </c>
      <c r="BD32" s="27">
        <f t="shared" si="48"/>
        <v>0</v>
      </c>
      <c r="BE32" s="27">
        <f t="shared" si="48"/>
        <v>0</v>
      </c>
      <c r="BF32" s="27">
        <f t="shared" si="48"/>
        <v>0</v>
      </c>
      <c r="BG32" s="27">
        <f t="shared" si="48"/>
        <v>0</v>
      </c>
      <c r="BH32" s="27">
        <f t="shared" si="48"/>
        <v>0</v>
      </c>
      <c r="BI32" s="27">
        <f t="shared" si="48"/>
        <v>0</v>
      </c>
      <c r="BJ32" s="27">
        <f t="shared" si="48"/>
        <v>0</v>
      </c>
      <c r="BN32">
        <v>31</v>
      </c>
      <c r="BO32" s="28">
        <f t="shared" si="44"/>
        <v>0</v>
      </c>
      <c r="BP32" s="28">
        <f t="shared" si="45"/>
        <v>0</v>
      </c>
      <c r="BQ32" s="28">
        <f t="shared" si="46"/>
        <v>0</v>
      </c>
      <c r="BR32" s="28">
        <f t="shared" si="46"/>
        <v>0</v>
      </c>
      <c r="BS32" s="28">
        <f t="shared" si="46"/>
        <v>0</v>
      </c>
      <c r="BT32" s="28">
        <f t="shared" si="46"/>
        <v>0</v>
      </c>
      <c r="BU32" s="28">
        <f t="shared" si="46"/>
        <v>0</v>
      </c>
      <c r="BV32" s="28">
        <f t="shared" si="46"/>
        <v>0</v>
      </c>
      <c r="BW32" s="28">
        <f t="shared" si="46"/>
        <v>0</v>
      </c>
      <c r="BX32" s="28">
        <f t="shared" si="46"/>
        <v>0</v>
      </c>
      <c r="BY32" s="28">
        <f t="shared" si="46"/>
        <v>0</v>
      </c>
      <c r="BZ32" s="28">
        <f t="shared" si="46"/>
        <v>0</v>
      </c>
      <c r="CA32" s="28">
        <f t="shared" si="46"/>
        <v>0</v>
      </c>
      <c r="CB32" s="28">
        <f t="shared" si="46"/>
        <v>0</v>
      </c>
      <c r="CC32" s="28">
        <f t="shared" si="46"/>
        <v>0</v>
      </c>
      <c r="CD32" s="28">
        <f t="shared" si="46"/>
        <v>0</v>
      </c>
      <c r="CE32" s="28">
        <f t="shared" si="46"/>
        <v>0</v>
      </c>
      <c r="CF32" s="28">
        <f t="shared" si="46"/>
        <v>0</v>
      </c>
      <c r="CG32" s="28">
        <f t="shared" si="46"/>
        <v>0</v>
      </c>
      <c r="CH32" s="28">
        <f t="shared" si="46"/>
        <v>0</v>
      </c>
      <c r="CI32" s="28">
        <f t="shared" si="46"/>
        <v>0</v>
      </c>
      <c r="CJ32" s="28">
        <f t="shared" si="46"/>
        <v>0</v>
      </c>
      <c r="CK32" s="28">
        <f t="shared" si="46"/>
        <v>0</v>
      </c>
      <c r="CL32" s="28">
        <f t="shared" si="46"/>
        <v>0</v>
      </c>
      <c r="CM32" s="28">
        <f t="shared" si="46"/>
        <v>0</v>
      </c>
      <c r="CN32" s="28">
        <f t="shared" si="46"/>
        <v>0</v>
      </c>
      <c r="CO32" s="28">
        <f t="shared" si="46"/>
        <v>0</v>
      </c>
      <c r="CP32" s="28">
        <f t="shared" si="46"/>
        <v>0</v>
      </c>
      <c r="CU32" s="13">
        <v>31</v>
      </c>
      <c r="CV32" s="29">
        <f t="shared" si="6"/>
        <v>0</v>
      </c>
      <c r="CW32" s="29">
        <f t="shared" si="7"/>
        <v>0</v>
      </c>
      <c r="CX32" s="29">
        <f t="shared" si="8"/>
        <v>0</v>
      </c>
      <c r="CY32" s="29">
        <f t="shared" si="9"/>
        <v>0</v>
      </c>
      <c r="CZ32" s="29">
        <f t="shared" si="10"/>
        <v>0</v>
      </c>
      <c r="DA32" s="29">
        <f t="shared" si="11"/>
        <v>0</v>
      </c>
      <c r="DB32" s="29">
        <f t="shared" si="12"/>
        <v>0</v>
      </c>
      <c r="DC32" s="29">
        <f t="shared" si="13"/>
        <v>0</v>
      </c>
      <c r="DF32" s="46">
        <v>31</v>
      </c>
      <c r="DG32" s="49">
        <f t="shared" si="36"/>
        <v>0</v>
      </c>
      <c r="DH32" s="49">
        <f t="shared" si="14"/>
        <v>0</v>
      </c>
      <c r="DI32" s="49">
        <f t="shared" si="15"/>
        <v>0</v>
      </c>
      <c r="DJ32" s="49">
        <f t="shared" si="16"/>
        <v>0</v>
      </c>
      <c r="DK32" s="49">
        <f t="shared" si="17"/>
        <v>0</v>
      </c>
      <c r="DL32" s="49">
        <f t="shared" si="18"/>
        <v>0</v>
      </c>
      <c r="DM32" s="49">
        <f t="shared" si="19"/>
        <v>0</v>
      </c>
      <c r="DN32" s="49">
        <f t="shared" si="20"/>
        <v>0</v>
      </c>
      <c r="DO32" s="49">
        <f t="shared" si="21"/>
        <v>0</v>
      </c>
      <c r="DP32" s="49">
        <f t="shared" si="22"/>
        <v>0</v>
      </c>
      <c r="DQ32" s="49">
        <f t="shared" si="23"/>
        <v>0</v>
      </c>
      <c r="DR32" s="49">
        <f t="shared" si="24"/>
        <v>0</v>
      </c>
      <c r="DS32" s="49">
        <f t="shared" si="25"/>
        <v>0</v>
      </c>
      <c r="DT32" s="49">
        <f t="shared" si="26"/>
        <v>0</v>
      </c>
      <c r="DX32">
        <v>31</v>
      </c>
      <c r="DY32" s="19">
        <f t="shared" si="27"/>
        <v>0</v>
      </c>
      <c r="EM32" s="13">
        <v>31</v>
      </c>
      <c r="EN32" s="16">
        <f t="shared" si="28"/>
        <v>0</v>
      </c>
      <c r="EO32" s="16">
        <f t="shared" si="4"/>
        <v>0</v>
      </c>
      <c r="EP32" s="16">
        <f t="shared" si="29"/>
        <v>0</v>
      </c>
      <c r="EQ32" s="16">
        <f t="shared" si="30"/>
        <v>0</v>
      </c>
      <c r="ER32" s="16">
        <f t="shared" si="31"/>
        <v>0</v>
      </c>
      <c r="ES32" s="16">
        <f t="shared" si="32"/>
        <v>0</v>
      </c>
      <c r="ET32" s="16">
        <f t="shared" si="33"/>
        <v>0</v>
      </c>
      <c r="EU32" s="16">
        <f t="shared" si="34"/>
        <v>0</v>
      </c>
      <c r="FK32" s="20"/>
      <c r="FL32" s="20"/>
    </row>
    <row r="33" spans="3:168" ht="14.4" thickBot="1" x14ac:dyDescent="0.35"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H33" s="21">
        <v>32</v>
      </c>
      <c r="AI33" s="22">
        <f t="shared" si="47"/>
        <v>0</v>
      </c>
      <c r="AJ33" s="22">
        <f t="shared" si="47"/>
        <v>0</v>
      </c>
      <c r="AK33" s="22">
        <f t="shared" si="47"/>
        <v>0</v>
      </c>
      <c r="AL33" s="22">
        <f t="shared" si="47"/>
        <v>0</v>
      </c>
      <c r="AM33" s="22">
        <f t="shared" si="47"/>
        <v>0</v>
      </c>
      <c r="AN33" s="22">
        <f t="shared" si="47"/>
        <v>0</v>
      </c>
      <c r="AO33" s="22">
        <f t="shared" si="47"/>
        <v>0</v>
      </c>
      <c r="AP33" s="22">
        <f t="shared" si="47"/>
        <v>0</v>
      </c>
      <c r="AQ33" s="22">
        <f t="shared" si="47"/>
        <v>0</v>
      </c>
      <c r="AR33" s="22">
        <f t="shared" si="47"/>
        <v>0</v>
      </c>
      <c r="AS33" s="22">
        <f t="shared" si="47"/>
        <v>0</v>
      </c>
      <c r="AT33" s="22">
        <f t="shared" si="47"/>
        <v>0</v>
      </c>
      <c r="AU33" s="22">
        <f t="shared" si="47"/>
        <v>0</v>
      </c>
      <c r="AV33" s="22">
        <f t="shared" si="47"/>
        <v>0</v>
      </c>
      <c r="AW33" s="22">
        <f t="shared" si="47"/>
        <v>0</v>
      </c>
      <c r="AX33" s="22">
        <f t="shared" si="47"/>
        <v>0</v>
      </c>
      <c r="AY33" s="22">
        <f t="shared" si="48"/>
        <v>0</v>
      </c>
      <c r="AZ33" s="22">
        <f t="shared" si="48"/>
        <v>0</v>
      </c>
      <c r="BA33" s="22">
        <f t="shared" si="48"/>
        <v>0</v>
      </c>
      <c r="BB33" s="22">
        <f t="shared" si="48"/>
        <v>0</v>
      </c>
      <c r="BC33" s="22">
        <f t="shared" si="48"/>
        <v>0</v>
      </c>
      <c r="BD33" s="22">
        <f t="shared" si="48"/>
        <v>0</v>
      </c>
      <c r="BE33" s="22">
        <f t="shared" si="48"/>
        <v>0</v>
      </c>
      <c r="BF33" s="22">
        <f t="shared" si="48"/>
        <v>0</v>
      </c>
      <c r="BG33" s="22">
        <f t="shared" si="48"/>
        <v>0</v>
      </c>
      <c r="BH33" s="22">
        <f t="shared" si="48"/>
        <v>0</v>
      </c>
      <c r="BI33" s="22">
        <f t="shared" si="48"/>
        <v>0</v>
      </c>
      <c r="BJ33" s="22">
        <f t="shared" si="48"/>
        <v>0</v>
      </c>
      <c r="BN33">
        <v>32</v>
      </c>
      <c r="BO33" s="23">
        <f t="shared" si="44"/>
        <v>0</v>
      </c>
      <c r="BP33" s="23">
        <f t="shared" si="45"/>
        <v>0</v>
      </c>
      <c r="BQ33" s="23">
        <f t="shared" si="46"/>
        <v>0</v>
      </c>
      <c r="BR33" s="23">
        <f t="shared" si="46"/>
        <v>0</v>
      </c>
      <c r="BS33" s="23">
        <f t="shared" si="46"/>
        <v>0</v>
      </c>
      <c r="BT33" s="23">
        <f t="shared" si="46"/>
        <v>0</v>
      </c>
      <c r="BU33" s="23">
        <f t="shared" si="46"/>
        <v>0</v>
      </c>
      <c r="BV33" s="23">
        <f t="shared" si="46"/>
        <v>0</v>
      </c>
      <c r="BW33" s="23">
        <f t="shared" si="46"/>
        <v>0</v>
      </c>
      <c r="BX33" s="23">
        <f t="shared" si="46"/>
        <v>0</v>
      </c>
      <c r="BY33" s="23">
        <f t="shared" si="46"/>
        <v>0</v>
      </c>
      <c r="BZ33" s="23">
        <f t="shared" si="46"/>
        <v>0</v>
      </c>
      <c r="CA33" s="23">
        <f t="shared" si="46"/>
        <v>0</v>
      </c>
      <c r="CB33" s="23">
        <f t="shared" si="46"/>
        <v>0</v>
      </c>
      <c r="CC33" s="23">
        <f t="shared" si="46"/>
        <v>0</v>
      </c>
      <c r="CD33" s="23">
        <f t="shared" si="46"/>
        <v>0</v>
      </c>
      <c r="CE33" s="23">
        <f t="shared" si="46"/>
        <v>0</v>
      </c>
      <c r="CF33" s="23">
        <f t="shared" si="46"/>
        <v>0</v>
      </c>
      <c r="CG33" s="23">
        <f t="shared" si="46"/>
        <v>0</v>
      </c>
      <c r="CH33" s="23">
        <f t="shared" si="46"/>
        <v>0</v>
      </c>
      <c r="CI33" s="23">
        <f t="shared" si="46"/>
        <v>0</v>
      </c>
      <c r="CJ33" s="23">
        <f t="shared" si="46"/>
        <v>0</v>
      </c>
      <c r="CK33" s="23">
        <f t="shared" si="46"/>
        <v>0</v>
      </c>
      <c r="CL33" s="23">
        <f t="shared" si="46"/>
        <v>0</v>
      </c>
      <c r="CM33" s="23">
        <f t="shared" si="46"/>
        <v>0</v>
      </c>
      <c r="CN33" s="23">
        <f t="shared" si="46"/>
        <v>0</v>
      </c>
      <c r="CO33" s="23">
        <f t="shared" si="46"/>
        <v>0</v>
      </c>
      <c r="CP33" s="23">
        <f t="shared" si="46"/>
        <v>0</v>
      </c>
      <c r="CU33" s="21">
        <v>32</v>
      </c>
      <c r="CV33" s="24">
        <f t="shared" si="6"/>
        <v>0</v>
      </c>
      <c r="CW33" s="24">
        <f t="shared" si="7"/>
        <v>0</v>
      </c>
      <c r="CX33" s="24">
        <f t="shared" si="8"/>
        <v>0</v>
      </c>
      <c r="CY33" s="24">
        <f t="shared" si="9"/>
        <v>0</v>
      </c>
      <c r="CZ33" s="24">
        <f t="shared" si="10"/>
        <v>0</v>
      </c>
      <c r="DA33" s="24">
        <f t="shared" si="11"/>
        <v>0</v>
      </c>
      <c r="DB33" s="24">
        <f t="shared" si="12"/>
        <v>0</v>
      </c>
      <c r="DC33" s="24">
        <f t="shared" si="13"/>
        <v>0</v>
      </c>
      <c r="DF33" s="48">
        <v>32</v>
      </c>
      <c r="DG33" s="47">
        <f t="shared" si="36"/>
        <v>0</v>
      </c>
      <c r="DH33" s="47">
        <f t="shared" si="14"/>
        <v>0</v>
      </c>
      <c r="DI33" s="47">
        <f t="shared" si="15"/>
        <v>0</v>
      </c>
      <c r="DJ33" s="47">
        <f t="shared" si="16"/>
        <v>0</v>
      </c>
      <c r="DK33" s="47">
        <f t="shared" si="17"/>
        <v>0</v>
      </c>
      <c r="DL33" s="47">
        <f t="shared" si="18"/>
        <v>0</v>
      </c>
      <c r="DM33" s="47">
        <f t="shared" si="19"/>
        <v>0</v>
      </c>
      <c r="DN33" s="47">
        <f t="shared" si="20"/>
        <v>0</v>
      </c>
      <c r="DO33" s="47">
        <f t="shared" si="21"/>
        <v>0</v>
      </c>
      <c r="DP33" s="47">
        <f t="shared" si="22"/>
        <v>0</v>
      </c>
      <c r="DQ33" s="47">
        <f t="shared" si="23"/>
        <v>0</v>
      </c>
      <c r="DR33" s="47">
        <f t="shared" si="24"/>
        <v>0</v>
      </c>
      <c r="DS33" s="47">
        <f t="shared" si="25"/>
        <v>0</v>
      </c>
      <c r="DT33" s="47">
        <f t="shared" si="26"/>
        <v>0</v>
      </c>
      <c r="DX33">
        <v>32</v>
      </c>
      <c r="DY33" s="19">
        <f t="shared" si="27"/>
        <v>0</v>
      </c>
      <c r="EM33" s="21">
        <v>32</v>
      </c>
      <c r="EN33" s="16">
        <f t="shared" si="28"/>
        <v>0</v>
      </c>
      <c r="EO33" s="16">
        <f t="shared" si="4"/>
        <v>0</v>
      </c>
      <c r="EP33" s="16">
        <f t="shared" si="29"/>
        <v>0</v>
      </c>
      <c r="EQ33" s="16">
        <f t="shared" si="30"/>
        <v>0</v>
      </c>
      <c r="ER33" s="16">
        <f t="shared" si="31"/>
        <v>0</v>
      </c>
      <c r="ES33" s="16">
        <f t="shared" si="32"/>
        <v>0</v>
      </c>
      <c r="ET33" s="16">
        <f t="shared" si="33"/>
        <v>0</v>
      </c>
      <c r="EU33" s="16">
        <f t="shared" si="34"/>
        <v>0</v>
      </c>
      <c r="FK33" s="20"/>
      <c r="FL33" s="20"/>
    </row>
    <row r="34" spans="3:168" ht="14.4" thickBot="1" x14ac:dyDescent="0.35"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H34" s="13">
        <v>33</v>
      </c>
      <c r="AI34" s="27">
        <f t="shared" si="47"/>
        <v>0</v>
      </c>
      <c r="AJ34" s="27">
        <f t="shared" si="47"/>
        <v>0</v>
      </c>
      <c r="AK34" s="27">
        <f t="shared" si="47"/>
        <v>0</v>
      </c>
      <c r="AL34" s="27">
        <f t="shared" si="47"/>
        <v>0</v>
      </c>
      <c r="AM34" s="27">
        <f t="shared" si="47"/>
        <v>0</v>
      </c>
      <c r="AN34" s="27">
        <f t="shared" si="47"/>
        <v>0</v>
      </c>
      <c r="AO34" s="27">
        <f t="shared" si="47"/>
        <v>0</v>
      </c>
      <c r="AP34" s="27">
        <f t="shared" si="47"/>
        <v>0</v>
      </c>
      <c r="AQ34" s="27">
        <f t="shared" si="47"/>
        <v>0</v>
      </c>
      <c r="AR34" s="27">
        <f t="shared" si="47"/>
        <v>0</v>
      </c>
      <c r="AS34" s="27">
        <f t="shared" si="47"/>
        <v>0</v>
      </c>
      <c r="AT34" s="27">
        <f t="shared" si="47"/>
        <v>0</v>
      </c>
      <c r="AU34" s="27">
        <f t="shared" si="47"/>
        <v>0</v>
      </c>
      <c r="AV34" s="27">
        <f t="shared" si="47"/>
        <v>0</v>
      </c>
      <c r="AW34" s="27">
        <f t="shared" si="47"/>
        <v>0</v>
      </c>
      <c r="AX34" s="27">
        <f t="shared" si="47"/>
        <v>0</v>
      </c>
      <c r="AY34" s="27">
        <f t="shared" si="48"/>
        <v>0</v>
      </c>
      <c r="AZ34" s="27">
        <f t="shared" si="48"/>
        <v>0</v>
      </c>
      <c r="BA34" s="27">
        <f t="shared" si="48"/>
        <v>0</v>
      </c>
      <c r="BB34" s="27">
        <f t="shared" si="48"/>
        <v>0</v>
      </c>
      <c r="BC34" s="27">
        <f t="shared" si="48"/>
        <v>0</v>
      </c>
      <c r="BD34" s="27">
        <f t="shared" si="48"/>
        <v>0</v>
      </c>
      <c r="BE34" s="27">
        <f t="shared" si="48"/>
        <v>0</v>
      </c>
      <c r="BF34" s="27">
        <f t="shared" si="48"/>
        <v>0</v>
      </c>
      <c r="BG34" s="27">
        <f t="shared" si="48"/>
        <v>0</v>
      </c>
      <c r="BH34" s="27">
        <f t="shared" si="48"/>
        <v>0</v>
      </c>
      <c r="BI34" s="27">
        <f t="shared" si="48"/>
        <v>0</v>
      </c>
      <c r="BJ34" s="27">
        <f t="shared" si="48"/>
        <v>0</v>
      </c>
      <c r="BN34">
        <v>33</v>
      </c>
      <c r="BO34" s="28">
        <f t="shared" si="44"/>
        <v>0</v>
      </c>
      <c r="BP34" s="28">
        <f t="shared" si="45"/>
        <v>0</v>
      </c>
      <c r="BQ34" s="28">
        <f t="shared" si="46"/>
        <v>0</v>
      </c>
      <c r="BR34" s="28">
        <f t="shared" si="46"/>
        <v>0</v>
      </c>
      <c r="BS34" s="28">
        <f t="shared" si="46"/>
        <v>0</v>
      </c>
      <c r="BT34" s="28">
        <f t="shared" si="46"/>
        <v>0</v>
      </c>
      <c r="BU34" s="28">
        <f t="shared" si="46"/>
        <v>0</v>
      </c>
      <c r="BV34" s="28">
        <f t="shared" si="46"/>
        <v>0</v>
      </c>
      <c r="BW34" s="28">
        <f t="shared" si="46"/>
        <v>0</v>
      </c>
      <c r="BX34" s="28">
        <f t="shared" si="46"/>
        <v>0</v>
      </c>
      <c r="BY34" s="28">
        <f t="shared" si="46"/>
        <v>0</v>
      </c>
      <c r="BZ34" s="28">
        <f t="shared" si="46"/>
        <v>0</v>
      </c>
      <c r="CA34" s="28">
        <f t="shared" si="46"/>
        <v>0</v>
      </c>
      <c r="CB34" s="28">
        <f t="shared" si="46"/>
        <v>0</v>
      </c>
      <c r="CC34" s="28">
        <f t="shared" si="46"/>
        <v>0</v>
      </c>
      <c r="CD34" s="28">
        <f t="shared" si="46"/>
        <v>0</v>
      </c>
      <c r="CE34" s="28">
        <f t="shared" si="46"/>
        <v>0</v>
      </c>
      <c r="CF34" s="28">
        <f t="shared" si="46"/>
        <v>0</v>
      </c>
      <c r="CG34" s="28">
        <f t="shared" si="46"/>
        <v>0</v>
      </c>
      <c r="CH34" s="28">
        <f t="shared" si="46"/>
        <v>0</v>
      </c>
      <c r="CI34" s="28">
        <f t="shared" si="46"/>
        <v>0</v>
      </c>
      <c r="CJ34" s="28">
        <f t="shared" si="46"/>
        <v>0</v>
      </c>
      <c r="CK34" s="28">
        <f t="shared" si="46"/>
        <v>0</v>
      </c>
      <c r="CL34" s="28">
        <f t="shared" si="46"/>
        <v>0</v>
      </c>
      <c r="CM34" s="28">
        <f t="shared" si="46"/>
        <v>0</v>
      </c>
      <c r="CN34" s="28">
        <f t="shared" si="46"/>
        <v>0</v>
      </c>
      <c r="CO34" s="28">
        <f t="shared" si="46"/>
        <v>0</v>
      </c>
      <c r="CP34" s="28">
        <f t="shared" si="46"/>
        <v>0</v>
      </c>
      <c r="CU34" s="21">
        <v>33</v>
      </c>
      <c r="CV34" s="29">
        <f t="shared" si="6"/>
        <v>0</v>
      </c>
      <c r="CW34" s="29">
        <f t="shared" si="7"/>
        <v>0</v>
      </c>
      <c r="CX34" s="29">
        <f t="shared" si="8"/>
        <v>0</v>
      </c>
      <c r="CY34" s="29">
        <f t="shared" si="9"/>
        <v>0</v>
      </c>
      <c r="CZ34" s="29">
        <f t="shared" si="10"/>
        <v>0</v>
      </c>
      <c r="DA34" s="29">
        <f t="shared" si="11"/>
        <v>0</v>
      </c>
      <c r="DB34" s="29">
        <f t="shared" si="12"/>
        <v>0</v>
      </c>
      <c r="DC34" s="29">
        <f t="shared" si="13"/>
        <v>0</v>
      </c>
      <c r="DF34" s="46">
        <v>33</v>
      </c>
      <c r="DG34" s="49">
        <f t="shared" si="36"/>
        <v>0</v>
      </c>
      <c r="DH34" s="49">
        <f t="shared" si="14"/>
        <v>0</v>
      </c>
      <c r="DI34" s="49">
        <f t="shared" si="15"/>
        <v>0</v>
      </c>
      <c r="DJ34" s="49">
        <f t="shared" si="16"/>
        <v>0</v>
      </c>
      <c r="DK34" s="49">
        <f t="shared" si="17"/>
        <v>0</v>
      </c>
      <c r="DL34" s="49">
        <f t="shared" si="18"/>
        <v>0</v>
      </c>
      <c r="DM34" s="49">
        <f t="shared" si="19"/>
        <v>0</v>
      </c>
      <c r="DN34" s="49">
        <f t="shared" si="20"/>
        <v>0</v>
      </c>
      <c r="DO34" s="49">
        <f t="shared" si="21"/>
        <v>0</v>
      </c>
      <c r="DP34" s="49">
        <f t="shared" si="22"/>
        <v>0</v>
      </c>
      <c r="DQ34" s="49">
        <f t="shared" si="23"/>
        <v>0</v>
      </c>
      <c r="DR34" s="49">
        <f t="shared" si="24"/>
        <v>0</v>
      </c>
      <c r="DS34" s="49">
        <f t="shared" si="25"/>
        <v>0</v>
      </c>
      <c r="DT34" s="49">
        <f t="shared" si="26"/>
        <v>0</v>
      </c>
      <c r="DX34">
        <v>33</v>
      </c>
      <c r="DY34" s="19">
        <f t="shared" si="27"/>
        <v>0</v>
      </c>
      <c r="EM34" s="21">
        <v>33</v>
      </c>
      <c r="EN34" s="16">
        <f t="shared" si="28"/>
        <v>0</v>
      </c>
      <c r="EO34" s="16">
        <f t="shared" si="4"/>
        <v>0</v>
      </c>
      <c r="EP34" s="16">
        <f t="shared" si="29"/>
        <v>0</v>
      </c>
      <c r="EQ34" s="16">
        <f t="shared" si="30"/>
        <v>0</v>
      </c>
      <c r="ER34" s="16">
        <f t="shared" si="31"/>
        <v>0</v>
      </c>
      <c r="ES34" s="16">
        <f t="shared" si="32"/>
        <v>0</v>
      </c>
      <c r="ET34" s="16">
        <f t="shared" si="33"/>
        <v>0</v>
      </c>
      <c r="EU34" s="16">
        <f t="shared" si="34"/>
        <v>0</v>
      </c>
      <c r="FK34" s="20"/>
      <c r="FL34" s="20"/>
    </row>
    <row r="35" spans="3:168" ht="14.4" thickBot="1" x14ac:dyDescent="0.35">
      <c r="C35" s="36">
        <v>0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H35" s="21">
        <v>34</v>
      </c>
      <c r="AI35" s="22">
        <f t="shared" si="47"/>
        <v>0</v>
      </c>
      <c r="AJ35" s="22">
        <f t="shared" si="47"/>
        <v>0</v>
      </c>
      <c r="AK35" s="22">
        <f t="shared" si="47"/>
        <v>0</v>
      </c>
      <c r="AL35" s="22">
        <f t="shared" si="47"/>
        <v>0</v>
      </c>
      <c r="AM35" s="22">
        <f t="shared" si="47"/>
        <v>0</v>
      </c>
      <c r="AN35" s="22">
        <f t="shared" si="47"/>
        <v>0</v>
      </c>
      <c r="AO35" s="22">
        <f t="shared" si="47"/>
        <v>0</v>
      </c>
      <c r="AP35" s="22">
        <f t="shared" si="47"/>
        <v>0</v>
      </c>
      <c r="AQ35" s="22">
        <f t="shared" si="47"/>
        <v>0</v>
      </c>
      <c r="AR35" s="22">
        <f t="shared" si="47"/>
        <v>0</v>
      </c>
      <c r="AS35" s="22">
        <f t="shared" si="47"/>
        <v>0</v>
      </c>
      <c r="AT35" s="22">
        <f t="shared" si="47"/>
        <v>0</v>
      </c>
      <c r="AU35" s="22">
        <f t="shared" si="47"/>
        <v>0</v>
      </c>
      <c r="AV35" s="22">
        <f t="shared" si="47"/>
        <v>0</v>
      </c>
      <c r="AW35" s="22">
        <f t="shared" si="47"/>
        <v>0</v>
      </c>
      <c r="AX35" s="22">
        <f t="shared" si="47"/>
        <v>0</v>
      </c>
      <c r="AY35" s="22">
        <f t="shared" si="48"/>
        <v>0</v>
      </c>
      <c r="AZ35" s="22">
        <f t="shared" si="48"/>
        <v>0</v>
      </c>
      <c r="BA35" s="22">
        <f t="shared" si="48"/>
        <v>0</v>
      </c>
      <c r="BB35" s="22">
        <f t="shared" si="48"/>
        <v>0</v>
      </c>
      <c r="BC35" s="22">
        <f t="shared" si="48"/>
        <v>0</v>
      </c>
      <c r="BD35" s="22">
        <f t="shared" si="48"/>
        <v>0</v>
      </c>
      <c r="BE35" s="22">
        <f t="shared" si="48"/>
        <v>0</v>
      </c>
      <c r="BF35" s="22">
        <f t="shared" si="48"/>
        <v>0</v>
      </c>
      <c r="BG35" s="22">
        <f t="shared" si="48"/>
        <v>0</v>
      </c>
      <c r="BH35" s="22">
        <f t="shared" si="48"/>
        <v>0</v>
      </c>
      <c r="BI35" s="22">
        <f t="shared" si="48"/>
        <v>0</v>
      </c>
      <c r="BJ35" s="22">
        <f t="shared" si="48"/>
        <v>0</v>
      </c>
      <c r="BN35">
        <v>34</v>
      </c>
      <c r="BO35" s="23">
        <f t="shared" si="44"/>
        <v>0</v>
      </c>
      <c r="BP35" s="23">
        <f t="shared" si="45"/>
        <v>0</v>
      </c>
      <c r="BQ35" s="23">
        <f t="shared" si="46"/>
        <v>0</v>
      </c>
      <c r="BR35" s="23">
        <f t="shared" si="46"/>
        <v>0</v>
      </c>
      <c r="BS35" s="23">
        <f t="shared" si="46"/>
        <v>0</v>
      </c>
      <c r="BT35" s="23">
        <f t="shared" si="46"/>
        <v>0</v>
      </c>
      <c r="BU35" s="23">
        <f t="shared" si="46"/>
        <v>0</v>
      </c>
      <c r="BV35" s="23">
        <f t="shared" si="46"/>
        <v>0</v>
      </c>
      <c r="BW35" s="23">
        <f t="shared" si="46"/>
        <v>0</v>
      </c>
      <c r="BX35" s="23">
        <f t="shared" si="46"/>
        <v>0</v>
      </c>
      <c r="BY35" s="23">
        <f t="shared" si="46"/>
        <v>0</v>
      </c>
      <c r="BZ35" s="23">
        <f t="shared" si="46"/>
        <v>0</v>
      </c>
      <c r="CA35" s="23">
        <f t="shared" si="46"/>
        <v>0</v>
      </c>
      <c r="CB35" s="23">
        <f t="shared" si="46"/>
        <v>0</v>
      </c>
      <c r="CC35" s="23">
        <f t="shared" si="46"/>
        <v>0</v>
      </c>
      <c r="CD35" s="23">
        <f t="shared" si="46"/>
        <v>0</v>
      </c>
      <c r="CE35" s="23">
        <f t="shared" si="46"/>
        <v>0</v>
      </c>
      <c r="CF35" s="23">
        <f t="shared" si="46"/>
        <v>0</v>
      </c>
      <c r="CG35" s="23">
        <f t="shared" si="46"/>
        <v>0</v>
      </c>
      <c r="CH35" s="23">
        <f t="shared" si="46"/>
        <v>0</v>
      </c>
      <c r="CI35" s="23">
        <f t="shared" si="46"/>
        <v>0</v>
      </c>
      <c r="CJ35" s="23">
        <f t="shared" si="46"/>
        <v>0</v>
      </c>
      <c r="CK35" s="23">
        <f t="shared" si="46"/>
        <v>0</v>
      </c>
      <c r="CL35" s="23">
        <f t="shared" si="46"/>
        <v>0</v>
      </c>
      <c r="CM35" s="23">
        <f t="shared" si="46"/>
        <v>0</v>
      </c>
      <c r="CN35" s="23">
        <f t="shared" si="46"/>
        <v>0</v>
      </c>
      <c r="CO35" s="23">
        <f t="shared" si="46"/>
        <v>0</v>
      </c>
      <c r="CP35" s="23">
        <f t="shared" si="46"/>
        <v>0</v>
      </c>
      <c r="CU35" s="21">
        <v>34</v>
      </c>
      <c r="CV35" s="24">
        <f t="shared" si="6"/>
        <v>0</v>
      </c>
      <c r="CW35" s="24">
        <f t="shared" si="7"/>
        <v>0</v>
      </c>
      <c r="CX35" s="24">
        <f t="shared" si="8"/>
        <v>0</v>
      </c>
      <c r="CY35" s="24">
        <f t="shared" si="9"/>
        <v>0</v>
      </c>
      <c r="CZ35" s="24">
        <f t="shared" si="10"/>
        <v>0</v>
      </c>
      <c r="DA35" s="24">
        <f t="shared" si="11"/>
        <v>0</v>
      </c>
      <c r="DB35" s="24">
        <f t="shared" si="12"/>
        <v>0</v>
      </c>
      <c r="DC35" s="24">
        <f t="shared" si="13"/>
        <v>0</v>
      </c>
      <c r="DF35" s="48">
        <v>34</v>
      </c>
      <c r="DG35" s="47">
        <f t="shared" si="36"/>
        <v>0</v>
      </c>
      <c r="DH35" s="47">
        <f t="shared" si="14"/>
        <v>0</v>
      </c>
      <c r="DI35" s="47">
        <f t="shared" si="15"/>
        <v>0</v>
      </c>
      <c r="DJ35" s="47">
        <f t="shared" si="16"/>
        <v>0</v>
      </c>
      <c r="DK35" s="47">
        <f t="shared" si="17"/>
        <v>0</v>
      </c>
      <c r="DL35" s="47">
        <f t="shared" si="18"/>
        <v>0</v>
      </c>
      <c r="DM35" s="47">
        <f t="shared" si="19"/>
        <v>0</v>
      </c>
      <c r="DN35" s="47">
        <f t="shared" si="20"/>
        <v>0</v>
      </c>
      <c r="DO35" s="47">
        <f t="shared" si="21"/>
        <v>0</v>
      </c>
      <c r="DP35" s="47">
        <f t="shared" si="22"/>
        <v>0</v>
      </c>
      <c r="DQ35" s="47">
        <f t="shared" si="23"/>
        <v>0</v>
      </c>
      <c r="DR35" s="47">
        <f t="shared" si="24"/>
        <v>0</v>
      </c>
      <c r="DS35" s="47">
        <f t="shared" si="25"/>
        <v>0</v>
      </c>
      <c r="DT35" s="47">
        <f t="shared" si="26"/>
        <v>0</v>
      </c>
      <c r="DX35">
        <v>34</v>
      </c>
      <c r="DY35" s="19">
        <f t="shared" si="27"/>
        <v>0</v>
      </c>
      <c r="EM35" s="21">
        <v>34</v>
      </c>
      <c r="EN35" s="16">
        <f t="shared" si="28"/>
        <v>0</v>
      </c>
      <c r="EO35" s="16">
        <f t="shared" si="4"/>
        <v>0</v>
      </c>
      <c r="EP35" s="16">
        <f t="shared" si="29"/>
        <v>0</v>
      </c>
      <c r="EQ35" s="16">
        <f t="shared" si="30"/>
        <v>0</v>
      </c>
      <c r="ER35" s="16">
        <f t="shared" si="31"/>
        <v>0</v>
      </c>
      <c r="ES35" s="16">
        <f t="shared" si="32"/>
        <v>0</v>
      </c>
      <c r="ET35" s="16">
        <f t="shared" si="33"/>
        <v>0</v>
      </c>
      <c r="EU35" s="16">
        <f t="shared" si="34"/>
        <v>0</v>
      </c>
      <c r="FK35" s="20"/>
      <c r="FL35" s="20"/>
    </row>
    <row r="36" spans="3:168" ht="14.4" thickBot="1" x14ac:dyDescent="0.35"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H36" s="21">
        <v>35</v>
      </c>
      <c r="AI36" s="27">
        <f t="shared" si="47"/>
        <v>0</v>
      </c>
      <c r="AJ36" s="27">
        <f t="shared" si="47"/>
        <v>0</v>
      </c>
      <c r="AK36" s="27">
        <f t="shared" si="47"/>
        <v>0</v>
      </c>
      <c r="AL36" s="27">
        <f t="shared" si="47"/>
        <v>0</v>
      </c>
      <c r="AM36" s="27">
        <f t="shared" si="47"/>
        <v>0</v>
      </c>
      <c r="AN36" s="27">
        <f t="shared" si="47"/>
        <v>0</v>
      </c>
      <c r="AO36" s="27">
        <f t="shared" si="47"/>
        <v>0</v>
      </c>
      <c r="AP36" s="27">
        <f t="shared" si="47"/>
        <v>0</v>
      </c>
      <c r="AQ36" s="27">
        <f t="shared" si="47"/>
        <v>0</v>
      </c>
      <c r="AR36" s="27">
        <f t="shared" si="47"/>
        <v>0</v>
      </c>
      <c r="AS36" s="27">
        <f t="shared" si="47"/>
        <v>0</v>
      </c>
      <c r="AT36" s="27">
        <f t="shared" si="47"/>
        <v>0</v>
      </c>
      <c r="AU36" s="27">
        <f t="shared" si="47"/>
        <v>0</v>
      </c>
      <c r="AV36" s="27">
        <f t="shared" si="47"/>
        <v>0</v>
      </c>
      <c r="AW36" s="27">
        <f t="shared" si="47"/>
        <v>0</v>
      </c>
      <c r="AX36" s="27">
        <f t="shared" si="47"/>
        <v>0</v>
      </c>
      <c r="AY36" s="27">
        <f t="shared" si="48"/>
        <v>0</v>
      </c>
      <c r="AZ36" s="27">
        <f t="shared" si="48"/>
        <v>0</v>
      </c>
      <c r="BA36" s="27">
        <f t="shared" si="48"/>
        <v>0</v>
      </c>
      <c r="BB36" s="27">
        <f t="shared" si="48"/>
        <v>0</v>
      </c>
      <c r="BC36" s="27">
        <f t="shared" si="48"/>
        <v>0</v>
      </c>
      <c r="BD36" s="27">
        <f t="shared" si="48"/>
        <v>0</v>
      </c>
      <c r="BE36" s="27">
        <f t="shared" si="48"/>
        <v>0</v>
      </c>
      <c r="BF36" s="27">
        <f t="shared" si="48"/>
        <v>0</v>
      </c>
      <c r="BG36" s="27">
        <f t="shared" si="48"/>
        <v>0</v>
      </c>
      <c r="BH36" s="27">
        <f t="shared" si="48"/>
        <v>0</v>
      </c>
      <c r="BI36" s="27">
        <f t="shared" si="48"/>
        <v>0</v>
      </c>
      <c r="BJ36" s="27">
        <f t="shared" si="48"/>
        <v>0</v>
      </c>
      <c r="BN36">
        <v>35</v>
      </c>
      <c r="BO36" s="28">
        <f t="shared" si="44"/>
        <v>0</v>
      </c>
      <c r="BP36" s="28">
        <f t="shared" si="45"/>
        <v>0</v>
      </c>
      <c r="BQ36" s="28">
        <f t="shared" si="46"/>
        <v>0</v>
      </c>
      <c r="BR36" s="28">
        <f t="shared" si="46"/>
        <v>0</v>
      </c>
      <c r="BS36" s="28">
        <f t="shared" si="46"/>
        <v>0</v>
      </c>
      <c r="BT36" s="28">
        <f t="shared" si="46"/>
        <v>0</v>
      </c>
      <c r="BU36" s="28">
        <f t="shared" si="46"/>
        <v>0</v>
      </c>
      <c r="BV36" s="28">
        <f t="shared" si="46"/>
        <v>0</v>
      </c>
      <c r="BW36" s="28">
        <f t="shared" si="46"/>
        <v>0</v>
      </c>
      <c r="BX36" s="28">
        <f t="shared" si="46"/>
        <v>0</v>
      </c>
      <c r="BY36" s="28">
        <f t="shared" si="46"/>
        <v>0</v>
      </c>
      <c r="BZ36" s="28">
        <f t="shared" si="46"/>
        <v>0</v>
      </c>
      <c r="CA36" s="28">
        <f t="shared" si="46"/>
        <v>0</v>
      </c>
      <c r="CB36" s="28">
        <f t="shared" si="46"/>
        <v>0</v>
      </c>
      <c r="CC36" s="28">
        <f t="shared" si="46"/>
        <v>0</v>
      </c>
      <c r="CD36" s="28">
        <f t="shared" si="46"/>
        <v>0</v>
      </c>
      <c r="CE36" s="28">
        <f t="shared" si="46"/>
        <v>0</v>
      </c>
      <c r="CF36" s="28">
        <f t="shared" si="46"/>
        <v>0</v>
      </c>
      <c r="CG36" s="28">
        <f t="shared" si="46"/>
        <v>0</v>
      </c>
      <c r="CH36" s="28">
        <f t="shared" si="46"/>
        <v>0</v>
      </c>
      <c r="CI36" s="28">
        <f t="shared" si="46"/>
        <v>0</v>
      </c>
      <c r="CJ36" s="28">
        <f t="shared" si="46"/>
        <v>0</v>
      </c>
      <c r="CK36" s="28">
        <f t="shared" si="46"/>
        <v>0</v>
      </c>
      <c r="CL36" s="28">
        <f t="shared" si="46"/>
        <v>0</v>
      </c>
      <c r="CM36" s="28">
        <f t="shared" si="46"/>
        <v>0</v>
      </c>
      <c r="CN36" s="28">
        <f t="shared" si="46"/>
        <v>0</v>
      </c>
      <c r="CO36" s="28">
        <f t="shared" si="46"/>
        <v>0</v>
      </c>
      <c r="CP36" s="28">
        <f t="shared" si="46"/>
        <v>0</v>
      </c>
      <c r="CU36" s="21">
        <v>35</v>
      </c>
      <c r="CV36" s="29">
        <f t="shared" si="6"/>
        <v>0</v>
      </c>
      <c r="CW36" s="29">
        <f t="shared" si="7"/>
        <v>0</v>
      </c>
      <c r="CX36" s="29">
        <f t="shared" si="8"/>
        <v>0</v>
      </c>
      <c r="CY36" s="29">
        <f t="shared" si="9"/>
        <v>0</v>
      </c>
      <c r="CZ36" s="29">
        <f t="shared" si="10"/>
        <v>0</v>
      </c>
      <c r="DA36" s="29">
        <f t="shared" si="11"/>
        <v>0</v>
      </c>
      <c r="DB36" s="29">
        <f t="shared" si="12"/>
        <v>0</v>
      </c>
      <c r="DC36" s="29">
        <f t="shared" si="13"/>
        <v>0</v>
      </c>
      <c r="DF36" s="46">
        <v>35</v>
      </c>
      <c r="DG36" s="49">
        <f t="shared" si="36"/>
        <v>0</v>
      </c>
      <c r="DH36" s="49">
        <f t="shared" si="14"/>
        <v>0</v>
      </c>
      <c r="DI36" s="49">
        <f t="shared" si="15"/>
        <v>0</v>
      </c>
      <c r="DJ36" s="49">
        <f t="shared" si="16"/>
        <v>0</v>
      </c>
      <c r="DK36" s="49">
        <f t="shared" si="17"/>
        <v>0</v>
      </c>
      <c r="DL36" s="49">
        <f t="shared" si="18"/>
        <v>0</v>
      </c>
      <c r="DM36" s="49">
        <f t="shared" si="19"/>
        <v>0</v>
      </c>
      <c r="DN36" s="49">
        <f t="shared" si="20"/>
        <v>0</v>
      </c>
      <c r="DO36" s="49">
        <f t="shared" si="21"/>
        <v>0</v>
      </c>
      <c r="DP36" s="49">
        <f t="shared" si="22"/>
        <v>0</v>
      </c>
      <c r="DQ36" s="49">
        <f t="shared" si="23"/>
        <v>0</v>
      </c>
      <c r="DR36" s="49">
        <f t="shared" si="24"/>
        <v>0</v>
      </c>
      <c r="DS36" s="49">
        <f t="shared" si="25"/>
        <v>0</v>
      </c>
      <c r="DT36" s="49">
        <f t="shared" si="26"/>
        <v>0</v>
      </c>
      <c r="DX36">
        <v>35</v>
      </c>
      <c r="DY36" s="19">
        <f t="shared" si="27"/>
        <v>0</v>
      </c>
      <c r="EM36" s="21">
        <v>35</v>
      </c>
      <c r="EN36" s="16">
        <f t="shared" si="28"/>
        <v>0</v>
      </c>
      <c r="EO36" s="16">
        <f t="shared" si="4"/>
        <v>0</v>
      </c>
      <c r="EP36" s="16">
        <f t="shared" si="29"/>
        <v>0</v>
      </c>
      <c r="EQ36" s="16">
        <f t="shared" si="30"/>
        <v>0</v>
      </c>
      <c r="ER36" s="16">
        <f t="shared" si="31"/>
        <v>0</v>
      </c>
      <c r="ES36" s="16">
        <f t="shared" si="32"/>
        <v>0</v>
      </c>
      <c r="ET36" s="16">
        <f t="shared" si="33"/>
        <v>0</v>
      </c>
      <c r="EU36" s="16">
        <f t="shared" si="34"/>
        <v>0</v>
      </c>
      <c r="FK36" s="20"/>
      <c r="FL36" s="20"/>
    </row>
    <row r="37" spans="3:168" x14ac:dyDescent="0.3"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H37" s="21">
        <v>36</v>
      </c>
      <c r="AI37" s="22">
        <f>IF(C37=0,0,(C37-#REF!)*100/#REF!)</f>
        <v>0</v>
      </c>
      <c r="AJ37" s="22">
        <f>IF(D37=0,0,(D37-#REF!)*100/#REF!)</f>
        <v>0</v>
      </c>
      <c r="AK37" s="22">
        <f>IF(E37=0,0,(E37-#REF!)*100/#REF!)</f>
        <v>0</v>
      </c>
      <c r="AL37" s="22">
        <f>IF(F37=0,0,(F37-#REF!)*100/#REF!)</f>
        <v>0</v>
      </c>
      <c r="AM37" s="22">
        <f>IF(G37=0,0,(G37-#REF!)*100/#REF!)</f>
        <v>0</v>
      </c>
      <c r="AN37" s="22">
        <f>IF(H37=0,0,(H37-#REF!)*100/#REF!)</f>
        <v>0</v>
      </c>
      <c r="AO37" s="22">
        <f>IF(I37=0,0,(I37-#REF!)*100/#REF!)</f>
        <v>0</v>
      </c>
      <c r="AP37" s="22">
        <f>IF(J37=0,0,(J37-#REF!)*100/#REF!)</f>
        <v>0</v>
      </c>
      <c r="AQ37" s="22">
        <f>IF(K37=0,0,(K37-#REF!)*100/#REF!)</f>
        <v>0</v>
      </c>
      <c r="AR37" s="22">
        <f>IF(L37=0,0,(L37-#REF!)*100/#REF!)</f>
        <v>0</v>
      </c>
      <c r="AS37" s="22">
        <f>IF(M37=0,0,(M37-#REF!)*100/#REF!)</f>
        <v>0</v>
      </c>
      <c r="AT37" s="22">
        <f>IF(N37=0,0,(N37-#REF!)*100/#REF!)</f>
        <v>0</v>
      </c>
      <c r="AU37" s="22">
        <f>IF(O37=0,0,(O37-#REF!)*100/#REF!)</f>
        <v>0</v>
      </c>
      <c r="AV37" s="22">
        <f>IF(P37=0,0,(P37-#REF!)*100/#REF!)</f>
        <v>0</v>
      </c>
      <c r="AW37" s="22">
        <f>IF(Q37=0,0,(Q37-#REF!)*100/#REF!)</f>
        <v>0</v>
      </c>
      <c r="AX37" s="22">
        <f>IF(R37=0,0,(R37-#REF!)*100/#REF!)</f>
        <v>0</v>
      </c>
      <c r="AY37" s="22">
        <f>IF(S37=0,0,(S37-#REF!)*100/#REF!)</f>
        <v>0</v>
      </c>
      <c r="AZ37" s="22">
        <f>IF(T37=0,0,(T37-#REF!)*100/#REF!)</f>
        <v>0</v>
      </c>
      <c r="BA37" s="22">
        <f>IF(U37=0,0,(U37-#REF!)*100/#REF!)</f>
        <v>0</v>
      </c>
      <c r="BB37" s="22">
        <f>IF(V37=0,0,(V37-#REF!)*100/#REF!)</f>
        <v>0</v>
      </c>
      <c r="BC37" s="22">
        <f>IF(W37=0,0,(W37-#REF!)*100/#REF!)</f>
        <v>0</v>
      </c>
      <c r="BD37" s="22">
        <f>IF(X37=0,0,(X37-#REF!)*100/#REF!)</f>
        <v>0</v>
      </c>
      <c r="BE37" s="22">
        <f>IF(Y37=0,0,(Y37-#REF!)*100/#REF!)</f>
        <v>0</v>
      </c>
      <c r="BF37" s="22">
        <f>IF(Z37=0,0,(Z37-#REF!)*100/#REF!)</f>
        <v>0</v>
      </c>
      <c r="BG37" s="22">
        <f>IF(AA37=0,0,(AA37-#REF!)*100/#REF!)</f>
        <v>0</v>
      </c>
      <c r="BH37" s="22">
        <f>IF(AB37=0,0,(AB37-#REF!)*100/#REF!)</f>
        <v>0</v>
      </c>
      <c r="BI37" s="22">
        <f>IF(AC37=0,0,(AC37-#REF!)*100/#REF!)</f>
        <v>0</v>
      </c>
      <c r="BJ37" s="22">
        <f>IF(AD37=0,0,(AD37-#REF!)*100/#REF!)</f>
        <v>0</v>
      </c>
      <c r="BN37">
        <v>36</v>
      </c>
      <c r="BO37" s="23">
        <f t="shared" si="44"/>
        <v>0</v>
      </c>
      <c r="BP37" s="23">
        <f t="shared" si="45"/>
        <v>0</v>
      </c>
      <c r="BQ37" s="23">
        <f t="shared" si="46"/>
        <v>0</v>
      </c>
      <c r="BR37" s="23">
        <f t="shared" si="46"/>
        <v>0</v>
      </c>
      <c r="BS37" s="23">
        <f t="shared" si="46"/>
        <v>0</v>
      </c>
      <c r="BT37" s="23">
        <f t="shared" si="46"/>
        <v>0</v>
      </c>
      <c r="BU37" s="23">
        <f t="shared" si="46"/>
        <v>0</v>
      </c>
      <c r="BV37" s="23">
        <f t="shared" si="46"/>
        <v>0</v>
      </c>
      <c r="BW37" s="23">
        <f t="shared" si="46"/>
        <v>0</v>
      </c>
      <c r="BX37" s="23">
        <f t="shared" si="46"/>
        <v>0</v>
      </c>
      <c r="BY37" s="23">
        <f t="shared" si="46"/>
        <v>0</v>
      </c>
      <c r="BZ37" s="23">
        <f t="shared" si="46"/>
        <v>0</v>
      </c>
      <c r="CA37" s="23">
        <f t="shared" si="46"/>
        <v>0</v>
      </c>
      <c r="CB37" s="23">
        <f t="shared" si="46"/>
        <v>0</v>
      </c>
      <c r="CC37" s="23">
        <f t="shared" si="46"/>
        <v>0</v>
      </c>
      <c r="CD37" s="23">
        <f t="shared" si="46"/>
        <v>0</v>
      </c>
      <c r="CE37" s="23">
        <f t="shared" si="46"/>
        <v>0</v>
      </c>
      <c r="CF37" s="23">
        <f t="shared" si="46"/>
        <v>0</v>
      </c>
      <c r="CG37" s="23">
        <f t="shared" si="46"/>
        <v>0</v>
      </c>
      <c r="CH37" s="23">
        <f t="shared" si="46"/>
        <v>0</v>
      </c>
      <c r="CI37" s="23">
        <f t="shared" si="46"/>
        <v>0</v>
      </c>
      <c r="CJ37" s="23">
        <f t="shared" si="46"/>
        <v>0</v>
      </c>
      <c r="CK37" s="23">
        <f t="shared" si="46"/>
        <v>0</v>
      </c>
      <c r="CL37" s="23">
        <f t="shared" si="46"/>
        <v>0</v>
      </c>
      <c r="CM37" s="23">
        <f t="shared" si="46"/>
        <v>0</v>
      </c>
      <c r="CN37" s="23">
        <f t="shared" si="46"/>
        <v>0</v>
      </c>
      <c r="CO37" s="23">
        <f t="shared" si="46"/>
        <v>0</v>
      </c>
      <c r="CP37" s="23">
        <f t="shared" si="46"/>
        <v>0</v>
      </c>
      <c r="CU37" s="13">
        <v>36</v>
      </c>
      <c r="CV37" s="24">
        <f t="shared" si="6"/>
        <v>0</v>
      </c>
      <c r="CW37" s="24">
        <f t="shared" si="7"/>
        <v>0</v>
      </c>
      <c r="CX37" s="24">
        <f t="shared" si="8"/>
        <v>0</v>
      </c>
      <c r="CY37" s="24">
        <f t="shared" si="9"/>
        <v>0</v>
      </c>
      <c r="CZ37" s="24">
        <f t="shared" si="10"/>
        <v>0</v>
      </c>
      <c r="DA37" s="24">
        <f t="shared" si="11"/>
        <v>0</v>
      </c>
      <c r="DB37" s="24">
        <f t="shared" si="12"/>
        <v>0</v>
      </c>
      <c r="DC37" s="24">
        <f t="shared" si="13"/>
        <v>0</v>
      </c>
      <c r="DF37" s="48">
        <v>36</v>
      </c>
      <c r="DG37" s="47">
        <f t="shared" si="36"/>
        <v>0</v>
      </c>
      <c r="DH37" s="47">
        <f t="shared" si="14"/>
        <v>0</v>
      </c>
      <c r="DI37" s="47">
        <f t="shared" si="15"/>
        <v>0</v>
      </c>
      <c r="DJ37" s="47">
        <f t="shared" si="16"/>
        <v>0</v>
      </c>
      <c r="DK37" s="47">
        <f t="shared" si="17"/>
        <v>0</v>
      </c>
      <c r="DL37" s="47">
        <f t="shared" si="18"/>
        <v>0</v>
      </c>
      <c r="DM37" s="47">
        <f t="shared" si="19"/>
        <v>0</v>
      </c>
      <c r="DN37" s="47">
        <f t="shared" si="20"/>
        <v>0</v>
      </c>
      <c r="DO37" s="47">
        <f t="shared" si="21"/>
        <v>0</v>
      </c>
      <c r="DP37" s="47">
        <f t="shared" si="22"/>
        <v>0</v>
      </c>
      <c r="DQ37" s="47">
        <f t="shared" si="23"/>
        <v>0</v>
      </c>
      <c r="DR37" s="47">
        <f t="shared" si="24"/>
        <v>0</v>
      </c>
      <c r="DS37" s="47">
        <f t="shared" si="25"/>
        <v>0</v>
      </c>
      <c r="DT37" s="47">
        <f t="shared" si="26"/>
        <v>0</v>
      </c>
      <c r="DX37">
        <v>36</v>
      </c>
      <c r="DY37" s="19">
        <f t="shared" si="27"/>
        <v>0</v>
      </c>
      <c r="EM37" s="13">
        <v>36</v>
      </c>
      <c r="EN37" s="16">
        <f t="shared" si="28"/>
        <v>0</v>
      </c>
      <c r="EO37" s="16">
        <f t="shared" si="4"/>
        <v>0</v>
      </c>
      <c r="EP37" s="16">
        <f t="shared" si="29"/>
        <v>0</v>
      </c>
      <c r="EQ37" s="16">
        <f t="shared" si="30"/>
        <v>0</v>
      </c>
      <c r="ER37" s="16">
        <f t="shared" si="31"/>
        <v>0</v>
      </c>
      <c r="ES37" s="16">
        <f t="shared" si="32"/>
        <v>0</v>
      </c>
      <c r="ET37" s="16">
        <f t="shared" si="33"/>
        <v>0</v>
      </c>
      <c r="EU37" s="16">
        <f t="shared" si="34"/>
        <v>0</v>
      </c>
      <c r="FK37" s="20"/>
      <c r="FL37" s="20"/>
    </row>
    <row r="38" spans="3:168" x14ac:dyDescent="0.3">
      <c r="FK38" s="20"/>
      <c r="FL38" s="20"/>
    </row>
    <row r="39" spans="3:168" x14ac:dyDescent="0.3">
      <c r="FK39" s="20"/>
      <c r="FL39" s="20"/>
    </row>
    <row r="40" spans="3:168" x14ac:dyDescent="0.3">
      <c r="FK40" s="20"/>
      <c r="FL40" s="20"/>
    </row>
    <row r="41" spans="3:168" x14ac:dyDescent="0.3">
      <c r="FK41" s="20"/>
      <c r="FL41" s="20"/>
    </row>
    <row r="42" spans="3:168" x14ac:dyDescent="0.3">
      <c r="FK42" s="20"/>
      <c r="FL42" s="20"/>
    </row>
    <row r="43" spans="3:168" x14ac:dyDescent="0.3">
      <c r="FK43" s="20"/>
      <c r="FL43" s="20"/>
    </row>
    <row r="44" spans="3:168" x14ac:dyDescent="0.3">
      <c r="FK44" s="20"/>
      <c r="FL44" s="20"/>
    </row>
    <row r="45" spans="3:168" x14ac:dyDescent="0.3">
      <c r="FK45" s="20"/>
      <c r="FL45" s="20"/>
    </row>
    <row r="46" spans="3:168" x14ac:dyDescent="0.3">
      <c r="FK46" s="20"/>
      <c r="FL46" s="20"/>
    </row>
    <row r="47" spans="3:168" x14ac:dyDescent="0.3">
      <c r="FK47" s="20"/>
      <c r="FL47" s="20"/>
    </row>
    <row r="48" spans="3:168" x14ac:dyDescent="0.3">
      <c r="FK48" s="20"/>
      <c r="FL48" s="20"/>
    </row>
    <row r="49" spans="167:168" x14ac:dyDescent="0.3">
      <c r="FK49" s="20"/>
      <c r="FL49" s="20"/>
    </row>
    <row r="50" spans="167:168" x14ac:dyDescent="0.3">
      <c r="FK50" s="20"/>
      <c r="FL50" s="20"/>
    </row>
    <row r="51" spans="167:168" x14ac:dyDescent="0.3">
      <c r="FK51" s="20"/>
      <c r="FL51" s="20"/>
    </row>
    <row r="52" spans="167:168" x14ac:dyDescent="0.3">
      <c r="FK52" s="20"/>
      <c r="FL52" s="20"/>
    </row>
    <row r="53" spans="167:168" x14ac:dyDescent="0.3">
      <c r="FK53" s="20"/>
      <c r="FL53" s="20"/>
    </row>
    <row r="54" spans="167:168" x14ac:dyDescent="0.3">
      <c r="FK54" s="20"/>
      <c r="FL54" s="20"/>
    </row>
    <row r="55" spans="167:168" x14ac:dyDescent="0.3">
      <c r="FK55" s="20"/>
      <c r="FL55" s="20"/>
    </row>
    <row r="56" spans="167:168" x14ac:dyDescent="0.3">
      <c r="FK56" s="20"/>
      <c r="FL56" s="20"/>
    </row>
    <row r="57" spans="167:168" x14ac:dyDescent="0.3">
      <c r="FK57" s="20"/>
      <c r="FL57" s="20"/>
    </row>
    <row r="58" spans="167:168" x14ac:dyDescent="0.3">
      <c r="FK58" s="20"/>
      <c r="FL58" s="20"/>
    </row>
    <row r="59" spans="167:168" x14ac:dyDescent="0.3">
      <c r="FK59" s="20"/>
      <c r="FL59" s="20"/>
    </row>
    <row r="60" spans="167:168" x14ac:dyDescent="0.3">
      <c r="FK60" s="20"/>
      <c r="FL60" s="20"/>
    </row>
    <row r="61" spans="167:168" x14ac:dyDescent="0.3">
      <c r="FK61" s="20"/>
      <c r="FL61" s="20"/>
    </row>
    <row r="62" spans="167:168" x14ac:dyDescent="0.3">
      <c r="FK62" s="20"/>
      <c r="FL62" s="20"/>
    </row>
    <row r="63" spans="167:168" x14ac:dyDescent="0.3">
      <c r="FK63" s="20"/>
      <c r="FL63" s="20"/>
    </row>
    <row r="64" spans="167:168" x14ac:dyDescent="0.3">
      <c r="FK64" s="20"/>
      <c r="FL64" s="20"/>
    </row>
    <row r="65" spans="167:168" x14ac:dyDescent="0.3">
      <c r="FK65" s="20"/>
      <c r="FL65" s="20"/>
    </row>
    <row r="66" spans="167:168" x14ac:dyDescent="0.3">
      <c r="FK66" s="20"/>
      <c r="FL66" s="20"/>
    </row>
    <row r="67" spans="167:168" x14ac:dyDescent="0.3">
      <c r="FK67" s="20"/>
      <c r="FL67" s="20"/>
    </row>
    <row r="68" spans="167:168" x14ac:dyDescent="0.3">
      <c r="FK68" s="20"/>
      <c r="FL68" s="20"/>
    </row>
    <row r="69" spans="167:168" x14ac:dyDescent="0.3">
      <c r="FK69" s="20"/>
      <c r="FL69" s="20"/>
    </row>
    <row r="70" spans="167:168" x14ac:dyDescent="0.3">
      <c r="FK70" s="20"/>
      <c r="FL70" s="20"/>
    </row>
    <row r="71" spans="167:168" x14ac:dyDescent="0.3">
      <c r="FK71" s="20"/>
      <c r="FL71" s="20"/>
    </row>
    <row r="72" spans="167:168" x14ac:dyDescent="0.3">
      <c r="FK72" s="20"/>
      <c r="FL72" s="20"/>
    </row>
    <row r="73" spans="167:168" x14ac:dyDescent="0.3">
      <c r="FK73" s="20"/>
      <c r="FL73" s="20"/>
    </row>
    <row r="74" spans="167:168" x14ac:dyDescent="0.3">
      <c r="FK74" s="20"/>
      <c r="FL74" s="20"/>
    </row>
    <row r="75" spans="167:168" x14ac:dyDescent="0.3">
      <c r="FK75" s="20"/>
      <c r="FL75" s="20"/>
    </row>
    <row r="76" spans="167:168" x14ac:dyDescent="0.3">
      <c r="FK76" s="20"/>
      <c r="FL76" s="20"/>
    </row>
    <row r="77" spans="167:168" x14ac:dyDescent="0.3">
      <c r="FK77" s="20"/>
      <c r="FL77" s="20"/>
    </row>
    <row r="78" spans="167:168" x14ac:dyDescent="0.3">
      <c r="FK78" s="20"/>
      <c r="FL78" s="20"/>
    </row>
    <row r="79" spans="167:168" x14ac:dyDescent="0.3">
      <c r="FK79" s="20"/>
      <c r="FL79" s="20"/>
    </row>
    <row r="80" spans="167:168" x14ac:dyDescent="0.3">
      <c r="FK80" s="20"/>
      <c r="FL80" s="20"/>
    </row>
    <row r="81" spans="167:168" x14ac:dyDescent="0.3">
      <c r="FK81" s="20"/>
      <c r="FL81" s="20"/>
    </row>
    <row r="82" spans="167:168" x14ac:dyDescent="0.3">
      <c r="FK82" s="20"/>
      <c r="FL82" s="20"/>
    </row>
    <row r="83" spans="167:168" x14ac:dyDescent="0.3">
      <c r="FK83" s="20"/>
      <c r="FL83" s="20"/>
    </row>
    <row r="84" spans="167:168" x14ac:dyDescent="0.3">
      <c r="FK84" s="20"/>
      <c r="FL84" s="20"/>
    </row>
    <row r="85" spans="167:168" x14ac:dyDescent="0.3">
      <c r="FK85" s="20"/>
      <c r="FL85" s="20"/>
    </row>
    <row r="86" spans="167:168" x14ac:dyDescent="0.3">
      <c r="FK86" s="20"/>
      <c r="FL86" s="20"/>
    </row>
    <row r="87" spans="167:168" x14ac:dyDescent="0.3">
      <c r="FK87" s="20"/>
      <c r="FL87" s="20"/>
    </row>
    <row r="88" spans="167:168" x14ac:dyDescent="0.3">
      <c r="FK88" s="20"/>
      <c r="FL88" s="20"/>
    </row>
    <row r="89" spans="167:168" x14ac:dyDescent="0.3">
      <c r="FK89" s="20"/>
      <c r="FL89" s="20"/>
    </row>
    <row r="90" spans="167:168" x14ac:dyDescent="0.3">
      <c r="FK90" s="20"/>
      <c r="FL90" s="20"/>
    </row>
    <row r="91" spans="167:168" x14ac:dyDescent="0.3">
      <c r="FK91" s="20"/>
      <c r="FL91" s="20"/>
    </row>
    <row r="92" spans="167:168" x14ac:dyDescent="0.3">
      <c r="FK92" s="20"/>
      <c r="FL92" s="20"/>
    </row>
    <row r="93" spans="167:168" x14ac:dyDescent="0.3">
      <c r="FK93" s="20"/>
      <c r="FL93" s="20"/>
    </row>
    <row r="94" spans="167:168" x14ac:dyDescent="0.3">
      <c r="FK94" s="20"/>
      <c r="FL94" s="20"/>
    </row>
    <row r="95" spans="167:168" x14ac:dyDescent="0.3">
      <c r="FK95" s="20"/>
      <c r="FL95" s="20"/>
    </row>
    <row r="96" spans="167:168" x14ac:dyDescent="0.3">
      <c r="FK96" s="20"/>
      <c r="FL96" s="20"/>
    </row>
    <row r="97" spans="167:168" x14ac:dyDescent="0.3">
      <c r="FK97" s="20"/>
      <c r="FL97" s="20"/>
    </row>
    <row r="98" spans="167:168" x14ac:dyDescent="0.3">
      <c r="FK98" s="20"/>
      <c r="FL98" s="20"/>
    </row>
    <row r="99" spans="167:168" x14ac:dyDescent="0.3">
      <c r="FK99" s="20"/>
      <c r="FL99" s="20"/>
    </row>
    <row r="100" spans="167:168" x14ac:dyDescent="0.3">
      <c r="FK100" s="20"/>
      <c r="FL100" s="20"/>
    </row>
    <row r="101" spans="167:168" x14ac:dyDescent="0.3">
      <c r="FK101" s="20"/>
      <c r="FL101" s="20"/>
    </row>
    <row r="102" spans="167:168" x14ac:dyDescent="0.3">
      <c r="FK102" s="20"/>
      <c r="FL102" s="20"/>
    </row>
    <row r="103" spans="167:168" x14ac:dyDescent="0.3">
      <c r="FK103" s="20"/>
      <c r="FL103" s="20"/>
    </row>
    <row r="104" spans="167:168" x14ac:dyDescent="0.3">
      <c r="FK104" s="20"/>
      <c r="FL104" s="20"/>
    </row>
    <row r="105" spans="167:168" x14ac:dyDescent="0.3">
      <c r="FK105" s="20"/>
      <c r="FL105" s="20"/>
    </row>
    <row r="106" spans="167:168" x14ac:dyDescent="0.3">
      <c r="FK106" s="20"/>
      <c r="FL106" s="20"/>
    </row>
    <row r="107" spans="167:168" x14ac:dyDescent="0.3">
      <c r="FK107" s="20"/>
      <c r="FL107" s="20"/>
    </row>
    <row r="108" spans="167:168" x14ac:dyDescent="0.3">
      <c r="FK108" s="20"/>
      <c r="FL108" s="20"/>
    </row>
    <row r="109" spans="167:168" x14ac:dyDescent="0.3">
      <c r="FK109" s="20"/>
      <c r="FL109" s="20"/>
    </row>
    <row r="110" spans="167:168" x14ac:dyDescent="0.3">
      <c r="FK110" s="20"/>
      <c r="FL110" s="20"/>
    </row>
    <row r="111" spans="167:168" x14ac:dyDescent="0.3">
      <c r="FK111" s="20"/>
      <c r="FL111" s="20"/>
    </row>
    <row r="112" spans="167:168" x14ac:dyDescent="0.3">
      <c r="FK112" s="20"/>
      <c r="FL112" s="20"/>
    </row>
    <row r="113" spans="167:168" x14ac:dyDescent="0.3">
      <c r="FK113" s="20"/>
      <c r="FL113" s="20"/>
    </row>
    <row r="114" spans="167:168" x14ac:dyDescent="0.3">
      <c r="FK114" s="20"/>
      <c r="FL114" s="20"/>
    </row>
    <row r="115" spans="167:168" x14ac:dyDescent="0.3">
      <c r="FK115" s="20"/>
      <c r="FL115" s="20"/>
    </row>
    <row r="116" spans="167:168" x14ac:dyDescent="0.3">
      <c r="FK116" s="20"/>
      <c r="FL116" s="20"/>
    </row>
    <row r="117" spans="167:168" x14ac:dyDescent="0.3">
      <c r="FK117" s="20"/>
      <c r="FL117" s="20"/>
    </row>
    <row r="118" spans="167:168" x14ac:dyDescent="0.3">
      <c r="FK118" s="20"/>
      <c r="FL118" s="20"/>
    </row>
    <row r="119" spans="167:168" x14ac:dyDescent="0.3">
      <c r="FK119" s="20"/>
      <c r="FL119" s="20"/>
    </row>
  </sheetData>
  <conditionalFormatting sqref="EW2:EW9">
    <cfRule type="top10" dxfId="7" priority="34" bottom="1" rank="2"/>
    <cfRule type="top10" dxfId="6" priority="35" rank="2"/>
  </conditionalFormatting>
  <conditionalFormatting sqref="EB2:EI2">
    <cfRule type="containsText" dxfId="2" priority="1" operator="containsText" text="Sell">
      <formula>NOT(ISERROR(SEARCH("Sell",EB2)))</formula>
    </cfRule>
    <cfRule type="containsText" dxfId="1" priority="2" operator="containsText" text="Buy">
      <formula>NOT(ISERROR(SEARCH("Buy",EB2)))</formula>
    </cfRule>
    <cfRule type="expression" dxfId="0" priority="3">
      <formula>"EC2=""Buy"""</formula>
    </cfRule>
  </conditionalFormatting>
  <dataValidations count="1">
    <dataValidation type="list" allowBlank="1" showInputMessage="1" showErrorMessage="1" sqref="EB2:EI2" xr:uid="{CF8C6AD5-2FD7-46A3-BD44-33CF2574ADF0}">
      <formula1>$EJ$2:$EJ$4</formula1>
    </dataValidation>
  </dataValidations>
  <pageMargins left="0.7" right="0.7" top="0.75" bottom="0.75" header="0.3" footer="0.3"/>
  <pageSetup paperSize="262" orientation="landscape" horizontalDpi="254" verticalDpi="0" copies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SATORI H1</vt:lpstr>
      <vt:lpstr>SATORI H4</vt:lpstr>
      <vt:lpstr>SATORI (D)</vt:lpstr>
    </vt:vector>
  </TitlesOfParts>
  <Company>Rajamangala University of Technology Lanna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ชยพล ชัยภูมิ</dc:creator>
  <cp:lastModifiedBy>ASUS</cp:lastModifiedBy>
  <dcterms:created xsi:type="dcterms:W3CDTF">2024-08-12T08:34:32Z</dcterms:created>
  <dcterms:modified xsi:type="dcterms:W3CDTF">2024-08-21T14:20:13Z</dcterms:modified>
</cp:coreProperties>
</file>