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ongo\Desktop\"/>
    </mc:Choice>
  </mc:AlternateContent>
  <xr:revisionPtr revIDLastSave="0" documentId="8_{5F9D075E-24FB-4CF9-AF7D-33AC1E0408C9}" xr6:coauthVersionLast="46" xr6:coauthVersionMax="46" xr10:uidLastSave="{00000000-0000-0000-0000-000000000000}"/>
  <bookViews>
    <workbookView xWindow="-120" yWindow="-120" windowWidth="29040" windowHeight="15840" activeTab="3" xr2:uid="{00000000-000D-0000-FFFF-FFFF00000000}"/>
  </bookViews>
  <sheets>
    <sheet name="Square of 12" sheetId="21" r:id="rId1"/>
    <sheet name="Master Circle Chart" sheetId="20" r:id="rId2"/>
    <sheet name="Gann Wheel Date" sheetId="16" r:id="rId3"/>
    <sheet name="Gann Wheel" sheetId="14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3" i="21" l="1" a="1"/>
  <c r="A3" i="21" s="1"/>
  <c r="O27" i="16" l="1"/>
  <c r="R24" i="16"/>
  <c r="M19" i="16"/>
  <c r="AH40" i="16"/>
  <c r="AG40" i="16"/>
  <c r="AF40" i="16"/>
  <c r="AE40" i="16"/>
  <c r="AD40" i="16"/>
  <c r="AC40" i="16"/>
  <c r="AB40" i="16"/>
  <c r="AA40" i="16"/>
  <c r="Z40" i="16"/>
  <c r="Y40" i="16"/>
  <c r="X40" i="16"/>
  <c r="W40" i="16"/>
  <c r="V40" i="16"/>
  <c r="U40" i="16"/>
  <c r="T40" i="16"/>
  <c r="S40" i="16"/>
  <c r="R40" i="16"/>
  <c r="Q40" i="16"/>
  <c r="P40" i="16"/>
  <c r="O40" i="16"/>
  <c r="N40" i="16"/>
  <c r="M40" i="16"/>
  <c r="L40" i="16"/>
  <c r="K40" i="16"/>
  <c r="J40" i="16"/>
  <c r="I40" i="16"/>
  <c r="H40" i="16"/>
  <c r="G40" i="16"/>
  <c r="F40" i="16"/>
  <c r="E40" i="16"/>
  <c r="D40" i="16"/>
  <c r="C40" i="16"/>
  <c r="B40" i="16"/>
  <c r="AH39" i="16"/>
  <c r="AG39" i="16"/>
  <c r="AF39" i="16"/>
  <c r="AE39" i="16"/>
  <c r="AD39" i="16"/>
  <c r="AC39" i="16"/>
  <c r="AB39" i="16"/>
  <c r="AA39" i="16"/>
  <c r="Z39" i="16"/>
  <c r="Y39" i="16"/>
  <c r="X39" i="16"/>
  <c r="W39" i="16"/>
  <c r="V39" i="16"/>
  <c r="U39" i="16"/>
  <c r="T39" i="16"/>
  <c r="S39" i="16"/>
  <c r="R39" i="16"/>
  <c r="Q39" i="16"/>
  <c r="P39" i="16"/>
  <c r="O39" i="16"/>
  <c r="N39" i="16"/>
  <c r="M39" i="16"/>
  <c r="L39" i="16"/>
  <c r="K39" i="16"/>
  <c r="J39" i="16"/>
  <c r="I39" i="16"/>
  <c r="H39" i="16"/>
  <c r="G39" i="16"/>
  <c r="F39" i="16"/>
  <c r="E39" i="16"/>
  <c r="D39" i="16"/>
  <c r="C39" i="16"/>
  <c r="B39" i="16"/>
  <c r="AH38" i="16"/>
  <c r="AG38" i="16"/>
  <c r="AF38" i="16"/>
  <c r="AE38" i="16"/>
  <c r="AD38" i="16"/>
  <c r="AC38" i="16"/>
  <c r="AB38" i="16"/>
  <c r="AA38" i="16"/>
  <c r="Z38" i="16"/>
  <c r="Y38" i="16"/>
  <c r="X38" i="16"/>
  <c r="W38" i="16"/>
  <c r="V38" i="16"/>
  <c r="U38" i="16"/>
  <c r="T38" i="16"/>
  <c r="S38" i="16"/>
  <c r="R38" i="16"/>
  <c r="Q38" i="16"/>
  <c r="P38" i="16"/>
  <c r="O38" i="16"/>
  <c r="N38" i="16"/>
  <c r="M38" i="16"/>
  <c r="L38" i="16"/>
  <c r="K38" i="16"/>
  <c r="J38" i="16"/>
  <c r="I38" i="16"/>
  <c r="H38" i="16"/>
  <c r="G38" i="16"/>
  <c r="F38" i="16"/>
  <c r="E38" i="16"/>
  <c r="D38" i="16"/>
  <c r="C38" i="16"/>
  <c r="B38" i="16"/>
  <c r="AH37" i="16"/>
  <c r="AG37" i="16"/>
  <c r="AF37" i="16"/>
  <c r="AE37" i="16"/>
  <c r="AD37" i="16"/>
  <c r="AC37" i="16"/>
  <c r="AB37" i="16"/>
  <c r="AA37" i="16"/>
  <c r="Z37" i="16"/>
  <c r="Y37" i="16"/>
  <c r="X37" i="16"/>
  <c r="W37" i="16"/>
  <c r="V37" i="16"/>
  <c r="U37" i="16"/>
  <c r="T37" i="16"/>
  <c r="S37" i="16"/>
  <c r="R37" i="16"/>
  <c r="Q37" i="16"/>
  <c r="P37" i="16"/>
  <c r="O37" i="16"/>
  <c r="N37" i="16"/>
  <c r="M37" i="16"/>
  <c r="L37" i="16"/>
  <c r="K37" i="16"/>
  <c r="J37" i="16"/>
  <c r="I37" i="16"/>
  <c r="H37" i="16"/>
  <c r="G37" i="16"/>
  <c r="F37" i="16"/>
  <c r="E37" i="16"/>
  <c r="D37" i="16"/>
  <c r="C37" i="16"/>
  <c r="B37" i="16"/>
  <c r="AH36" i="16"/>
  <c r="AG36" i="16"/>
  <c r="AF36" i="16"/>
  <c r="AE36" i="16"/>
  <c r="AD36" i="16"/>
  <c r="AC36" i="16"/>
  <c r="AB36" i="16"/>
  <c r="AA36" i="16"/>
  <c r="Z36" i="16"/>
  <c r="Y36" i="16"/>
  <c r="X36" i="16"/>
  <c r="W36" i="16"/>
  <c r="V36" i="16"/>
  <c r="U36" i="16"/>
  <c r="T36" i="16"/>
  <c r="S36" i="16"/>
  <c r="R36" i="16"/>
  <c r="Q36" i="16"/>
  <c r="P36" i="16"/>
  <c r="O36" i="16"/>
  <c r="N36" i="16"/>
  <c r="M36" i="16"/>
  <c r="L36" i="16"/>
  <c r="K36" i="16"/>
  <c r="J36" i="16"/>
  <c r="I36" i="16"/>
  <c r="H36" i="16"/>
  <c r="G36" i="16"/>
  <c r="F36" i="16"/>
  <c r="E36" i="16"/>
  <c r="D36" i="16"/>
  <c r="C36" i="16"/>
  <c r="B36" i="16"/>
  <c r="AH35" i="16"/>
  <c r="AG35" i="16"/>
  <c r="AF35" i="16"/>
  <c r="AE35" i="16"/>
  <c r="AD35" i="16"/>
  <c r="AC35" i="16"/>
  <c r="AB35" i="16"/>
  <c r="AA35" i="16"/>
  <c r="Z35" i="16"/>
  <c r="Y35" i="16"/>
  <c r="X35" i="16"/>
  <c r="W35" i="16"/>
  <c r="V35" i="16"/>
  <c r="U35" i="16"/>
  <c r="T35" i="16"/>
  <c r="S35" i="16"/>
  <c r="R35" i="16"/>
  <c r="Q35" i="16"/>
  <c r="P35" i="16"/>
  <c r="O35" i="16"/>
  <c r="N35" i="16"/>
  <c r="M35" i="16"/>
  <c r="L35" i="16"/>
  <c r="K35" i="16"/>
  <c r="J35" i="16"/>
  <c r="I35" i="16"/>
  <c r="H35" i="16"/>
  <c r="G35" i="16"/>
  <c r="F35" i="16"/>
  <c r="E35" i="16"/>
  <c r="D35" i="16"/>
  <c r="C35" i="16"/>
  <c r="B35" i="16"/>
  <c r="AH34" i="16"/>
  <c r="AG34" i="16"/>
  <c r="AF34" i="16"/>
  <c r="AE34" i="16"/>
  <c r="AD34" i="16"/>
  <c r="AC34" i="16"/>
  <c r="AB34" i="16"/>
  <c r="AA34" i="16"/>
  <c r="Z34" i="16"/>
  <c r="Y34" i="16"/>
  <c r="X34" i="16"/>
  <c r="W34" i="16"/>
  <c r="V34" i="16"/>
  <c r="U34" i="16"/>
  <c r="T34" i="16"/>
  <c r="S34" i="16"/>
  <c r="R34" i="16"/>
  <c r="Q34" i="16"/>
  <c r="P34" i="16"/>
  <c r="O34" i="16"/>
  <c r="N34" i="16"/>
  <c r="M34" i="16"/>
  <c r="L34" i="16"/>
  <c r="K34" i="16"/>
  <c r="J34" i="16"/>
  <c r="I34" i="16"/>
  <c r="H34" i="16"/>
  <c r="G34" i="16"/>
  <c r="F34" i="16"/>
  <c r="E34" i="16"/>
  <c r="D34" i="16"/>
  <c r="C34" i="16"/>
  <c r="B34" i="16"/>
  <c r="AH33" i="16"/>
  <c r="AG33" i="16"/>
  <c r="AF33" i="16"/>
  <c r="AE33" i="16"/>
  <c r="AD33" i="16"/>
  <c r="AC33" i="16"/>
  <c r="AB33" i="16"/>
  <c r="AA33" i="16"/>
  <c r="Z33" i="16"/>
  <c r="Y33" i="16"/>
  <c r="X33" i="16"/>
  <c r="W33" i="16"/>
  <c r="V33" i="16"/>
  <c r="U33" i="16"/>
  <c r="T33" i="16"/>
  <c r="S33" i="16"/>
  <c r="R33" i="16"/>
  <c r="Q33" i="16"/>
  <c r="P33" i="16"/>
  <c r="O33" i="16"/>
  <c r="N33" i="16"/>
  <c r="M33" i="16"/>
  <c r="L33" i="16"/>
  <c r="K33" i="16"/>
  <c r="J33" i="16"/>
  <c r="I33" i="16"/>
  <c r="H33" i="16"/>
  <c r="G33" i="16"/>
  <c r="F33" i="16"/>
  <c r="E33" i="16"/>
  <c r="D33" i="16"/>
  <c r="C33" i="16"/>
  <c r="B33" i="16"/>
  <c r="AH32" i="16"/>
  <c r="AG32" i="16"/>
  <c r="AF32" i="16"/>
  <c r="AE32" i="16"/>
  <c r="AD32" i="16"/>
  <c r="AC32" i="16"/>
  <c r="AB32" i="16"/>
  <c r="AA32" i="16"/>
  <c r="Z32" i="16"/>
  <c r="Y32" i="16"/>
  <c r="X32" i="16"/>
  <c r="W32" i="16"/>
  <c r="V32" i="16"/>
  <c r="U32" i="16"/>
  <c r="T32" i="16"/>
  <c r="S32" i="16"/>
  <c r="R32" i="16"/>
  <c r="Q32" i="16"/>
  <c r="P32" i="16"/>
  <c r="O32" i="16"/>
  <c r="N32" i="16"/>
  <c r="M32" i="16"/>
  <c r="L32" i="16"/>
  <c r="K32" i="16"/>
  <c r="J32" i="16"/>
  <c r="I32" i="16"/>
  <c r="H32" i="16"/>
  <c r="G32" i="16"/>
  <c r="F32" i="16"/>
  <c r="E32" i="16"/>
  <c r="D32" i="16"/>
  <c r="C32" i="16"/>
  <c r="B32" i="16"/>
  <c r="AH31" i="16"/>
  <c r="AG31" i="16"/>
  <c r="AF31" i="16"/>
  <c r="AE31" i="16"/>
  <c r="AD31" i="16"/>
  <c r="AC31" i="16"/>
  <c r="AB31" i="16"/>
  <c r="AA31" i="16"/>
  <c r="Z31" i="16"/>
  <c r="Y31" i="16"/>
  <c r="X31" i="16"/>
  <c r="W31" i="16"/>
  <c r="V31" i="16"/>
  <c r="U31" i="16"/>
  <c r="T31" i="16"/>
  <c r="S31" i="16"/>
  <c r="R31" i="16"/>
  <c r="Q31" i="16"/>
  <c r="P31" i="16"/>
  <c r="O31" i="16"/>
  <c r="N31" i="16"/>
  <c r="M31" i="16"/>
  <c r="L31" i="16"/>
  <c r="K31" i="16"/>
  <c r="J31" i="16"/>
  <c r="I31" i="16"/>
  <c r="H31" i="16"/>
  <c r="G31" i="16"/>
  <c r="F31" i="16"/>
  <c r="E31" i="16"/>
  <c r="D31" i="16"/>
  <c r="C31" i="16"/>
  <c r="B31" i="16"/>
  <c r="AH30" i="16"/>
  <c r="AG30" i="16"/>
  <c r="AF30" i="16"/>
  <c r="AE30" i="16"/>
  <c r="AD30" i="16"/>
  <c r="AC30" i="16"/>
  <c r="AB30" i="16"/>
  <c r="AA30" i="16"/>
  <c r="Z30" i="16"/>
  <c r="Y30" i="16"/>
  <c r="X30" i="16"/>
  <c r="W30" i="16"/>
  <c r="V30" i="16"/>
  <c r="U30" i="16"/>
  <c r="T30" i="16"/>
  <c r="S30" i="16"/>
  <c r="R30" i="16"/>
  <c r="Q30" i="16"/>
  <c r="P30" i="16"/>
  <c r="O30" i="16"/>
  <c r="N30" i="16"/>
  <c r="M30" i="16"/>
  <c r="L30" i="16"/>
  <c r="K30" i="16"/>
  <c r="J30" i="16"/>
  <c r="I30" i="16"/>
  <c r="H30" i="16"/>
  <c r="G30" i="16"/>
  <c r="F30" i="16"/>
  <c r="E30" i="16"/>
  <c r="D30" i="16"/>
  <c r="C30" i="16"/>
  <c r="B30" i="16"/>
  <c r="AH29" i="16"/>
  <c r="AG29" i="16"/>
  <c r="AF29" i="16"/>
  <c r="AE29" i="16"/>
  <c r="AD29" i="16"/>
  <c r="AC29" i="16"/>
  <c r="AB29" i="16"/>
  <c r="AA29" i="16"/>
  <c r="Z29" i="16"/>
  <c r="Y29" i="16"/>
  <c r="X29" i="16"/>
  <c r="W29" i="16"/>
  <c r="V29" i="16"/>
  <c r="U29" i="16"/>
  <c r="T29" i="16"/>
  <c r="S29" i="16"/>
  <c r="R29" i="16"/>
  <c r="Q29" i="16"/>
  <c r="P29" i="16"/>
  <c r="O29" i="16"/>
  <c r="N29" i="16"/>
  <c r="M29" i="16"/>
  <c r="L29" i="16"/>
  <c r="K29" i="16"/>
  <c r="J29" i="16"/>
  <c r="I29" i="16"/>
  <c r="H29" i="16"/>
  <c r="G29" i="16"/>
  <c r="F29" i="16"/>
  <c r="E29" i="16"/>
  <c r="D29" i="16"/>
  <c r="C29" i="16"/>
  <c r="B29" i="16"/>
  <c r="AH28" i="16"/>
  <c r="AG28" i="16"/>
  <c r="AF28" i="16"/>
  <c r="AE28" i="16"/>
  <c r="AD28" i="16"/>
  <c r="AC28" i="16"/>
  <c r="AB28" i="16"/>
  <c r="AA28" i="16"/>
  <c r="Z28" i="16"/>
  <c r="Y28" i="16"/>
  <c r="X28" i="16"/>
  <c r="W28" i="16"/>
  <c r="V28" i="16"/>
  <c r="U28" i="16"/>
  <c r="T28" i="16"/>
  <c r="S28" i="16"/>
  <c r="R28" i="16"/>
  <c r="Q28" i="16"/>
  <c r="P28" i="16"/>
  <c r="O28" i="16"/>
  <c r="N28" i="16"/>
  <c r="M28" i="16"/>
  <c r="L28" i="16"/>
  <c r="K28" i="16"/>
  <c r="J28" i="16"/>
  <c r="I28" i="16"/>
  <c r="H28" i="16"/>
  <c r="G28" i="16"/>
  <c r="F28" i="16"/>
  <c r="E28" i="16"/>
  <c r="D28" i="16"/>
  <c r="C28" i="16"/>
  <c r="B28" i="16"/>
  <c r="AH27" i="16"/>
  <c r="AG27" i="16"/>
  <c r="AF27" i="16"/>
  <c r="AE27" i="16"/>
  <c r="AD27" i="16"/>
  <c r="AC27" i="16"/>
  <c r="AB27" i="16"/>
  <c r="AA27" i="16"/>
  <c r="Z27" i="16"/>
  <c r="Y27" i="16"/>
  <c r="X27" i="16"/>
  <c r="W27" i="16"/>
  <c r="V27" i="16"/>
  <c r="U27" i="16"/>
  <c r="T27" i="16"/>
  <c r="S27" i="16"/>
  <c r="R27" i="16"/>
  <c r="Q27" i="16"/>
  <c r="P27" i="16"/>
  <c r="N27" i="16"/>
  <c r="M27" i="16"/>
  <c r="L27" i="16"/>
  <c r="K27" i="16"/>
  <c r="J27" i="16"/>
  <c r="I27" i="16"/>
  <c r="H27" i="16"/>
  <c r="G27" i="16"/>
  <c r="F27" i="16"/>
  <c r="E27" i="16"/>
  <c r="D27" i="16"/>
  <c r="C27" i="16"/>
  <c r="B27" i="16"/>
  <c r="AH26" i="16"/>
  <c r="AG26" i="16"/>
  <c r="AF26" i="16"/>
  <c r="AE26" i="16"/>
  <c r="AD26" i="16"/>
  <c r="AC26" i="16"/>
  <c r="AB26" i="16"/>
  <c r="AA26" i="16"/>
  <c r="Z26" i="16"/>
  <c r="Y26" i="16"/>
  <c r="X26" i="16"/>
  <c r="W26" i="16"/>
  <c r="V26" i="16"/>
  <c r="U26" i="16"/>
  <c r="T26" i="16"/>
  <c r="S26" i="16"/>
  <c r="R26" i="16"/>
  <c r="Q26" i="16"/>
  <c r="P26" i="16"/>
  <c r="O26" i="16"/>
  <c r="N26" i="16"/>
  <c r="M26" i="16"/>
  <c r="L26" i="16"/>
  <c r="K26" i="16"/>
  <c r="J26" i="16"/>
  <c r="I26" i="16"/>
  <c r="H26" i="16"/>
  <c r="G26" i="16"/>
  <c r="F26" i="16"/>
  <c r="E26" i="16"/>
  <c r="D26" i="16"/>
  <c r="C26" i="16"/>
  <c r="B26" i="16"/>
  <c r="AH25" i="16"/>
  <c r="AG25" i="16"/>
  <c r="AF25" i="16"/>
  <c r="AE25" i="16"/>
  <c r="AD25" i="16"/>
  <c r="AC25" i="16"/>
  <c r="AB25" i="16"/>
  <c r="AA25" i="16"/>
  <c r="Z25" i="16"/>
  <c r="Y25" i="16"/>
  <c r="X25" i="16"/>
  <c r="W25" i="16"/>
  <c r="V25" i="16"/>
  <c r="U25" i="16"/>
  <c r="T25" i="16"/>
  <c r="S25" i="16"/>
  <c r="R25" i="16"/>
  <c r="Q25" i="16"/>
  <c r="P25" i="16"/>
  <c r="O25" i="16"/>
  <c r="N25" i="16"/>
  <c r="M25" i="16"/>
  <c r="L25" i="16"/>
  <c r="K25" i="16"/>
  <c r="J25" i="16"/>
  <c r="I25" i="16"/>
  <c r="H25" i="16"/>
  <c r="G25" i="16"/>
  <c r="F25" i="16"/>
  <c r="E25" i="16"/>
  <c r="D25" i="16"/>
  <c r="C25" i="16"/>
  <c r="B25" i="16"/>
  <c r="AH24" i="16"/>
  <c r="AG24" i="16"/>
  <c r="AF24" i="16"/>
  <c r="AE24" i="16"/>
  <c r="AD24" i="16"/>
  <c r="AC24" i="16"/>
  <c r="AB24" i="16"/>
  <c r="AA24" i="16"/>
  <c r="Z24" i="16"/>
  <c r="Y24" i="16"/>
  <c r="X24" i="16"/>
  <c r="W24" i="16"/>
  <c r="V24" i="16"/>
  <c r="U24" i="16"/>
  <c r="T24" i="16"/>
  <c r="S24" i="16"/>
  <c r="Q24" i="16"/>
  <c r="P24" i="16"/>
  <c r="O24" i="16"/>
  <c r="N24" i="16"/>
  <c r="M24" i="16"/>
  <c r="L24" i="16"/>
  <c r="K24" i="16"/>
  <c r="J24" i="16"/>
  <c r="I24" i="16"/>
  <c r="H24" i="16"/>
  <c r="G24" i="16"/>
  <c r="F24" i="16"/>
  <c r="E24" i="16"/>
  <c r="D24" i="16"/>
  <c r="C24" i="16"/>
  <c r="B24" i="16"/>
  <c r="AH23" i="16"/>
  <c r="AG23" i="16"/>
  <c r="AF23" i="16"/>
  <c r="AE23" i="16"/>
  <c r="AD23" i="16"/>
  <c r="AC23" i="16"/>
  <c r="AB23" i="16"/>
  <c r="AA23" i="16"/>
  <c r="Z23" i="16"/>
  <c r="Y23" i="16"/>
  <c r="X23" i="16"/>
  <c r="W23" i="16"/>
  <c r="V23" i="16"/>
  <c r="U23" i="16"/>
  <c r="T23" i="16"/>
  <c r="S23" i="16"/>
  <c r="R23" i="16"/>
  <c r="Q23" i="16"/>
  <c r="P23" i="16"/>
  <c r="O23" i="16"/>
  <c r="N23" i="16"/>
  <c r="M23" i="16"/>
  <c r="L23" i="16"/>
  <c r="K23" i="16"/>
  <c r="J23" i="16"/>
  <c r="I23" i="16"/>
  <c r="H23" i="16"/>
  <c r="G23" i="16"/>
  <c r="F23" i="16"/>
  <c r="E23" i="16"/>
  <c r="D23" i="16"/>
  <c r="C23" i="16"/>
  <c r="B23" i="16"/>
  <c r="AH22" i="16"/>
  <c r="AG22" i="16"/>
  <c r="AF22" i="16"/>
  <c r="AE22" i="16"/>
  <c r="AD22" i="16"/>
  <c r="AC22" i="16"/>
  <c r="AB22" i="16"/>
  <c r="AA22" i="16"/>
  <c r="Z22" i="16"/>
  <c r="Y22" i="16"/>
  <c r="X22" i="16"/>
  <c r="W22" i="16"/>
  <c r="V22" i="16"/>
  <c r="U22" i="16"/>
  <c r="T22" i="16"/>
  <c r="S22" i="16"/>
  <c r="R22" i="16"/>
  <c r="Q22" i="16"/>
  <c r="P22" i="16"/>
  <c r="O22" i="16"/>
  <c r="N22" i="16"/>
  <c r="M22" i="16"/>
  <c r="L22" i="16"/>
  <c r="K22" i="16"/>
  <c r="J22" i="16"/>
  <c r="I22" i="16"/>
  <c r="H22" i="16"/>
  <c r="G22" i="16"/>
  <c r="F22" i="16"/>
  <c r="E22" i="16"/>
  <c r="D22" i="16"/>
  <c r="C22" i="16"/>
  <c r="B22" i="16"/>
  <c r="AH21" i="16"/>
  <c r="AG21" i="16"/>
  <c r="AF21" i="16"/>
  <c r="AE21" i="16"/>
  <c r="AD21" i="16"/>
  <c r="AC21" i="16"/>
  <c r="AB21" i="16"/>
  <c r="AA21" i="16"/>
  <c r="Z21" i="16"/>
  <c r="Y21" i="16"/>
  <c r="X21" i="16"/>
  <c r="W21" i="16"/>
  <c r="V21" i="16"/>
  <c r="U21" i="16"/>
  <c r="T21" i="16"/>
  <c r="S21" i="16"/>
  <c r="R21" i="16"/>
  <c r="Q21" i="16"/>
  <c r="P21" i="16"/>
  <c r="O21" i="16"/>
  <c r="N21" i="16"/>
  <c r="M21" i="16"/>
  <c r="L21" i="16"/>
  <c r="K21" i="16"/>
  <c r="J21" i="16"/>
  <c r="I21" i="16"/>
  <c r="H21" i="16"/>
  <c r="G21" i="16"/>
  <c r="F21" i="16"/>
  <c r="E21" i="16"/>
  <c r="D21" i="16"/>
  <c r="C21" i="16"/>
  <c r="B21" i="16"/>
  <c r="AH20" i="16"/>
  <c r="AG20" i="16"/>
  <c r="AF20" i="16"/>
  <c r="AE20" i="16"/>
  <c r="AD20" i="16"/>
  <c r="AC20" i="16"/>
  <c r="AB20" i="16"/>
  <c r="AA20" i="16"/>
  <c r="Z20" i="16"/>
  <c r="Y20" i="16"/>
  <c r="X20" i="16"/>
  <c r="W20" i="16"/>
  <c r="V20" i="16"/>
  <c r="U20" i="16"/>
  <c r="T20" i="16"/>
  <c r="S20" i="16"/>
  <c r="R20" i="16"/>
  <c r="Q20" i="16"/>
  <c r="P20" i="16"/>
  <c r="O20" i="16"/>
  <c r="N20" i="16"/>
  <c r="M20" i="16"/>
  <c r="L20" i="16"/>
  <c r="K20" i="16"/>
  <c r="J20" i="16"/>
  <c r="I20" i="16"/>
  <c r="H20" i="16"/>
  <c r="G20" i="16"/>
  <c r="F20" i="16"/>
  <c r="E20" i="16"/>
  <c r="D20" i="16"/>
  <c r="C20" i="16"/>
  <c r="B20" i="16"/>
  <c r="AH19" i="16"/>
  <c r="AG19" i="16"/>
  <c r="AF19" i="16"/>
  <c r="AE19" i="16"/>
  <c r="AD19" i="16"/>
  <c r="AC19" i="16"/>
  <c r="AB19" i="16"/>
  <c r="AA19" i="16"/>
  <c r="Z19" i="16"/>
  <c r="Y19" i="16"/>
  <c r="X19" i="16"/>
  <c r="W19" i="16"/>
  <c r="V19" i="16"/>
  <c r="U19" i="16"/>
  <c r="T19" i="16"/>
  <c r="S19" i="16"/>
  <c r="R19" i="16"/>
  <c r="Q19" i="16"/>
  <c r="P19" i="16"/>
  <c r="O19" i="16"/>
  <c r="N19" i="16"/>
  <c r="L19" i="16"/>
  <c r="K19" i="16"/>
  <c r="J19" i="16"/>
  <c r="I19" i="16"/>
  <c r="H19" i="16"/>
  <c r="G19" i="16"/>
  <c r="F19" i="16"/>
  <c r="E19" i="16"/>
  <c r="D19" i="16"/>
  <c r="C19" i="16"/>
  <c r="B19" i="16"/>
  <c r="AH18" i="16"/>
  <c r="AG18" i="16"/>
  <c r="AF18" i="16"/>
  <c r="AE18" i="16"/>
  <c r="AD18" i="16"/>
  <c r="AC18" i="16"/>
  <c r="AB18" i="16"/>
  <c r="AA18" i="16"/>
  <c r="Z18" i="16"/>
  <c r="Y18" i="16"/>
  <c r="X18" i="16"/>
  <c r="W18" i="16"/>
  <c r="V18" i="16"/>
  <c r="U18" i="16"/>
  <c r="T18" i="16"/>
  <c r="S18" i="16"/>
  <c r="R18" i="16"/>
  <c r="Q18" i="16"/>
  <c r="P18" i="16"/>
  <c r="O18" i="16"/>
  <c r="N18" i="16"/>
  <c r="M18" i="16"/>
  <c r="L18" i="16"/>
  <c r="K18" i="16"/>
  <c r="J18" i="16"/>
  <c r="I18" i="16"/>
  <c r="H18" i="16"/>
  <c r="G18" i="16"/>
  <c r="F18" i="16"/>
  <c r="E18" i="16"/>
  <c r="D18" i="16"/>
  <c r="C18" i="16"/>
  <c r="B18" i="16"/>
  <c r="AH17" i="16"/>
  <c r="AG17" i="16"/>
  <c r="AF17" i="16"/>
  <c r="AE17" i="16"/>
  <c r="AD17" i="16"/>
  <c r="AC17" i="16"/>
  <c r="AB17" i="16"/>
  <c r="AA17" i="16"/>
  <c r="Z17" i="16"/>
  <c r="Y17" i="16"/>
  <c r="X17" i="16"/>
  <c r="W17" i="16"/>
  <c r="V17" i="16"/>
  <c r="U17" i="16"/>
  <c r="T17" i="16"/>
  <c r="S17" i="16"/>
  <c r="R17" i="16"/>
  <c r="Q17" i="16"/>
  <c r="P17" i="16"/>
  <c r="O17" i="16"/>
  <c r="N17" i="16"/>
  <c r="M17" i="16"/>
  <c r="L17" i="16"/>
  <c r="K17" i="16"/>
  <c r="J17" i="16"/>
  <c r="I17" i="16"/>
  <c r="H17" i="16"/>
  <c r="G17" i="16"/>
  <c r="F17" i="16"/>
  <c r="E17" i="16"/>
  <c r="D17" i="16"/>
  <c r="C17" i="16"/>
  <c r="B17" i="16"/>
  <c r="AH16" i="16"/>
  <c r="AG16" i="16"/>
  <c r="AF16" i="16"/>
  <c r="AE16" i="16"/>
  <c r="AD16" i="16"/>
  <c r="AC16" i="16"/>
  <c r="AB16" i="16"/>
  <c r="AA16" i="16"/>
  <c r="Z16" i="16"/>
  <c r="Y16" i="16"/>
  <c r="X16" i="16"/>
  <c r="W16" i="16"/>
  <c r="V16" i="16"/>
  <c r="U16" i="16"/>
  <c r="T16" i="16"/>
  <c r="S16" i="16"/>
  <c r="R16" i="16"/>
  <c r="Q16" i="16"/>
  <c r="P16" i="16"/>
  <c r="O16" i="16"/>
  <c r="N16" i="16"/>
  <c r="M16" i="16"/>
  <c r="L16" i="16"/>
  <c r="K16" i="16"/>
  <c r="J16" i="16"/>
  <c r="I16" i="16"/>
  <c r="H16" i="16"/>
  <c r="G16" i="16"/>
  <c r="F16" i="16"/>
  <c r="E16" i="16"/>
  <c r="D16" i="16"/>
  <c r="C16" i="16"/>
  <c r="B16" i="16"/>
  <c r="AH15" i="16"/>
  <c r="AG15" i="16"/>
  <c r="AF15" i="16"/>
  <c r="AE15" i="16"/>
  <c r="AD15" i="16"/>
  <c r="AC15" i="16"/>
  <c r="AB15" i="16"/>
  <c r="AA15" i="16"/>
  <c r="Z15" i="16"/>
  <c r="Y15" i="16"/>
  <c r="X15" i="16"/>
  <c r="W15" i="16"/>
  <c r="V15" i="16"/>
  <c r="U15" i="16"/>
  <c r="T15" i="16"/>
  <c r="S15" i="16"/>
  <c r="R15" i="16"/>
  <c r="Q15" i="16"/>
  <c r="P15" i="16"/>
  <c r="O15" i="16"/>
  <c r="N15" i="16"/>
  <c r="M15" i="16"/>
  <c r="L15" i="16"/>
  <c r="K15" i="16"/>
  <c r="J15" i="16"/>
  <c r="I15" i="16"/>
  <c r="H15" i="16"/>
  <c r="G15" i="16"/>
  <c r="F15" i="16"/>
  <c r="E15" i="16"/>
  <c r="D15" i="16"/>
  <c r="C15" i="16"/>
  <c r="B15" i="16"/>
  <c r="AH14" i="16"/>
  <c r="AG14" i="16"/>
  <c r="AF14" i="16"/>
  <c r="AE14" i="16"/>
  <c r="AD14" i="16"/>
  <c r="AC14" i="16"/>
  <c r="AB14" i="16"/>
  <c r="AA14" i="16"/>
  <c r="Z14" i="16"/>
  <c r="Y14" i="16"/>
  <c r="X14" i="16"/>
  <c r="W14" i="16"/>
  <c r="V14" i="16"/>
  <c r="U14" i="16"/>
  <c r="T14" i="16"/>
  <c r="S14" i="16"/>
  <c r="R14" i="16"/>
  <c r="Q14" i="16"/>
  <c r="P14" i="16"/>
  <c r="O14" i="16"/>
  <c r="N14" i="16"/>
  <c r="M14" i="16"/>
  <c r="L14" i="16"/>
  <c r="K14" i="16"/>
  <c r="J14" i="16"/>
  <c r="I14" i="16"/>
  <c r="H14" i="16"/>
  <c r="G14" i="16"/>
  <c r="F14" i="16"/>
  <c r="E14" i="16"/>
  <c r="D14" i="16"/>
  <c r="C14" i="16"/>
  <c r="B14" i="16"/>
  <c r="AH13" i="16"/>
  <c r="AG13" i="16"/>
  <c r="AF13" i="16"/>
  <c r="AE13" i="16"/>
  <c r="AD13" i="16"/>
  <c r="AC13" i="16"/>
  <c r="AB13" i="16"/>
  <c r="AA13" i="16"/>
  <c r="Z13" i="16"/>
  <c r="Y13" i="16"/>
  <c r="X13" i="16"/>
  <c r="W13" i="16"/>
  <c r="V13" i="16"/>
  <c r="U13" i="16"/>
  <c r="T13" i="16"/>
  <c r="S13" i="16"/>
  <c r="R13" i="16"/>
  <c r="Q13" i="16"/>
  <c r="P13" i="16"/>
  <c r="O13" i="16"/>
  <c r="N13" i="16"/>
  <c r="M13" i="16"/>
  <c r="L13" i="16"/>
  <c r="K13" i="16"/>
  <c r="J13" i="16"/>
  <c r="I13" i="16"/>
  <c r="H13" i="16"/>
  <c r="G13" i="16"/>
  <c r="F13" i="16"/>
  <c r="E13" i="16"/>
  <c r="D13" i="16"/>
  <c r="C13" i="16"/>
  <c r="B13" i="16"/>
  <c r="AH12" i="16"/>
  <c r="AG12" i="16"/>
  <c r="AF12" i="16"/>
  <c r="AE12" i="16"/>
  <c r="AD12" i="16"/>
  <c r="AC12" i="16"/>
  <c r="AB12" i="16"/>
  <c r="AA12" i="16"/>
  <c r="Z12" i="16"/>
  <c r="Y12" i="16"/>
  <c r="X12" i="16"/>
  <c r="W12" i="16"/>
  <c r="V12" i="16"/>
  <c r="U12" i="16"/>
  <c r="T12" i="16"/>
  <c r="S12" i="16"/>
  <c r="R12" i="16"/>
  <c r="Q12" i="16"/>
  <c r="P12" i="16"/>
  <c r="O12" i="16"/>
  <c r="N12" i="16"/>
  <c r="M12" i="16"/>
  <c r="L12" i="16"/>
  <c r="K12" i="16"/>
  <c r="J12" i="16"/>
  <c r="I12" i="16"/>
  <c r="H12" i="16"/>
  <c r="G12" i="16"/>
  <c r="F12" i="16"/>
  <c r="E12" i="16"/>
  <c r="D12" i="16"/>
  <c r="C12" i="16"/>
  <c r="B12" i="16"/>
  <c r="AH11" i="16"/>
  <c r="AG11" i="16"/>
  <c r="AF11" i="16"/>
  <c r="AE11" i="16"/>
  <c r="AD11" i="16"/>
  <c r="AC11" i="16"/>
  <c r="AB11" i="16"/>
  <c r="AA11" i="16"/>
  <c r="Z11" i="16"/>
  <c r="Y11" i="16"/>
  <c r="X11" i="16"/>
  <c r="W11" i="16"/>
  <c r="V11" i="16"/>
  <c r="U11" i="16"/>
  <c r="T11" i="16"/>
  <c r="S11" i="16"/>
  <c r="R11" i="16"/>
  <c r="Q11" i="16"/>
  <c r="P11" i="16"/>
  <c r="O11" i="16"/>
  <c r="N11" i="16"/>
  <c r="M11" i="16"/>
  <c r="L11" i="16"/>
  <c r="K11" i="16"/>
  <c r="J11" i="16"/>
  <c r="I11" i="16"/>
  <c r="H11" i="16"/>
  <c r="G11" i="16"/>
  <c r="F11" i="16"/>
  <c r="E11" i="16"/>
  <c r="D11" i="16"/>
  <c r="C11" i="16"/>
  <c r="B11" i="16"/>
  <c r="AH10" i="16"/>
  <c r="AG10" i="16"/>
  <c r="AF10" i="16"/>
  <c r="AE10" i="16"/>
  <c r="AD10" i="16"/>
  <c r="AC10" i="16"/>
  <c r="AB10" i="16"/>
  <c r="AA10" i="16"/>
  <c r="Z10" i="16"/>
  <c r="Y10" i="16"/>
  <c r="X10" i="16"/>
  <c r="W10" i="16"/>
  <c r="V10" i="16"/>
  <c r="U10" i="16"/>
  <c r="T10" i="16"/>
  <c r="S10" i="16"/>
  <c r="R10" i="16"/>
  <c r="Q10" i="16"/>
  <c r="P10" i="16"/>
  <c r="O10" i="16"/>
  <c r="N10" i="16"/>
  <c r="M10" i="16"/>
  <c r="L10" i="16"/>
  <c r="K10" i="16"/>
  <c r="J10" i="16"/>
  <c r="I10" i="16"/>
  <c r="H10" i="16"/>
  <c r="G10" i="16"/>
  <c r="F10" i="16"/>
  <c r="E10" i="16"/>
  <c r="D10" i="16"/>
  <c r="C10" i="16"/>
  <c r="B10" i="16"/>
  <c r="AH9" i="16"/>
  <c r="AG9" i="16"/>
  <c r="AF9" i="16"/>
  <c r="AE9" i="16"/>
  <c r="AD9" i="16"/>
  <c r="AC9" i="16"/>
  <c r="AB9" i="16"/>
  <c r="AA9" i="16"/>
  <c r="Z9" i="16"/>
  <c r="Y9" i="16"/>
  <c r="X9" i="16"/>
  <c r="W9" i="16"/>
  <c r="V9" i="16"/>
  <c r="U9" i="16"/>
  <c r="T9" i="16"/>
  <c r="S9" i="16"/>
  <c r="R9" i="16"/>
  <c r="Q9" i="16"/>
  <c r="P9" i="16"/>
  <c r="O9" i="16"/>
  <c r="N9" i="16"/>
  <c r="M9" i="16"/>
  <c r="L9" i="16"/>
  <c r="K9" i="16"/>
  <c r="J9" i="16"/>
  <c r="I9" i="16"/>
  <c r="H9" i="16"/>
  <c r="G9" i="16"/>
  <c r="F9" i="16"/>
  <c r="E9" i="16"/>
  <c r="D9" i="16"/>
  <c r="C9" i="16"/>
  <c r="B9" i="16"/>
  <c r="AH8" i="16"/>
  <c r="AG8" i="16"/>
  <c r="AF8" i="16"/>
  <c r="AE8" i="16"/>
  <c r="AD8" i="16"/>
  <c r="AC8" i="16"/>
  <c r="AB8" i="16"/>
  <c r="AA8" i="16"/>
  <c r="Z8" i="16"/>
  <c r="Y8" i="16"/>
  <c r="X8" i="16"/>
  <c r="W8" i="16"/>
  <c r="V8" i="16"/>
  <c r="U8" i="16"/>
  <c r="T8" i="16"/>
  <c r="S8" i="16"/>
  <c r="R8" i="16"/>
  <c r="Q8" i="16"/>
  <c r="P8" i="16"/>
  <c r="O8" i="16"/>
  <c r="N8" i="16"/>
  <c r="M8" i="16"/>
  <c r="L8" i="16"/>
  <c r="K8" i="16"/>
  <c r="J8" i="16"/>
  <c r="I8" i="16"/>
  <c r="H8" i="16"/>
  <c r="G8" i="16"/>
  <c r="F8" i="16"/>
  <c r="E8" i="16"/>
  <c r="D8" i="16"/>
  <c r="C8" i="16"/>
  <c r="B8" i="16"/>
  <c r="AH40" i="14"/>
  <c r="AG40" i="14"/>
  <c r="AF40" i="14"/>
  <c r="AE40" i="14"/>
  <c r="AD40" i="14"/>
  <c r="AC40" i="14"/>
  <c r="AB40" i="14"/>
  <c r="AA40" i="14"/>
  <c r="Z40" i="14"/>
  <c r="Y40" i="14"/>
  <c r="X40" i="14"/>
  <c r="W40" i="14"/>
  <c r="V40" i="14"/>
  <c r="U40" i="14"/>
  <c r="T40" i="14"/>
  <c r="S40" i="14"/>
  <c r="R40" i="14"/>
  <c r="Q40" i="14"/>
  <c r="P40" i="14"/>
  <c r="O40" i="14"/>
  <c r="N40" i="14"/>
  <c r="M40" i="14"/>
  <c r="L40" i="14"/>
  <c r="K40" i="14"/>
  <c r="J40" i="14"/>
  <c r="I40" i="14"/>
  <c r="H40" i="14"/>
  <c r="G40" i="14"/>
  <c r="F40" i="14"/>
  <c r="E40" i="14"/>
  <c r="D40" i="14"/>
  <c r="C40" i="14"/>
  <c r="B40" i="14"/>
  <c r="AH39" i="14"/>
  <c r="AG39" i="14"/>
  <c r="AF39" i="14"/>
  <c r="AE39" i="14"/>
  <c r="AD39" i="14"/>
  <c r="AC39" i="14"/>
  <c r="AB39" i="14"/>
  <c r="AA39" i="14"/>
  <c r="Z39" i="14"/>
  <c r="Y39" i="14"/>
  <c r="X39" i="14"/>
  <c r="W39" i="14"/>
  <c r="V39" i="14"/>
  <c r="U39" i="14"/>
  <c r="T39" i="14"/>
  <c r="S39" i="14"/>
  <c r="R39" i="14"/>
  <c r="Q39" i="14"/>
  <c r="P39" i="14"/>
  <c r="O39" i="14"/>
  <c r="N39" i="14"/>
  <c r="M39" i="14"/>
  <c r="L39" i="14"/>
  <c r="K39" i="14"/>
  <c r="J39" i="14"/>
  <c r="I39" i="14"/>
  <c r="H39" i="14"/>
  <c r="G39" i="14"/>
  <c r="F39" i="14"/>
  <c r="E39" i="14"/>
  <c r="D39" i="14"/>
  <c r="C39" i="14"/>
  <c r="B39" i="14"/>
  <c r="AH38" i="14"/>
  <c r="AG38" i="14"/>
  <c r="AF38" i="14"/>
  <c r="AE38" i="14"/>
  <c r="AD38" i="14"/>
  <c r="AC38" i="14"/>
  <c r="AB38" i="14"/>
  <c r="AA38" i="14"/>
  <c r="Z38" i="14"/>
  <c r="Y38" i="14"/>
  <c r="X38" i="14"/>
  <c r="W38" i="14"/>
  <c r="V38" i="14"/>
  <c r="U38" i="14"/>
  <c r="T38" i="14"/>
  <c r="S38" i="14"/>
  <c r="R38" i="14"/>
  <c r="Q38" i="14"/>
  <c r="P38" i="14"/>
  <c r="O38" i="14"/>
  <c r="N38" i="14"/>
  <c r="M38" i="14"/>
  <c r="L38" i="14"/>
  <c r="K38" i="14"/>
  <c r="J38" i="14"/>
  <c r="I38" i="14"/>
  <c r="H38" i="14"/>
  <c r="G38" i="14"/>
  <c r="F38" i="14"/>
  <c r="E38" i="14"/>
  <c r="D38" i="14"/>
  <c r="C38" i="14"/>
  <c r="B38" i="14"/>
  <c r="AH37" i="14"/>
  <c r="AG37" i="14"/>
  <c r="AF37" i="14"/>
  <c r="AE37" i="14"/>
  <c r="AD37" i="14"/>
  <c r="AC37" i="14"/>
  <c r="AB37" i="14"/>
  <c r="AA37" i="14"/>
  <c r="Z37" i="14"/>
  <c r="Y37" i="14"/>
  <c r="X37" i="14"/>
  <c r="W37" i="14"/>
  <c r="V37" i="14"/>
  <c r="U37" i="14"/>
  <c r="T37" i="14"/>
  <c r="S37" i="14"/>
  <c r="R37" i="14"/>
  <c r="Q37" i="14"/>
  <c r="P37" i="14"/>
  <c r="O37" i="14"/>
  <c r="N37" i="14"/>
  <c r="M37" i="14"/>
  <c r="L37" i="14"/>
  <c r="K37" i="14"/>
  <c r="J37" i="14"/>
  <c r="I37" i="14"/>
  <c r="H37" i="14"/>
  <c r="G37" i="14"/>
  <c r="F37" i="14"/>
  <c r="E37" i="14"/>
  <c r="D37" i="14"/>
  <c r="C37" i="14"/>
  <c r="B37" i="14"/>
  <c r="AH36" i="14"/>
  <c r="AG36" i="14"/>
  <c r="AF36" i="14"/>
  <c r="AE36" i="14"/>
  <c r="AD36" i="14"/>
  <c r="AC36" i="14"/>
  <c r="AB36" i="14"/>
  <c r="AA36" i="14"/>
  <c r="Z36" i="14"/>
  <c r="Y36" i="14"/>
  <c r="X36" i="14"/>
  <c r="W36" i="14"/>
  <c r="V36" i="14"/>
  <c r="U36" i="14"/>
  <c r="T36" i="14"/>
  <c r="S36" i="14"/>
  <c r="R36" i="14"/>
  <c r="Q36" i="14"/>
  <c r="P36" i="14"/>
  <c r="O36" i="14"/>
  <c r="N36" i="14"/>
  <c r="M36" i="14"/>
  <c r="L36" i="14"/>
  <c r="K36" i="14"/>
  <c r="J36" i="14"/>
  <c r="I36" i="14"/>
  <c r="H36" i="14"/>
  <c r="G36" i="14"/>
  <c r="F36" i="14"/>
  <c r="E36" i="14"/>
  <c r="D36" i="14"/>
  <c r="C36" i="14"/>
  <c r="B36" i="14"/>
  <c r="AH35" i="14"/>
  <c r="AG35" i="14"/>
  <c r="AF35" i="14"/>
  <c r="AE35" i="14"/>
  <c r="AD35" i="14"/>
  <c r="AC35" i="14"/>
  <c r="AB35" i="14"/>
  <c r="AA35" i="14"/>
  <c r="Z35" i="14"/>
  <c r="Y35" i="14"/>
  <c r="X35" i="14"/>
  <c r="W35" i="14"/>
  <c r="V35" i="14"/>
  <c r="U35" i="14"/>
  <c r="T35" i="14"/>
  <c r="S35" i="14"/>
  <c r="R35" i="14"/>
  <c r="Q35" i="14"/>
  <c r="P35" i="14"/>
  <c r="O35" i="14"/>
  <c r="N35" i="14"/>
  <c r="M35" i="14"/>
  <c r="L35" i="14"/>
  <c r="K35" i="14"/>
  <c r="J35" i="14"/>
  <c r="I35" i="14"/>
  <c r="H35" i="14"/>
  <c r="G35" i="14"/>
  <c r="F35" i="14"/>
  <c r="E35" i="14"/>
  <c r="D35" i="14"/>
  <c r="C35" i="14"/>
  <c r="B35" i="14"/>
  <c r="AH34" i="14"/>
  <c r="AG34" i="14"/>
  <c r="AF34" i="14"/>
  <c r="AE34" i="14"/>
  <c r="AD34" i="14"/>
  <c r="AC34" i="14"/>
  <c r="AB34" i="14"/>
  <c r="AA34" i="14"/>
  <c r="Z34" i="14"/>
  <c r="Y34" i="14"/>
  <c r="X34" i="14"/>
  <c r="W34" i="14"/>
  <c r="V34" i="14"/>
  <c r="U34" i="14"/>
  <c r="T34" i="14"/>
  <c r="S34" i="14"/>
  <c r="R34" i="14"/>
  <c r="Q34" i="14"/>
  <c r="P34" i="14"/>
  <c r="O34" i="14"/>
  <c r="N34" i="14"/>
  <c r="M34" i="14"/>
  <c r="L34" i="14"/>
  <c r="K34" i="14"/>
  <c r="J34" i="14"/>
  <c r="I34" i="14"/>
  <c r="H34" i="14"/>
  <c r="G34" i="14"/>
  <c r="F34" i="14"/>
  <c r="E34" i="14"/>
  <c r="D34" i="14"/>
  <c r="C34" i="14"/>
  <c r="B34" i="14"/>
  <c r="AH33" i="14"/>
  <c r="AG33" i="14"/>
  <c r="AF33" i="14"/>
  <c r="AE33" i="14"/>
  <c r="AD33" i="14"/>
  <c r="AC33" i="14"/>
  <c r="AB33" i="14"/>
  <c r="AA33" i="14"/>
  <c r="Z33" i="14"/>
  <c r="Y33" i="14"/>
  <c r="X33" i="14"/>
  <c r="W33" i="14"/>
  <c r="V33" i="14"/>
  <c r="U33" i="14"/>
  <c r="T33" i="14"/>
  <c r="S33" i="14"/>
  <c r="R33" i="14"/>
  <c r="Q33" i="14"/>
  <c r="P33" i="14"/>
  <c r="O33" i="14"/>
  <c r="N33" i="14"/>
  <c r="M33" i="14"/>
  <c r="L33" i="14"/>
  <c r="K33" i="14"/>
  <c r="J33" i="14"/>
  <c r="I33" i="14"/>
  <c r="H33" i="14"/>
  <c r="G33" i="14"/>
  <c r="F33" i="14"/>
  <c r="E33" i="14"/>
  <c r="D33" i="14"/>
  <c r="C33" i="14"/>
  <c r="B33" i="14"/>
  <c r="AH32" i="14"/>
  <c r="AG32" i="14"/>
  <c r="AF32" i="14"/>
  <c r="AE32" i="14"/>
  <c r="AD32" i="14"/>
  <c r="AC32" i="14"/>
  <c r="AB32" i="14"/>
  <c r="AA32" i="14"/>
  <c r="Z32" i="14"/>
  <c r="Y32" i="14"/>
  <c r="X32" i="14"/>
  <c r="W32" i="14"/>
  <c r="V32" i="14"/>
  <c r="U32" i="14"/>
  <c r="T32" i="14"/>
  <c r="S32" i="14"/>
  <c r="R32" i="14"/>
  <c r="Q32" i="14"/>
  <c r="P32" i="14"/>
  <c r="O32" i="14"/>
  <c r="N32" i="14"/>
  <c r="M32" i="14"/>
  <c r="L32" i="14"/>
  <c r="K32" i="14"/>
  <c r="J32" i="14"/>
  <c r="I32" i="14"/>
  <c r="H32" i="14"/>
  <c r="G32" i="14"/>
  <c r="F32" i="14"/>
  <c r="E32" i="14"/>
  <c r="D32" i="14"/>
  <c r="C32" i="14"/>
  <c r="B32" i="14"/>
  <c r="AH31" i="14"/>
  <c r="AG31" i="14"/>
  <c r="AF31" i="14"/>
  <c r="AE31" i="14"/>
  <c r="AD31" i="14"/>
  <c r="AC31" i="14"/>
  <c r="AB31" i="14"/>
  <c r="AA31" i="14"/>
  <c r="Z31" i="14"/>
  <c r="Y31" i="14"/>
  <c r="X31" i="14"/>
  <c r="W31" i="14"/>
  <c r="V31" i="14"/>
  <c r="U31" i="14"/>
  <c r="T31" i="14"/>
  <c r="S31" i="14"/>
  <c r="R31" i="14"/>
  <c r="Q31" i="14"/>
  <c r="P31" i="14"/>
  <c r="O31" i="14"/>
  <c r="N31" i="14"/>
  <c r="M31" i="14"/>
  <c r="L31" i="14"/>
  <c r="K31" i="14"/>
  <c r="J31" i="14"/>
  <c r="I31" i="14"/>
  <c r="H31" i="14"/>
  <c r="G31" i="14"/>
  <c r="F31" i="14"/>
  <c r="E31" i="14"/>
  <c r="D31" i="14"/>
  <c r="C31" i="14"/>
  <c r="B31" i="14"/>
  <c r="AH30" i="14"/>
  <c r="AG30" i="14"/>
  <c r="AF30" i="14"/>
  <c r="AE30" i="14"/>
  <c r="AD30" i="14"/>
  <c r="AC30" i="14"/>
  <c r="AB30" i="14"/>
  <c r="AA30" i="14"/>
  <c r="Z30" i="14"/>
  <c r="Y30" i="14"/>
  <c r="X30" i="14"/>
  <c r="W30" i="14"/>
  <c r="V30" i="14"/>
  <c r="U30" i="14"/>
  <c r="T30" i="14"/>
  <c r="S30" i="14"/>
  <c r="R30" i="14"/>
  <c r="Q30" i="14"/>
  <c r="P30" i="14"/>
  <c r="O30" i="14"/>
  <c r="N30" i="14"/>
  <c r="M30" i="14"/>
  <c r="L30" i="14"/>
  <c r="K30" i="14"/>
  <c r="J30" i="14"/>
  <c r="I30" i="14"/>
  <c r="H30" i="14"/>
  <c r="G30" i="14"/>
  <c r="F30" i="14"/>
  <c r="E30" i="14"/>
  <c r="D30" i="14"/>
  <c r="C30" i="14"/>
  <c r="B30" i="14"/>
  <c r="AH29" i="14"/>
  <c r="AG29" i="14"/>
  <c r="AF29" i="14"/>
  <c r="AE29" i="14"/>
  <c r="AD29" i="14"/>
  <c r="AC29" i="14"/>
  <c r="AB29" i="14"/>
  <c r="AA29" i="14"/>
  <c r="Z29" i="14"/>
  <c r="Y29" i="14"/>
  <c r="X29" i="14"/>
  <c r="W29" i="14"/>
  <c r="V29" i="14"/>
  <c r="U29" i="14"/>
  <c r="T29" i="14"/>
  <c r="S29" i="14"/>
  <c r="R29" i="14"/>
  <c r="Q29" i="14"/>
  <c r="P29" i="14"/>
  <c r="O29" i="14"/>
  <c r="N29" i="14"/>
  <c r="M29" i="14"/>
  <c r="L29" i="14"/>
  <c r="K29" i="14"/>
  <c r="J29" i="14"/>
  <c r="I29" i="14"/>
  <c r="H29" i="14"/>
  <c r="G29" i="14"/>
  <c r="F29" i="14"/>
  <c r="E29" i="14"/>
  <c r="D29" i="14"/>
  <c r="C29" i="14"/>
  <c r="B29" i="14"/>
  <c r="AH28" i="14"/>
  <c r="AG28" i="14"/>
  <c r="AF28" i="14"/>
  <c r="AE28" i="14"/>
  <c r="AD28" i="14"/>
  <c r="AC28" i="14"/>
  <c r="AB28" i="14"/>
  <c r="AA28" i="14"/>
  <c r="Z28" i="14"/>
  <c r="Y28" i="14"/>
  <c r="X28" i="14"/>
  <c r="W28" i="14"/>
  <c r="V28" i="14"/>
  <c r="U28" i="14"/>
  <c r="T28" i="14"/>
  <c r="S28" i="14"/>
  <c r="R28" i="14"/>
  <c r="Q28" i="14"/>
  <c r="P28" i="14"/>
  <c r="O28" i="14"/>
  <c r="N28" i="14"/>
  <c r="M28" i="14"/>
  <c r="L28" i="14"/>
  <c r="K28" i="14"/>
  <c r="J28" i="14"/>
  <c r="I28" i="14"/>
  <c r="H28" i="14"/>
  <c r="G28" i="14"/>
  <c r="F28" i="14"/>
  <c r="E28" i="14"/>
  <c r="D28" i="14"/>
  <c r="C28" i="14"/>
  <c r="B28" i="14"/>
  <c r="AH27" i="14"/>
  <c r="AG27" i="14"/>
  <c r="AF27" i="14"/>
  <c r="AE27" i="14"/>
  <c r="AD27" i="14"/>
  <c r="AC27" i="14"/>
  <c r="AB27" i="14"/>
  <c r="AA27" i="14"/>
  <c r="Z27" i="14"/>
  <c r="Y27" i="14"/>
  <c r="X27" i="14"/>
  <c r="W27" i="14"/>
  <c r="V27" i="14"/>
  <c r="U27" i="14"/>
  <c r="T27" i="14"/>
  <c r="S27" i="14"/>
  <c r="R27" i="14"/>
  <c r="Q27" i="14"/>
  <c r="P27" i="14"/>
  <c r="O27" i="14"/>
  <c r="N27" i="14"/>
  <c r="M27" i="14"/>
  <c r="L27" i="14"/>
  <c r="K27" i="14"/>
  <c r="J27" i="14"/>
  <c r="I27" i="14"/>
  <c r="H27" i="14"/>
  <c r="G27" i="14"/>
  <c r="F27" i="14"/>
  <c r="E27" i="14"/>
  <c r="D27" i="14"/>
  <c r="C27" i="14"/>
  <c r="B27" i="14"/>
  <c r="AH26" i="14"/>
  <c r="AG26" i="14"/>
  <c r="AF26" i="14"/>
  <c r="AE26" i="14"/>
  <c r="AD26" i="14"/>
  <c r="AC26" i="14"/>
  <c r="AB26" i="14"/>
  <c r="AA26" i="14"/>
  <c r="Z26" i="14"/>
  <c r="Y26" i="14"/>
  <c r="X26" i="14"/>
  <c r="W26" i="14"/>
  <c r="V26" i="14"/>
  <c r="U26" i="14"/>
  <c r="T26" i="14"/>
  <c r="S26" i="14"/>
  <c r="R26" i="14"/>
  <c r="Q26" i="14"/>
  <c r="P26" i="14"/>
  <c r="O26" i="14"/>
  <c r="N26" i="14"/>
  <c r="M26" i="14"/>
  <c r="L26" i="14"/>
  <c r="K26" i="14"/>
  <c r="J26" i="14"/>
  <c r="I26" i="14"/>
  <c r="H26" i="14"/>
  <c r="G26" i="14"/>
  <c r="F26" i="14"/>
  <c r="E26" i="14"/>
  <c r="D26" i="14"/>
  <c r="C26" i="14"/>
  <c r="B26" i="14"/>
  <c r="AH25" i="14"/>
  <c r="AG25" i="14"/>
  <c r="AF25" i="14"/>
  <c r="AE25" i="14"/>
  <c r="AD25" i="14"/>
  <c r="AC25" i="14"/>
  <c r="AB25" i="14"/>
  <c r="AA25" i="14"/>
  <c r="Z25" i="14"/>
  <c r="Y25" i="14"/>
  <c r="X25" i="14"/>
  <c r="W25" i="14"/>
  <c r="V25" i="14"/>
  <c r="U25" i="14"/>
  <c r="T25" i="14"/>
  <c r="S25" i="14"/>
  <c r="R25" i="14"/>
  <c r="Q25" i="14"/>
  <c r="P25" i="14"/>
  <c r="O25" i="14"/>
  <c r="N25" i="14"/>
  <c r="M25" i="14"/>
  <c r="L25" i="14"/>
  <c r="K25" i="14"/>
  <c r="J25" i="14"/>
  <c r="I25" i="14"/>
  <c r="H25" i="14"/>
  <c r="G25" i="14"/>
  <c r="F25" i="14"/>
  <c r="E25" i="14"/>
  <c r="D25" i="14"/>
  <c r="C25" i="14"/>
  <c r="B25" i="14"/>
  <c r="AH24" i="14"/>
  <c r="AG24" i="14"/>
  <c r="AF24" i="14"/>
  <c r="AE24" i="14"/>
  <c r="AD24" i="14"/>
  <c r="AC24" i="14"/>
  <c r="AB24" i="14"/>
  <c r="AA24" i="14"/>
  <c r="Z24" i="14"/>
  <c r="Y24" i="14"/>
  <c r="X24" i="14"/>
  <c r="W24" i="14"/>
  <c r="V24" i="14"/>
  <c r="U24" i="14"/>
  <c r="T24" i="14"/>
  <c r="S24" i="14"/>
  <c r="R24" i="14"/>
  <c r="Q24" i="14"/>
  <c r="P24" i="14"/>
  <c r="O24" i="14"/>
  <c r="N24" i="14"/>
  <c r="M24" i="14"/>
  <c r="L24" i="14"/>
  <c r="K24" i="14"/>
  <c r="J24" i="14"/>
  <c r="I24" i="14"/>
  <c r="H24" i="14"/>
  <c r="G24" i="14"/>
  <c r="F24" i="14"/>
  <c r="E24" i="14"/>
  <c r="D24" i="14"/>
  <c r="C24" i="14"/>
  <c r="B24" i="14"/>
  <c r="AH23" i="14"/>
  <c r="AG23" i="14"/>
  <c r="AF23" i="14"/>
  <c r="AE23" i="14"/>
  <c r="AD23" i="14"/>
  <c r="AC23" i="14"/>
  <c r="AB23" i="14"/>
  <c r="AA23" i="14"/>
  <c r="Z23" i="14"/>
  <c r="Y23" i="14"/>
  <c r="X23" i="14"/>
  <c r="W23" i="14"/>
  <c r="V23" i="14"/>
  <c r="U23" i="14"/>
  <c r="T23" i="14"/>
  <c r="S23" i="14"/>
  <c r="R23" i="14"/>
  <c r="Q23" i="14"/>
  <c r="P23" i="14"/>
  <c r="O23" i="14"/>
  <c r="N23" i="14"/>
  <c r="M23" i="14"/>
  <c r="L23" i="14"/>
  <c r="K23" i="14"/>
  <c r="J23" i="14"/>
  <c r="I23" i="14"/>
  <c r="H23" i="14"/>
  <c r="G23" i="14"/>
  <c r="F23" i="14"/>
  <c r="E23" i="14"/>
  <c r="D23" i="14"/>
  <c r="C23" i="14"/>
  <c r="B23" i="14"/>
  <c r="AH22" i="14"/>
  <c r="AG22" i="14"/>
  <c r="AF22" i="14"/>
  <c r="AE22" i="14"/>
  <c r="AD22" i="14"/>
  <c r="AC22" i="14"/>
  <c r="AB22" i="14"/>
  <c r="AA22" i="14"/>
  <c r="Z22" i="14"/>
  <c r="Y22" i="14"/>
  <c r="X22" i="14"/>
  <c r="W22" i="14"/>
  <c r="V22" i="14"/>
  <c r="U22" i="14"/>
  <c r="T22" i="14"/>
  <c r="S22" i="14"/>
  <c r="R22" i="14"/>
  <c r="Q22" i="14"/>
  <c r="P22" i="14"/>
  <c r="O22" i="14"/>
  <c r="N22" i="14"/>
  <c r="M22" i="14"/>
  <c r="L22" i="14"/>
  <c r="K22" i="14"/>
  <c r="J22" i="14"/>
  <c r="I22" i="14"/>
  <c r="H22" i="14"/>
  <c r="G22" i="14"/>
  <c r="F22" i="14"/>
  <c r="E22" i="14"/>
  <c r="D22" i="14"/>
  <c r="C22" i="14"/>
  <c r="B22" i="14"/>
  <c r="AH21" i="14"/>
  <c r="AG21" i="14"/>
  <c r="AF21" i="14"/>
  <c r="AE21" i="14"/>
  <c r="AD21" i="14"/>
  <c r="AC21" i="14"/>
  <c r="AB21" i="14"/>
  <c r="AA21" i="14"/>
  <c r="Z21" i="14"/>
  <c r="Y21" i="14"/>
  <c r="X21" i="14"/>
  <c r="W21" i="14"/>
  <c r="V21" i="14"/>
  <c r="U21" i="14"/>
  <c r="T21" i="14"/>
  <c r="S21" i="14"/>
  <c r="R21" i="14"/>
  <c r="Q21" i="14"/>
  <c r="P21" i="14"/>
  <c r="O21" i="14"/>
  <c r="N21" i="14"/>
  <c r="M21" i="14"/>
  <c r="L21" i="14"/>
  <c r="K21" i="14"/>
  <c r="J21" i="14"/>
  <c r="I21" i="14"/>
  <c r="H21" i="14"/>
  <c r="G21" i="14"/>
  <c r="F21" i="14"/>
  <c r="E21" i="14"/>
  <c r="D21" i="14"/>
  <c r="C21" i="14"/>
  <c r="B21" i="14"/>
  <c r="AH20" i="14"/>
  <c r="AG20" i="14"/>
  <c r="AF20" i="14"/>
  <c r="AE20" i="14"/>
  <c r="AD20" i="14"/>
  <c r="AC20" i="14"/>
  <c r="AB20" i="14"/>
  <c r="AA20" i="14"/>
  <c r="Z20" i="14"/>
  <c r="Y20" i="14"/>
  <c r="X20" i="14"/>
  <c r="W20" i="14"/>
  <c r="V20" i="14"/>
  <c r="U20" i="14"/>
  <c r="T20" i="14"/>
  <c r="S20" i="14"/>
  <c r="R20" i="14"/>
  <c r="Q20" i="14"/>
  <c r="P20" i="14"/>
  <c r="O20" i="14"/>
  <c r="N20" i="14"/>
  <c r="M20" i="14"/>
  <c r="L20" i="14"/>
  <c r="K20" i="14"/>
  <c r="J20" i="14"/>
  <c r="I20" i="14"/>
  <c r="H20" i="14"/>
  <c r="G20" i="14"/>
  <c r="F20" i="14"/>
  <c r="E20" i="14"/>
  <c r="D20" i="14"/>
  <c r="C20" i="14"/>
  <c r="B20" i="14"/>
  <c r="AH19" i="14"/>
  <c r="AG19" i="14"/>
  <c r="AF19" i="14"/>
  <c r="AE19" i="14"/>
  <c r="AD19" i="14"/>
  <c r="AC19" i="14"/>
  <c r="AB19" i="14"/>
  <c r="AA19" i="14"/>
  <c r="Z19" i="14"/>
  <c r="Y19" i="14"/>
  <c r="X19" i="14"/>
  <c r="W19" i="14"/>
  <c r="V19" i="14"/>
  <c r="U19" i="14"/>
  <c r="T19" i="14"/>
  <c r="S19" i="14"/>
  <c r="R19" i="14"/>
  <c r="Q19" i="14"/>
  <c r="P19" i="14"/>
  <c r="O19" i="14"/>
  <c r="N19" i="14"/>
  <c r="M19" i="14"/>
  <c r="L19" i="14"/>
  <c r="K19" i="14"/>
  <c r="J19" i="14"/>
  <c r="I19" i="14"/>
  <c r="H19" i="14"/>
  <c r="G19" i="14"/>
  <c r="F19" i="14"/>
  <c r="E19" i="14"/>
  <c r="D19" i="14"/>
  <c r="C19" i="14"/>
  <c r="B19" i="14"/>
  <c r="AH18" i="14"/>
  <c r="AG18" i="14"/>
  <c r="AF18" i="14"/>
  <c r="AE18" i="14"/>
  <c r="AD18" i="14"/>
  <c r="AC18" i="14"/>
  <c r="AB18" i="14"/>
  <c r="AA18" i="14"/>
  <c r="Z18" i="14"/>
  <c r="Y18" i="14"/>
  <c r="X18" i="14"/>
  <c r="W18" i="14"/>
  <c r="V18" i="14"/>
  <c r="U18" i="14"/>
  <c r="T18" i="14"/>
  <c r="S18" i="14"/>
  <c r="R18" i="14"/>
  <c r="Q18" i="14"/>
  <c r="P18" i="14"/>
  <c r="O18" i="14"/>
  <c r="N18" i="14"/>
  <c r="M18" i="14"/>
  <c r="L18" i="14"/>
  <c r="K18" i="14"/>
  <c r="J18" i="14"/>
  <c r="I18" i="14"/>
  <c r="H18" i="14"/>
  <c r="G18" i="14"/>
  <c r="F18" i="14"/>
  <c r="E18" i="14"/>
  <c r="D18" i="14"/>
  <c r="C18" i="14"/>
  <c r="B18" i="14"/>
  <c r="AH17" i="14"/>
  <c r="AG17" i="14"/>
  <c r="AF17" i="14"/>
  <c r="AE17" i="14"/>
  <c r="AD17" i="14"/>
  <c r="AC17" i="14"/>
  <c r="AB17" i="14"/>
  <c r="AA17" i="14"/>
  <c r="Z17" i="14"/>
  <c r="Y17" i="14"/>
  <c r="X17" i="14"/>
  <c r="W17" i="14"/>
  <c r="V17" i="14"/>
  <c r="U17" i="14"/>
  <c r="T17" i="14"/>
  <c r="S17" i="14"/>
  <c r="R17" i="14"/>
  <c r="Q17" i="14"/>
  <c r="P17" i="14"/>
  <c r="O17" i="14"/>
  <c r="N17" i="14"/>
  <c r="M17" i="14"/>
  <c r="L17" i="14"/>
  <c r="K17" i="14"/>
  <c r="J17" i="14"/>
  <c r="I17" i="14"/>
  <c r="H17" i="14"/>
  <c r="G17" i="14"/>
  <c r="F17" i="14"/>
  <c r="E17" i="14"/>
  <c r="D17" i="14"/>
  <c r="C17" i="14"/>
  <c r="B17" i="14"/>
  <c r="AH16" i="14"/>
  <c r="AG16" i="14"/>
  <c r="AF16" i="14"/>
  <c r="AE16" i="14"/>
  <c r="AD16" i="14"/>
  <c r="AC16" i="14"/>
  <c r="AB16" i="14"/>
  <c r="AA16" i="14"/>
  <c r="Z16" i="14"/>
  <c r="Y16" i="14"/>
  <c r="X16" i="14"/>
  <c r="W16" i="14"/>
  <c r="V16" i="14"/>
  <c r="U16" i="14"/>
  <c r="T16" i="14"/>
  <c r="S16" i="14"/>
  <c r="R16" i="14"/>
  <c r="Q16" i="14"/>
  <c r="P16" i="14"/>
  <c r="O16" i="14"/>
  <c r="N16" i="14"/>
  <c r="M16" i="14"/>
  <c r="L16" i="14"/>
  <c r="K16" i="14"/>
  <c r="J16" i="14"/>
  <c r="I16" i="14"/>
  <c r="H16" i="14"/>
  <c r="G16" i="14"/>
  <c r="F16" i="14"/>
  <c r="E16" i="14"/>
  <c r="D16" i="14"/>
  <c r="C16" i="14"/>
  <c r="B16" i="14"/>
  <c r="AH15" i="14"/>
  <c r="AG15" i="14"/>
  <c r="AF15" i="14"/>
  <c r="AE15" i="14"/>
  <c r="AD15" i="14"/>
  <c r="AC15" i="14"/>
  <c r="AB15" i="14"/>
  <c r="AA15" i="14"/>
  <c r="Z15" i="14"/>
  <c r="Y15" i="14"/>
  <c r="X15" i="14"/>
  <c r="W15" i="14"/>
  <c r="V15" i="14"/>
  <c r="U15" i="14"/>
  <c r="T15" i="14"/>
  <c r="S15" i="14"/>
  <c r="R15" i="14"/>
  <c r="Q15" i="14"/>
  <c r="P15" i="14"/>
  <c r="O15" i="14"/>
  <c r="N15" i="14"/>
  <c r="M15" i="14"/>
  <c r="L15" i="14"/>
  <c r="K15" i="14"/>
  <c r="J15" i="14"/>
  <c r="I15" i="14"/>
  <c r="H15" i="14"/>
  <c r="G15" i="14"/>
  <c r="F15" i="14"/>
  <c r="E15" i="14"/>
  <c r="D15" i="14"/>
  <c r="C15" i="14"/>
  <c r="B15" i="14"/>
  <c r="AH14" i="14"/>
  <c r="AG14" i="14"/>
  <c r="AF14" i="14"/>
  <c r="AE14" i="14"/>
  <c r="AD14" i="14"/>
  <c r="AC14" i="14"/>
  <c r="AB14" i="14"/>
  <c r="AA14" i="14"/>
  <c r="Z14" i="14"/>
  <c r="Y14" i="14"/>
  <c r="X14" i="14"/>
  <c r="W14" i="14"/>
  <c r="V14" i="14"/>
  <c r="U14" i="14"/>
  <c r="T14" i="14"/>
  <c r="S14" i="14"/>
  <c r="R14" i="14"/>
  <c r="Q14" i="14"/>
  <c r="P14" i="14"/>
  <c r="O14" i="14"/>
  <c r="N14" i="14"/>
  <c r="M14" i="14"/>
  <c r="L14" i="14"/>
  <c r="K14" i="14"/>
  <c r="J14" i="14"/>
  <c r="I14" i="14"/>
  <c r="H14" i="14"/>
  <c r="G14" i="14"/>
  <c r="F14" i="14"/>
  <c r="E14" i="14"/>
  <c r="D14" i="14"/>
  <c r="C14" i="14"/>
  <c r="B14" i="14"/>
  <c r="AH13" i="14"/>
  <c r="AG13" i="14"/>
  <c r="AF13" i="14"/>
  <c r="AE13" i="14"/>
  <c r="AD13" i="14"/>
  <c r="AC13" i="14"/>
  <c r="AB13" i="14"/>
  <c r="AA13" i="14"/>
  <c r="Z13" i="14"/>
  <c r="Y13" i="14"/>
  <c r="X13" i="14"/>
  <c r="W13" i="14"/>
  <c r="V13" i="14"/>
  <c r="U13" i="14"/>
  <c r="T13" i="14"/>
  <c r="S13" i="14"/>
  <c r="R13" i="14"/>
  <c r="Q13" i="14"/>
  <c r="P13" i="14"/>
  <c r="O13" i="14"/>
  <c r="N13" i="14"/>
  <c r="M13" i="14"/>
  <c r="L13" i="14"/>
  <c r="K13" i="14"/>
  <c r="J13" i="14"/>
  <c r="I13" i="14"/>
  <c r="H13" i="14"/>
  <c r="G13" i="14"/>
  <c r="F13" i="14"/>
  <c r="E13" i="14"/>
  <c r="D13" i="14"/>
  <c r="C13" i="14"/>
  <c r="B13" i="14"/>
  <c r="AH12" i="14"/>
  <c r="AG12" i="14"/>
  <c r="AF12" i="14"/>
  <c r="AE12" i="14"/>
  <c r="AD12" i="14"/>
  <c r="AC12" i="14"/>
  <c r="AB12" i="14"/>
  <c r="AA12" i="14"/>
  <c r="Z12" i="14"/>
  <c r="Y12" i="14"/>
  <c r="X12" i="14"/>
  <c r="W12" i="14"/>
  <c r="V12" i="14"/>
  <c r="U12" i="14"/>
  <c r="T12" i="14"/>
  <c r="S12" i="14"/>
  <c r="R12" i="14"/>
  <c r="Q12" i="14"/>
  <c r="P12" i="14"/>
  <c r="O12" i="14"/>
  <c r="N12" i="14"/>
  <c r="M12" i="14"/>
  <c r="L12" i="14"/>
  <c r="K12" i="14"/>
  <c r="J12" i="14"/>
  <c r="I12" i="14"/>
  <c r="H12" i="14"/>
  <c r="G12" i="14"/>
  <c r="F12" i="14"/>
  <c r="E12" i="14"/>
  <c r="D12" i="14"/>
  <c r="C12" i="14"/>
  <c r="B12" i="14"/>
  <c r="AH11" i="14"/>
  <c r="AG11" i="14"/>
  <c r="AF11" i="14"/>
  <c r="AE11" i="14"/>
  <c r="AD11" i="14"/>
  <c r="AC11" i="14"/>
  <c r="AB11" i="14"/>
  <c r="AA11" i="14"/>
  <c r="Z11" i="14"/>
  <c r="Y11" i="14"/>
  <c r="X11" i="14"/>
  <c r="W11" i="14"/>
  <c r="V11" i="14"/>
  <c r="U11" i="14"/>
  <c r="T11" i="14"/>
  <c r="S11" i="14"/>
  <c r="R11" i="14"/>
  <c r="Q11" i="14"/>
  <c r="P11" i="14"/>
  <c r="O11" i="14"/>
  <c r="N11" i="14"/>
  <c r="M11" i="14"/>
  <c r="L11" i="14"/>
  <c r="K11" i="14"/>
  <c r="J11" i="14"/>
  <c r="I11" i="14"/>
  <c r="H11" i="14"/>
  <c r="G11" i="14"/>
  <c r="F11" i="14"/>
  <c r="E11" i="14"/>
  <c r="D11" i="14"/>
  <c r="C11" i="14"/>
  <c r="B11" i="14"/>
  <c r="AH10" i="14"/>
  <c r="AG10" i="14"/>
  <c r="AF10" i="14"/>
  <c r="AE10" i="14"/>
  <c r="AD10" i="14"/>
  <c r="AC10" i="14"/>
  <c r="AB10" i="14"/>
  <c r="AA10" i="14"/>
  <c r="Z10" i="14"/>
  <c r="Y10" i="14"/>
  <c r="X10" i="14"/>
  <c r="W10" i="14"/>
  <c r="V10" i="14"/>
  <c r="U10" i="14"/>
  <c r="T10" i="14"/>
  <c r="S10" i="14"/>
  <c r="R10" i="14"/>
  <c r="Q10" i="14"/>
  <c r="P10" i="14"/>
  <c r="O10" i="14"/>
  <c r="N10" i="14"/>
  <c r="M10" i="14"/>
  <c r="L10" i="14"/>
  <c r="K10" i="14"/>
  <c r="J10" i="14"/>
  <c r="I10" i="14"/>
  <c r="H10" i="14"/>
  <c r="G10" i="14"/>
  <c r="F10" i="14"/>
  <c r="E10" i="14"/>
  <c r="D10" i="14"/>
  <c r="C10" i="14"/>
  <c r="B10" i="14"/>
  <c r="AH9" i="14"/>
  <c r="AG9" i="14"/>
  <c r="AF9" i="14"/>
  <c r="AE9" i="14"/>
  <c r="AD9" i="14"/>
  <c r="AC9" i="14"/>
  <c r="AB9" i="14"/>
  <c r="AA9" i="14"/>
  <c r="Z9" i="14"/>
  <c r="Y9" i="14"/>
  <c r="X9" i="14"/>
  <c r="W9" i="14"/>
  <c r="V9" i="14"/>
  <c r="U9" i="14"/>
  <c r="T9" i="14"/>
  <c r="S9" i="14"/>
  <c r="R9" i="14"/>
  <c r="Q9" i="14"/>
  <c r="P9" i="14"/>
  <c r="O9" i="14"/>
  <c r="N9" i="14"/>
  <c r="M9" i="14"/>
  <c r="L9" i="14"/>
  <c r="K9" i="14"/>
  <c r="J9" i="14"/>
  <c r="I9" i="14"/>
  <c r="H9" i="14"/>
  <c r="G9" i="14"/>
  <c r="F9" i="14"/>
  <c r="E9" i="14"/>
  <c r="D9" i="14"/>
  <c r="C9" i="14"/>
  <c r="B9" i="14"/>
  <c r="AH8" i="14"/>
  <c r="AG8" i="14"/>
  <c r="AF8" i="14"/>
  <c r="AE8" i="14"/>
  <c r="AD8" i="14"/>
  <c r="AC8" i="14"/>
  <c r="AB8" i="14"/>
  <c r="AA8" i="14"/>
  <c r="Z8" i="14"/>
  <c r="Y8" i="14"/>
  <c r="X8" i="14"/>
  <c r="W8" i="14"/>
  <c r="V8" i="14"/>
  <c r="U8" i="14"/>
  <c r="T8" i="14"/>
  <c r="S8" i="14"/>
  <c r="R8" i="14"/>
  <c r="Q8" i="14"/>
  <c r="P8" i="14"/>
  <c r="O8" i="14"/>
  <c r="N8" i="14"/>
  <c r="M8" i="14"/>
  <c r="L8" i="14"/>
  <c r="K8" i="14"/>
  <c r="J8" i="14"/>
  <c r="I8" i="14"/>
  <c r="H8" i="14"/>
  <c r="G8" i="14"/>
  <c r="F8" i="14"/>
  <c r="E8" i="14"/>
  <c r="D8" i="14"/>
  <c r="C8" i="14"/>
  <c r="B8" i="14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<sst xmlns="http://schemas.openxmlformats.org/spreadsheetml/2006/main" count="96" uniqueCount="52">
  <si>
    <t>Price</t>
    <phoneticPr fontId="1"/>
  </si>
  <si>
    <t>Gann's Square of 9</t>
    <phoneticPr fontId="1"/>
  </si>
  <si>
    <t>Cell Size Height(Row): 36</t>
    <phoneticPr fontId="1"/>
  </si>
  <si>
    <t>CF</t>
    <phoneticPr fontId="1"/>
  </si>
  <si>
    <t>Width(Column): 5.38</t>
    <phoneticPr fontId="1"/>
  </si>
  <si>
    <t>Step</t>
    <phoneticPr fontId="1"/>
  </si>
  <si>
    <t>NORTH</t>
    <phoneticPr fontId="1"/>
  </si>
  <si>
    <t>05/05</t>
    <phoneticPr fontId="1"/>
  </si>
  <si>
    <t>05/27</t>
    <phoneticPr fontId="1"/>
  </si>
  <si>
    <t>06/21</t>
    <phoneticPr fontId="1"/>
  </si>
  <si>
    <t>07/14</t>
    <phoneticPr fontId="1"/>
  </si>
  <si>
    <t>08/05</t>
    <phoneticPr fontId="1"/>
  </si>
  <si>
    <t>09:00 AM</t>
    <phoneticPr fontId="1"/>
  </si>
  <si>
    <t>01:30 PM</t>
    <phoneticPr fontId="1"/>
  </si>
  <si>
    <t>03:00 PM</t>
    <phoneticPr fontId="1"/>
  </si>
  <si>
    <t>45.0 deg</t>
    <phoneticPr fontId="1"/>
  </si>
  <si>
    <t>67.5 deg</t>
    <phoneticPr fontId="1"/>
  </si>
  <si>
    <t>90.0 deg</t>
    <phoneticPr fontId="1"/>
  </si>
  <si>
    <t>112.5 deg</t>
    <phoneticPr fontId="1"/>
  </si>
  <si>
    <t>135.0 deg</t>
    <phoneticPr fontId="1"/>
  </si>
  <si>
    <t>04/12 07:30 AM 22.5 deg</t>
    <phoneticPr fontId="1"/>
  </si>
  <si>
    <t>08/31 04:30 PM 157.5 deg</t>
    <phoneticPr fontId="1"/>
  </si>
  <si>
    <t>EAST</t>
    <phoneticPr fontId="1"/>
  </si>
  <si>
    <t>WEST</t>
    <phoneticPr fontId="1"/>
  </si>
  <si>
    <t>03/21 06:00 AM 0 deg  360 deg</t>
    <phoneticPr fontId="1"/>
  </si>
  <si>
    <t>09/22 06:00 PM 180.0 deg</t>
    <phoneticPr fontId="1"/>
  </si>
  <si>
    <t>02/28 04:30 AM 337.5 deg</t>
    <phoneticPr fontId="1"/>
  </si>
  <si>
    <t>10/15 07:30 PM 202.5 deg</t>
    <phoneticPr fontId="1"/>
  </si>
  <si>
    <t>02/04</t>
    <phoneticPr fontId="1"/>
  </si>
  <si>
    <t>01/13</t>
    <phoneticPr fontId="1"/>
  </si>
  <si>
    <t>12/21</t>
    <phoneticPr fontId="1"/>
  </si>
  <si>
    <t>11/30</t>
    <phoneticPr fontId="1"/>
  </si>
  <si>
    <t>11/08</t>
    <phoneticPr fontId="1"/>
  </si>
  <si>
    <t>09:00 PM</t>
    <phoneticPr fontId="1"/>
  </si>
  <si>
    <t>315.0 deg</t>
    <phoneticPr fontId="1"/>
  </si>
  <si>
    <t>292.5 deg</t>
    <phoneticPr fontId="1"/>
  </si>
  <si>
    <t>270.0 deg</t>
    <phoneticPr fontId="1"/>
  </si>
  <si>
    <t>247.5 deg</t>
    <phoneticPr fontId="1"/>
  </si>
  <si>
    <t>225.0 deg</t>
    <phoneticPr fontId="1"/>
  </si>
  <si>
    <t>SOUTH</t>
    <phoneticPr fontId="1"/>
  </si>
  <si>
    <t>Aries</t>
  </si>
  <si>
    <t>Taurus</t>
  </si>
  <si>
    <t>Gemini</t>
  </si>
  <si>
    <t>Cancer</t>
  </si>
  <si>
    <t>Virgo</t>
  </si>
  <si>
    <t>Libra</t>
  </si>
  <si>
    <t>Leo</t>
  </si>
  <si>
    <t>Scorpio</t>
  </si>
  <si>
    <t>Sagittarius</t>
  </si>
  <si>
    <t>Capricorn</t>
  </si>
  <si>
    <t>Aquarius</t>
  </si>
  <si>
    <t>Pisces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</si>
</sst>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7" formatCode="0_);[Red]\(0\)"/>
    <numFmt numFmtId="168" formatCode="mm/dd"/>
    <numFmt numFmtId="169" formatCode="m/d/yy;@"/>
  </numFmts>
  <fonts count="6">
    <font>
      <sz val="10"/>
      <name val="Arial"/>
    </font>
    <font>
      <sz val="10"/>
      <name val="Arial"/>
      <family val="2"/>
    </font>
    <font>
      <b/>
      <sz val="11"/>
      <name val="Century"/>
      <family val="1"/>
    </font>
    <font>
      <sz val="11"/>
      <name val="Century"/>
      <family val="1"/>
    </font>
    <font>
      <b/>
      <sz val="11"/>
      <name val="ＭＳ Ｐゴシック"/>
      <family val="3"/>
      <charset val="128"/>
    </font>
    <font>
      <sz val="14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Up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 diagonalUp="1">
      <left/>
      <right/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 diagonalUp="1">
      <left/>
      <right/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</borders>
  <cellStyleXfs count="1">
    <xf numFmtId="0" fontId="0" fillId="0" borderId="0"/>
  </cellStyleXfs>
  <cellXfs count="82">
    <xf numFmtId="0" fontId="0" fillId="0" borderId="0" xfId="0"/>
    <xf numFmtId="0" fontId="1" fillId="0" borderId="0" xfId="0" applyFont="1"/>
    <xf numFmtId="167" fontId="2" fillId="0" borderId="0" xfId="0" applyNumberFormat="1" applyFont="1"/>
    <xf numFmtId="167" fontId="2" fillId="0" borderId="0" xfId="0" applyNumberFormat="1" applyFont="1" applyAlignment="1" applyProtection="1">
      <alignment horizontal="center"/>
      <protection locked="0"/>
    </xf>
    <xf numFmtId="167" fontId="3" fillId="0" borderId="0" xfId="0" applyNumberFormat="1" applyFont="1"/>
    <xf numFmtId="167" fontId="3" fillId="0" borderId="0" xfId="0" applyNumberFormat="1" applyFont="1" applyAlignment="1">
      <alignment horizontal="center"/>
    </xf>
    <xf numFmtId="0" fontId="2" fillId="0" borderId="0" xfId="0" applyFont="1" applyAlignment="1" applyProtection="1">
      <alignment horizontal="center"/>
      <protection locked="0"/>
    </xf>
    <xf numFmtId="167" fontId="2" fillId="0" borderId="0" xfId="0" applyNumberFormat="1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" fillId="0" borderId="0" xfId="0" quotePrefix="1" applyFont="1" applyAlignment="1">
      <alignment horizontal="center"/>
    </xf>
    <xf numFmtId="0" fontId="0" fillId="0" borderId="0" xfId="0" applyAlignment="1">
      <alignment horizontal="center" vertical="top"/>
    </xf>
    <xf numFmtId="18" fontId="2" fillId="0" borderId="0" xfId="0" quotePrefix="1" applyNumberFormat="1" applyFont="1" applyAlignment="1">
      <alignment horizontal="center"/>
    </xf>
    <xf numFmtId="0" fontId="2" fillId="0" borderId="0" xfId="0" applyFont="1" applyAlignment="1">
      <alignment horizontal="center"/>
    </xf>
    <xf numFmtId="168" fontId="2" fillId="0" borderId="2" xfId="0" quotePrefix="1" applyNumberFormat="1" applyFont="1" applyBorder="1" applyAlignment="1">
      <alignment horizontal="center" vertical="top"/>
    </xf>
    <xf numFmtId="167" fontId="3" fillId="0" borderId="3" xfId="0" applyNumberFormat="1" applyFont="1" applyBorder="1" applyAlignment="1">
      <alignment horizontal="center" vertical="center"/>
    </xf>
    <xf numFmtId="167" fontId="3" fillId="0" borderId="4" xfId="0" applyNumberFormat="1" applyFont="1" applyBorder="1" applyAlignment="1">
      <alignment horizontal="center" vertical="center"/>
    </xf>
    <xf numFmtId="167" fontId="3" fillId="0" borderId="5" xfId="0" applyNumberFormat="1" applyFont="1" applyBorder="1" applyAlignment="1">
      <alignment horizontal="center" vertical="center"/>
    </xf>
    <xf numFmtId="167" fontId="3" fillId="0" borderId="6" xfId="0" applyNumberFormat="1" applyFont="1" applyBorder="1" applyAlignment="1">
      <alignment horizontal="center" vertical="center"/>
    </xf>
    <xf numFmtId="167" fontId="3" fillId="0" borderId="7" xfId="0" applyNumberFormat="1" applyFont="1" applyBorder="1" applyAlignment="1">
      <alignment horizontal="center" vertical="top"/>
    </xf>
    <xf numFmtId="0" fontId="0" fillId="0" borderId="2" xfId="0" applyBorder="1" applyAlignment="1">
      <alignment horizontal="center" vertical="top"/>
    </xf>
    <xf numFmtId="167" fontId="3" fillId="0" borderId="8" xfId="0" applyNumberFormat="1" applyFont="1" applyBorder="1" applyAlignment="1">
      <alignment horizontal="center" vertical="center"/>
    </xf>
    <xf numFmtId="167" fontId="3" fillId="0" borderId="2" xfId="0" applyNumberFormat="1" applyFont="1" applyBorder="1" applyAlignment="1">
      <alignment horizontal="center" vertical="center"/>
    </xf>
    <xf numFmtId="167" fontId="3" fillId="0" borderId="7" xfId="0" applyNumberFormat="1" applyFont="1" applyBorder="1" applyAlignment="1">
      <alignment horizontal="center" vertical="center"/>
    </xf>
    <xf numFmtId="167" fontId="3" fillId="0" borderId="9" xfId="0" applyNumberFormat="1" applyFont="1" applyBorder="1" applyAlignment="1">
      <alignment horizontal="center" vertical="center"/>
    </xf>
    <xf numFmtId="167" fontId="3" fillId="0" borderId="10" xfId="0" applyNumberFormat="1" applyFont="1" applyBorder="1" applyAlignment="1">
      <alignment horizontal="center" vertical="center"/>
    </xf>
    <xf numFmtId="167" fontId="2" fillId="0" borderId="0" xfId="0" applyNumberFormat="1" applyFont="1" applyAlignment="1">
      <alignment horizontal="center"/>
    </xf>
    <xf numFmtId="167" fontId="3" fillId="0" borderId="11" xfId="0" applyNumberFormat="1" applyFont="1" applyBorder="1" applyAlignment="1">
      <alignment horizontal="center" vertical="center"/>
    </xf>
    <xf numFmtId="167" fontId="3" fillId="0" borderId="12" xfId="0" applyNumberFormat="1" applyFont="1" applyBorder="1" applyAlignment="1">
      <alignment horizontal="center" vertical="center"/>
    </xf>
    <xf numFmtId="167" fontId="3" fillId="0" borderId="13" xfId="0" applyNumberFormat="1" applyFont="1" applyBorder="1" applyAlignment="1">
      <alignment horizontal="center" vertical="center"/>
    </xf>
    <xf numFmtId="167" fontId="3" fillId="0" borderId="14" xfId="0" applyNumberFormat="1" applyFont="1" applyBorder="1" applyAlignment="1">
      <alignment horizontal="center" vertical="center"/>
    </xf>
    <xf numFmtId="167" fontId="3" fillId="0" borderId="15" xfId="0" applyNumberFormat="1" applyFont="1" applyBorder="1" applyAlignment="1">
      <alignment horizontal="center" vertical="center"/>
    </xf>
    <xf numFmtId="167" fontId="3" fillId="0" borderId="16" xfId="0" applyNumberFormat="1" applyFont="1" applyBorder="1" applyAlignment="1">
      <alignment horizontal="center" vertical="center"/>
    </xf>
    <xf numFmtId="167" fontId="3" fillId="0" borderId="17" xfId="0" applyNumberFormat="1" applyFont="1" applyBorder="1" applyAlignment="1">
      <alignment horizontal="center" vertical="center"/>
    </xf>
    <xf numFmtId="167" fontId="3" fillId="0" borderId="18" xfId="0" applyNumberFormat="1" applyFont="1" applyBorder="1" applyAlignment="1">
      <alignment horizontal="center" vertical="center"/>
    </xf>
    <xf numFmtId="167" fontId="3" fillId="0" borderId="1" xfId="0" applyNumberFormat="1" applyFont="1" applyBorder="1" applyAlignment="1">
      <alignment horizontal="center" vertical="center"/>
    </xf>
    <xf numFmtId="167" fontId="3" fillId="0" borderId="2" xfId="0" applyNumberFormat="1" applyFont="1" applyBorder="1"/>
    <xf numFmtId="167" fontId="3" fillId="0" borderId="19" xfId="0" applyNumberFormat="1" applyFont="1" applyBorder="1" applyAlignment="1">
      <alignment horizontal="center" vertical="center"/>
    </xf>
    <xf numFmtId="49" fontId="2" fillId="0" borderId="0" xfId="0" applyNumberFormat="1" applyFont="1" applyAlignment="1">
      <alignment horizontal="center" vertical="top"/>
    </xf>
    <xf numFmtId="0" fontId="4" fillId="0" borderId="0" xfId="0" applyFont="1" applyAlignment="1">
      <alignment horizontal="center" vertical="center"/>
    </xf>
    <xf numFmtId="14" fontId="2" fillId="0" borderId="0" xfId="0" applyNumberFormat="1" applyFont="1" applyAlignment="1" applyProtection="1">
      <alignment horizontal="center"/>
      <protection locked="0"/>
    </xf>
    <xf numFmtId="169" fontId="3" fillId="0" borderId="3" xfId="0" applyNumberFormat="1" applyFont="1" applyBorder="1" applyAlignment="1">
      <alignment horizontal="center" vertical="center"/>
    </xf>
    <xf numFmtId="169" fontId="3" fillId="0" borderId="4" xfId="0" applyNumberFormat="1" applyFont="1" applyBorder="1" applyAlignment="1">
      <alignment horizontal="center" vertical="center"/>
    </xf>
    <xf numFmtId="169" fontId="3" fillId="0" borderId="5" xfId="0" applyNumberFormat="1" applyFont="1" applyBorder="1" applyAlignment="1">
      <alignment horizontal="center" vertical="center"/>
    </xf>
    <xf numFmtId="169" fontId="3" fillId="0" borderId="6" xfId="0" applyNumberFormat="1" applyFont="1" applyBorder="1" applyAlignment="1">
      <alignment horizontal="center" vertical="center"/>
    </xf>
    <xf numFmtId="169" fontId="3" fillId="0" borderId="8" xfId="0" applyNumberFormat="1" applyFont="1" applyBorder="1" applyAlignment="1">
      <alignment horizontal="center" vertical="center"/>
    </xf>
    <xf numFmtId="169" fontId="3" fillId="0" borderId="2" xfId="0" applyNumberFormat="1" applyFont="1" applyBorder="1" applyAlignment="1">
      <alignment horizontal="center" vertical="center"/>
    </xf>
    <xf numFmtId="169" fontId="3" fillId="0" borderId="7" xfId="0" applyNumberFormat="1" applyFont="1" applyBorder="1" applyAlignment="1">
      <alignment horizontal="center" vertical="center"/>
    </xf>
    <xf numFmtId="169" fontId="3" fillId="0" borderId="9" xfId="0" applyNumberFormat="1" applyFont="1" applyBorder="1" applyAlignment="1">
      <alignment horizontal="center" vertical="center"/>
    </xf>
    <xf numFmtId="169" fontId="3" fillId="0" borderId="10" xfId="0" applyNumberFormat="1" applyFont="1" applyBorder="1" applyAlignment="1">
      <alignment horizontal="center" vertical="center"/>
    </xf>
    <xf numFmtId="169" fontId="3" fillId="0" borderId="11" xfId="0" applyNumberFormat="1" applyFont="1" applyBorder="1" applyAlignment="1">
      <alignment horizontal="center" vertical="center"/>
    </xf>
    <xf numFmtId="169" fontId="3" fillId="0" borderId="12" xfId="0" applyNumberFormat="1" applyFont="1" applyBorder="1" applyAlignment="1">
      <alignment horizontal="center" vertical="center"/>
    </xf>
    <xf numFmtId="169" fontId="3" fillId="0" borderId="13" xfId="0" applyNumberFormat="1" applyFont="1" applyBorder="1" applyAlignment="1">
      <alignment horizontal="center" vertical="center"/>
    </xf>
    <xf numFmtId="169" fontId="3" fillId="0" borderId="14" xfId="0" applyNumberFormat="1" applyFont="1" applyBorder="1" applyAlignment="1">
      <alignment horizontal="center" vertical="center"/>
    </xf>
    <xf numFmtId="169" fontId="3" fillId="0" borderId="15" xfId="0" applyNumberFormat="1" applyFont="1" applyBorder="1" applyAlignment="1">
      <alignment horizontal="center" vertical="center"/>
    </xf>
    <xf numFmtId="169" fontId="3" fillId="0" borderId="16" xfId="0" applyNumberFormat="1" applyFont="1" applyBorder="1" applyAlignment="1">
      <alignment horizontal="center" vertical="center"/>
    </xf>
    <xf numFmtId="169" fontId="3" fillId="0" borderId="17" xfId="0" applyNumberFormat="1" applyFont="1" applyBorder="1" applyAlignment="1">
      <alignment horizontal="center" vertical="center"/>
    </xf>
    <xf numFmtId="169" fontId="3" fillId="0" borderId="18" xfId="0" applyNumberFormat="1" applyFont="1" applyBorder="1" applyAlignment="1">
      <alignment horizontal="center" vertical="center"/>
    </xf>
    <xf numFmtId="169" fontId="3" fillId="0" borderId="1" xfId="0" applyNumberFormat="1" applyFont="1" applyBorder="1" applyAlignment="1">
      <alignment horizontal="center" vertical="center"/>
    </xf>
    <xf numFmtId="169" fontId="3" fillId="0" borderId="19" xfId="0" applyNumberFormat="1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0" fillId="3" borderId="0" xfId="0" applyFill="1"/>
    <xf numFmtId="0" fontId="0" fillId="2" borderId="0" xfId="0" applyFill="1"/>
    <xf numFmtId="49" fontId="2" fillId="0" borderId="0" xfId="0" applyNumberFormat="1" applyFont="1" applyAlignment="1">
      <alignment horizontal="center" vertical="top" wrapText="1"/>
    </xf>
    <xf numFmtId="0" fontId="0" fillId="0" borderId="0" xfId="0" applyAlignment="1">
      <alignment horizontal="center" vertical="top" wrapText="1"/>
    </xf>
    <xf numFmtId="167" fontId="2" fillId="0" borderId="0" xfId="0" applyNumberFormat="1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167" fontId="2" fillId="0" borderId="0" xfId="0" applyNumberFormat="1" applyFont="1" applyAlignment="1">
      <alignment horizontal="center" vertical="top" wrapText="1"/>
    </xf>
    <xf numFmtId="18" fontId="2" fillId="0" borderId="0" xfId="0" applyNumberFormat="1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18" fontId="2" fillId="0" borderId="0" xfId="0" quotePrefix="1" applyNumberFormat="1" applyFont="1" applyAlignment="1">
      <alignment horizontal="center" vertical="center" wrapText="1"/>
    </xf>
    <xf numFmtId="18" fontId="2" fillId="0" borderId="0" xfId="0" quotePrefix="1" applyNumberFormat="1" applyFont="1" applyAlignment="1">
      <alignment horizontal="center" vertical="top" wrapText="1"/>
    </xf>
    <xf numFmtId="167" fontId="2" fillId="0" borderId="1" xfId="0" applyNumberFormat="1" applyFont="1" applyBorder="1" applyAlignment="1">
      <alignment horizontal="center" vertical="top" wrapText="1"/>
    </xf>
    <xf numFmtId="0" fontId="0" fillId="0" borderId="1" xfId="0" applyBorder="1" applyAlignment="1">
      <alignment horizontal="center" vertical="top" wrapText="1"/>
    </xf>
    <xf numFmtId="168" fontId="2" fillId="0" borderId="2" xfId="0" quotePrefix="1" applyNumberFormat="1" applyFont="1" applyBorder="1" applyAlignment="1">
      <alignment horizontal="center" vertical="top" wrapText="1" shrinkToFit="1"/>
    </xf>
    <xf numFmtId="0" fontId="0" fillId="0" borderId="2" xfId="0" applyBorder="1" applyAlignment="1">
      <alignment horizontal="center" vertical="top" wrapText="1"/>
    </xf>
    <xf numFmtId="168" fontId="2" fillId="0" borderId="7" xfId="0" quotePrefix="1" applyNumberFormat="1" applyFont="1" applyBorder="1" applyAlignment="1">
      <alignment horizontal="center" vertical="top" wrapText="1" shrinkToFit="1"/>
    </xf>
    <xf numFmtId="0" fontId="0" fillId="0" borderId="7" xfId="0" applyBorder="1" applyAlignment="1">
      <alignment horizontal="center" vertical="top" wrapText="1"/>
    </xf>
    <xf numFmtId="49" fontId="2" fillId="0" borderId="0" xfId="0" quotePrefix="1" applyNumberFormat="1" applyFont="1" applyAlignment="1">
      <alignment horizontal="center" vertical="top" wrapText="1"/>
    </xf>
    <xf numFmtId="0" fontId="0" fillId="0" borderId="9" xfId="0" applyBorder="1" applyAlignment="1">
      <alignment horizontal="center" vertical="top" wrapText="1"/>
    </xf>
    <xf numFmtId="49" fontId="2" fillId="0" borderId="9" xfId="0" quotePrefix="1" applyNumberFormat="1" applyFont="1" applyBorder="1" applyAlignment="1">
      <alignment horizontal="center" vertical="top" wrapText="1"/>
    </xf>
    <xf numFmtId="49" fontId="2" fillId="0" borderId="9" xfId="0" applyNumberFormat="1" applyFont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2</xdr:row>
      <xdr:rowOff>19050</xdr:rowOff>
    </xdr:from>
    <xdr:to>
      <xdr:col>12</xdr:col>
      <xdr:colOff>0</xdr:colOff>
      <xdr:row>31</xdr:row>
      <xdr:rowOff>152400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E4A270B7-4043-403A-9242-06E0CDF7D07C}"/>
            </a:ext>
          </a:extLst>
        </xdr:cNvPr>
        <xdr:cNvCxnSpPr/>
      </xdr:nvCxnSpPr>
      <xdr:spPr>
        <a:xfrm>
          <a:off x="9525" y="342900"/>
          <a:ext cx="7305675" cy="482917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19050</xdr:colOff>
      <xdr:row>1</xdr:row>
      <xdr:rowOff>142875</xdr:rowOff>
    </xdr:from>
    <xdr:to>
      <xdr:col>11</xdr:col>
      <xdr:colOff>590550</xdr:colOff>
      <xdr:row>31</xdr:row>
      <xdr:rowOff>152400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01063C9D-97A0-418F-AC9B-DF7535ACC069}"/>
            </a:ext>
          </a:extLst>
        </xdr:cNvPr>
        <xdr:cNvCxnSpPr/>
      </xdr:nvCxnSpPr>
      <xdr:spPr>
        <a:xfrm flipV="1">
          <a:off x="19050" y="304800"/>
          <a:ext cx="7277100" cy="486727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38100</xdr:colOff>
      <xdr:row>2</xdr:row>
      <xdr:rowOff>0</xdr:rowOff>
    </xdr:from>
    <xdr:to>
      <xdr:col>6</xdr:col>
      <xdr:colOff>581025</xdr:colOff>
      <xdr:row>31</xdr:row>
      <xdr:rowOff>123825</xdr:rowOff>
    </xdr:to>
    <xdr:cxnSp macro="">
      <xdr:nvCxnSpPr>
        <xdr:cNvPr id="8" name="Straight Connector 7">
          <a:extLst>
            <a:ext uri="{FF2B5EF4-FFF2-40B4-BE49-F238E27FC236}">
              <a16:creationId xmlns:a16="http://schemas.microsoft.com/office/drawing/2014/main" id="{F574255C-7CF3-46A1-9D17-593F3B132195}"/>
            </a:ext>
          </a:extLst>
        </xdr:cNvPr>
        <xdr:cNvCxnSpPr/>
      </xdr:nvCxnSpPr>
      <xdr:spPr>
        <a:xfrm flipV="1">
          <a:off x="38100" y="323850"/>
          <a:ext cx="4200525" cy="48196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19050</xdr:colOff>
      <xdr:row>2</xdr:row>
      <xdr:rowOff>47625</xdr:rowOff>
    </xdr:from>
    <xdr:to>
      <xdr:col>6</xdr:col>
      <xdr:colOff>590550</xdr:colOff>
      <xdr:row>32</xdr:row>
      <xdr:rowOff>0</xdr:rowOff>
    </xdr:to>
    <xdr:cxnSp macro="">
      <xdr:nvCxnSpPr>
        <xdr:cNvPr id="10" name="Straight Connector 9">
          <a:extLst>
            <a:ext uri="{FF2B5EF4-FFF2-40B4-BE49-F238E27FC236}">
              <a16:creationId xmlns:a16="http://schemas.microsoft.com/office/drawing/2014/main" id="{01392AB7-CAF2-472C-B3D6-4897A63F89F8}"/>
            </a:ext>
          </a:extLst>
        </xdr:cNvPr>
        <xdr:cNvCxnSpPr/>
      </xdr:nvCxnSpPr>
      <xdr:spPr>
        <a:xfrm>
          <a:off x="19050" y="371475"/>
          <a:ext cx="4229100" cy="481012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38100</xdr:colOff>
      <xdr:row>2</xdr:row>
      <xdr:rowOff>19050</xdr:rowOff>
    </xdr:from>
    <xdr:to>
      <xdr:col>12</xdr:col>
      <xdr:colOff>28575</xdr:colOff>
      <xdr:row>16</xdr:row>
      <xdr:rowOff>57150</xdr:rowOff>
    </xdr:to>
    <xdr:cxnSp macro="">
      <xdr:nvCxnSpPr>
        <xdr:cNvPr id="12" name="Straight Connector 11">
          <a:extLst>
            <a:ext uri="{FF2B5EF4-FFF2-40B4-BE49-F238E27FC236}">
              <a16:creationId xmlns:a16="http://schemas.microsoft.com/office/drawing/2014/main" id="{99951E7F-AE8B-469E-AB4B-7A58DAD75E94}"/>
            </a:ext>
          </a:extLst>
        </xdr:cNvPr>
        <xdr:cNvCxnSpPr/>
      </xdr:nvCxnSpPr>
      <xdr:spPr>
        <a:xfrm>
          <a:off x="38100" y="342900"/>
          <a:ext cx="7305675" cy="230505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38100</xdr:colOff>
      <xdr:row>16</xdr:row>
      <xdr:rowOff>57150</xdr:rowOff>
    </xdr:from>
    <xdr:to>
      <xdr:col>12</xdr:col>
      <xdr:colOff>28575</xdr:colOff>
      <xdr:row>31</xdr:row>
      <xdr:rowOff>123825</xdr:rowOff>
    </xdr:to>
    <xdr:cxnSp macro="">
      <xdr:nvCxnSpPr>
        <xdr:cNvPr id="14" name="Straight Connector 13">
          <a:extLst>
            <a:ext uri="{FF2B5EF4-FFF2-40B4-BE49-F238E27FC236}">
              <a16:creationId xmlns:a16="http://schemas.microsoft.com/office/drawing/2014/main" id="{B7A7D9F6-BD63-4D9C-8524-E024FD6BABFC}"/>
            </a:ext>
          </a:extLst>
        </xdr:cNvPr>
        <xdr:cNvCxnSpPr/>
      </xdr:nvCxnSpPr>
      <xdr:spPr>
        <a:xfrm flipV="1">
          <a:off x="38100" y="2647950"/>
          <a:ext cx="7305675" cy="249555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0</xdr:row>
      <xdr:rowOff>28575</xdr:rowOff>
    </xdr:from>
    <xdr:to>
      <xdr:col>3</xdr:col>
      <xdr:colOff>38100</xdr:colOff>
      <xdr:row>6</xdr:row>
      <xdr:rowOff>28575</xdr:rowOff>
    </xdr:to>
    <xdr:cxnSp macro="">
      <xdr:nvCxnSpPr>
        <xdr:cNvPr id="7" name="Straight Connector 6">
          <a:extLst>
            <a:ext uri="{FF2B5EF4-FFF2-40B4-BE49-F238E27FC236}">
              <a16:creationId xmlns:a16="http://schemas.microsoft.com/office/drawing/2014/main" id="{53430A4B-9C59-4EBE-A4C6-C6CEE231B4B6}"/>
            </a:ext>
          </a:extLst>
        </xdr:cNvPr>
        <xdr:cNvCxnSpPr/>
      </xdr:nvCxnSpPr>
      <xdr:spPr>
        <a:xfrm>
          <a:off x="9525" y="28575"/>
          <a:ext cx="3086100" cy="177165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14</xdr:row>
      <xdr:rowOff>0</xdr:rowOff>
    </xdr:from>
    <xdr:to>
      <xdr:col>27</xdr:col>
      <xdr:colOff>0</xdr:colOff>
      <xdr:row>33</xdr:row>
      <xdr:rowOff>0</xdr:rowOff>
    </xdr:to>
    <xdr:sp macro="" textlink="">
      <xdr:nvSpPr>
        <xdr:cNvPr id="2" name="Oval 1">
          <a:extLst>
            <a:ext uri="{FF2B5EF4-FFF2-40B4-BE49-F238E27FC236}">
              <a16:creationId xmlns:a16="http://schemas.microsoft.com/office/drawing/2014/main" id="{68DB6509-2852-41CE-A65E-8903AFF34A56}"/>
            </a:ext>
          </a:extLst>
        </xdr:cNvPr>
        <xdr:cNvSpPr>
          <a:spLocks noChangeArrowheads="1"/>
        </xdr:cNvSpPr>
      </xdr:nvSpPr>
      <xdr:spPr bwMode="auto">
        <a:xfrm>
          <a:off x="4876800" y="6934200"/>
          <a:ext cx="11582400" cy="13030200"/>
        </a:xfrm>
        <a:prstGeom prst="ellips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0</xdr:rowOff>
    </xdr:from>
    <xdr:to>
      <xdr:col>30</xdr:col>
      <xdr:colOff>438150</xdr:colOff>
      <xdr:row>37</xdr:row>
      <xdr:rowOff>0</xdr:rowOff>
    </xdr:to>
    <xdr:sp macro="" textlink="">
      <xdr:nvSpPr>
        <xdr:cNvPr id="3" name="Oval 2">
          <a:extLst>
            <a:ext uri="{FF2B5EF4-FFF2-40B4-BE49-F238E27FC236}">
              <a16:creationId xmlns:a16="http://schemas.microsoft.com/office/drawing/2014/main" id="{50455AC0-5493-4998-A2B3-4BCB9E9118CA}"/>
            </a:ext>
          </a:extLst>
        </xdr:cNvPr>
        <xdr:cNvSpPr>
          <a:spLocks noChangeArrowheads="1"/>
        </xdr:cNvSpPr>
      </xdr:nvSpPr>
      <xdr:spPr bwMode="auto">
        <a:xfrm>
          <a:off x="2447925" y="4191000"/>
          <a:ext cx="16278225" cy="18516600"/>
        </a:xfrm>
        <a:prstGeom prst="ellips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0</xdr:col>
      <xdr:colOff>238125</xdr:colOff>
      <xdr:row>4</xdr:row>
      <xdr:rowOff>142875</xdr:rowOff>
    </xdr:from>
    <xdr:to>
      <xdr:col>34</xdr:col>
      <xdr:colOff>304800</xdr:colOff>
      <xdr:row>42</xdr:row>
      <xdr:rowOff>85725</xdr:rowOff>
    </xdr:to>
    <xdr:sp macro="" textlink="">
      <xdr:nvSpPr>
        <xdr:cNvPr id="4" name="Oval 3">
          <a:extLst>
            <a:ext uri="{FF2B5EF4-FFF2-40B4-BE49-F238E27FC236}">
              <a16:creationId xmlns:a16="http://schemas.microsoft.com/office/drawing/2014/main" id="{7AEC7304-51BE-4756-A9CA-74031027F571}"/>
            </a:ext>
          </a:extLst>
        </xdr:cNvPr>
        <xdr:cNvSpPr>
          <a:spLocks noChangeArrowheads="1"/>
        </xdr:cNvSpPr>
      </xdr:nvSpPr>
      <xdr:spPr bwMode="auto">
        <a:xfrm>
          <a:off x="238125" y="1362075"/>
          <a:ext cx="20793075" cy="24098250"/>
        </a:xfrm>
        <a:prstGeom prst="ellips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9</xdr:col>
      <xdr:colOff>228600</xdr:colOff>
      <xdr:row>7</xdr:row>
      <xdr:rowOff>0</xdr:rowOff>
    </xdr:from>
    <xdr:to>
      <xdr:col>17</xdr:col>
      <xdr:colOff>228600</xdr:colOff>
      <xdr:row>23</xdr:row>
      <xdr:rowOff>238125</xdr:rowOff>
    </xdr:to>
    <xdr:sp macro="" textlink="">
      <xdr:nvSpPr>
        <xdr:cNvPr id="5" name="Line 4">
          <a:extLst>
            <a:ext uri="{FF2B5EF4-FFF2-40B4-BE49-F238E27FC236}">
              <a16:creationId xmlns:a16="http://schemas.microsoft.com/office/drawing/2014/main" id="{E276D741-8632-4AE9-9DA1-9081E432894C}"/>
            </a:ext>
          </a:extLst>
        </xdr:cNvPr>
        <xdr:cNvSpPr>
          <a:spLocks noChangeShapeType="1"/>
        </xdr:cNvSpPr>
      </xdr:nvSpPr>
      <xdr:spPr bwMode="auto">
        <a:xfrm>
          <a:off x="5715000" y="2133600"/>
          <a:ext cx="4876800" cy="112109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15</xdr:row>
      <xdr:rowOff>228600</xdr:rowOff>
    </xdr:from>
    <xdr:to>
      <xdr:col>17</xdr:col>
      <xdr:colOff>228600</xdr:colOff>
      <xdr:row>23</xdr:row>
      <xdr:rowOff>238125</xdr:rowOff>
    </xdr:to>
    <xdr:sp macro="" textlink="">
      <xdr:nvSpPr>
        <xdr:cNvPr id="6" name="Line 5">
          <a:extLst>
            <a:ext uri="{FF2B5EF4-FFF2-40B4-BE49-F238E27FC236}">
              <a16:creationId xmlns:a16="http://schemas.microsoft.com/office/drawing/2014/main" id="{4E49D13E-33C0-4BA5-9A8E-55F564F75E50}"/>
            </a:ext>
          </a:extLst>
        </xdr:cNvPr>
        <xdr:cNvSpPr>
          <a:spLocks noChangeShapeType="1"/>
        </xdr:cNvSpPr>
      </xdr:nvSpPr>
      <xdr:spPr bwMode="auto">
        <a:xfrm>
          <a:off x="609600" y="7848600"/>
          <a:ext cx="9982200" cy="54959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228600</xdr:colOff>
      <xdr:row>7</xdr:row>
      <xdr:rowOff>0</xdr:rowOff>
    </xdr:from>
    <xdr:to>
      <xdr:col>25</xdr:col>
      <xdr:colOff>238125</xdr:colOff>
      <xdr:row>23</xdr:row>
      <xdr:rowOff>228600</xdr:rowOff>
    </xdr:to>
    <xdr:sp macro="" textlink="">
      <xdr:nvSpPr>
        <xdr:cNvPr id="7" name="Line 6">
          <a:extLst>
            <a:ext uri="{FF2B5EF4-FFF2-40B4-BE49-F238E27FC236}">
              <a16:creationId xmlns:a16="http://schemas.microsoft.com/office/drawing/2014/main" id="{54922E3D-A617-4DD5-BFAE-8ACE696A9FEA}"/>
            </a:ext>
          </a:extLst>
        </xdr:cNvPr>
        <xdr:cNvSpPr>
          <a:spLocks noChangeShapeType="1"/>
        </xdr:cNvSpPr>
      </xdr:nvSpPr>
      <xdr:spPr bwMode="auto">
        <a:xfrm flipH="1">
          <a:off x="10591800" y="2133600"/>
          <a:ext cx="4886325" cy="112014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228600</xdr:colOff>
      <xdr:row>15</xdr:row>
      <xdr:rowOff>219075</xdr:rowOff>
    </xdr:from>
    <xdr:to>
      <xdr:col>34</xdr:col>
      <xdr:colOff>0</xdr:colOff>
      <xdr:row>23</xdr:row>
      <xdr:rowOff>228600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828E4EDF-3990-4BA3-B065-31B03E6BC0D7}"/>
            </a:ext>
          </a:extLst>
        </xdr:cNvPr>
        <xdr:cNvSpPr>
          <a:spLocks noChangeShapeType="1"/>
        </xdr:cNvSpPr>
      </xdr:nvSpPr>
      <xdr:spPr bwMode="auto">
        <a:xfrm flipV="1">
          <a:off x="10591800" y="7839075"/>
          <a:ext cx="10134600" cy="54959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228600</xdr:colOff>
      <xdr:row>23</xdr:row>
      <xdr:rowOff>228600</xdr:rowOff>
    </xdr:from>
    <xdr:to>
      <xdr:col>34</xdr:col>
      <xdr:colOff>0</xdr:colOff>
      <xdr:row>31</xdr:row>
      <xdr:rowOff>219075</xdr:rowOff>
    </xdr:to>
    <xdr:sp macro="" textlink="">
      <xdr:nvSpPr>
        <xdr:cNvPr id="9" name="Line 8">
          <a:extLst>
            <a:ext uri="{FF2B5EF4-FFF2-40B4-BE49-F238E27FC236}">
              <a16:creationId xmlns:a16="http://schemas.microsoft.com/office/drawing/2014/main" id="{F869843B-732E-41F4-A3F2-482C31DEF80F}"/>
            </a:ext>
          </a:extLst>
        </xdr:cNvPr>
        <xdr:cNvSpPr>
          <a:spLocks noChangeShapeType="1"/>
        </xdr:cNvSpPr>
      </xdr:nvSpPr>
      <xdr:spPr bwMode="auto">
        <a:xfrm>
          <a:off x="10591800" y="13335000"/>
          <a:ext cx="10134600" cy="54768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228600</xdr:colOff>
      <xdr:row>23</xdr:row>
      <xdr:rowOff>228600</xdr:rowOff>
    </xdr:from>
    <xdr:to>
      <xdr:col>25</xdr:col>
      <xdr:colOff>257175</xdr:colOff>
      <xdr:row>39</xdr:row>
      <xdr:rowOff>447675</xdr:rowOff>
    </xdr:to>
    <xdr:sp macro="" textlink="">
      <xdr:nvSpPr>
        <xdr:cNvPr id="10" name="Line 9">
          <a:extLst>
            <a:ext uri="{FF2B5EF4-FFF2-40B4-BE49-F238E27FC236}">
              <a16:creationId xmlns:a16="http://schemas.microsoft.com/office/drawing/2014/main" id="{6FBD61F2-902A-4C0A-A4EA-D544D9AC7364}"/>
            </a:ext>
          </a:extLst>
        </xdr:cNvPr>
        <xdr:cNvSpPr>
          <a:spLocks noChangeShapeType="1"/>
        </xdr:cNvSpPr>
      </xdr:nvSpPr>
      <xdr:spPr bwMode="auto">
        <a:xfrm>
          <a:off x="10591800" y="13335000"/>
          <a:ext cx="4905375" cy="111918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228600</xdr:colOff>
      <xdr:row>23</xdr:row>
      <xdr:rowOff>228600</xdr:rowOff>
    </xdr:from>
    <xdr:to>
      <xdr:col>17</xdr:col>
      <xdr:colOff>228600</xdr:colOff>
      <xdr:row>40</xdr:row>
      <xdr:rowOff>0</xdr:rowOff>
    </xdr:to>
    <xdr:sp macro="" textlink="">
      <xdr:nvSpPr>
        <xdr:cNvPr id="11" name="Line 11">
          <a:extLst>
            <a:ext uri="{FF2B5EF4-FFF2-40B4-BE49-F238E27FC236}">
              <a16:creationId xmlns:a16="http://schemas.microsoft.com/office/drawing/2014/main" id="{F5512598-B843-472B-BA70-77708DB23306}"/>
            </a:ext>
          </a:extLst>
        </xdr:cNvPr>
        <xdr:cNvSpPr>
          <a:spLocks noChangeShapeType="1"/>
        </xdr:cNvSpPr>
      </xdr:nvSpPr>
      <xdr:spPr bwMode="auto">
        <a:xfrm flipH="1">
          <a:off x="5715000" y="13335000"/>
          <a:ext cx="4876800" cy="114300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23</xdr:row>
      <xdr:rowOff>228600</xdr:rowOff>
    </xdr:from>
    <xdr:to>
      <xdr:col>17</xdr:col>
      <xdr:colOff>228600</xdr:colOff>
      <xdr:row>31</xdr:row>
      <xdr:rowOff>219075</xdr:rowOff>
    </xdr:to>
    <xdr:sp macro="" textlink="">
      <xdr:nvSpPr>
        <xdr:cNvPr id="12" name="Line 12">
          <a:extLst>
            <a:ext uri="{FF2B5EF4-FFF2-40B4-BE49-F238E27FC236}">
              <a16:creationId xmlns:a16="http://schemas.microsoft.com/office/drawing/2014/main" id="{8378C0AB-1765-438B-BEA0-F0D3E1F51727}"/>
            </a:ext>
          </a:extLst>
        </xdr:cNvPr>
        <xdr:cNvSpPr>
          <a:spLocks noChangeShapeType="1"/>
        </xdr:cNvSpPr>
      </xdr:nvSpPr>
      <xdr:spPr bwMode="auto">
        <a:xfrm flipV="1">
          <a:off x="609600" y="13335000"/>
          <a:ext cx="9982200" cy="54768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14</xdr:row>
      <xdr:rowOff>0</xdr:rowOff>
    </xdr:from>
    <xdr:to>
      <xdr:col>27</xdr:col>
      <xdr:colOff>0</xdr:colOff>
      <xdr:row>33</xdr:row>
      <xdr:rowOff>0</xdr:rowOff>
    </xdr:to>
    <xdr:sp macro="" textlink="">
      <xdr:nvSpPr>
        <xdr:cNvPr id="13" name="Oval 13">
          <a:extLst>
            <a:ext uri="{FF2B5EF4-FFF2-40B4-BE49-F238E27FC236}">
              <a16:creationId xmlns:a16="http://schemas.microsoft.com/office/drawing/2014/main" id="{672B3F2D-8CCF-4EE4-ACBB-9D352C2C30C9}"/>
            </a:ext>
          </a:extLst>
        </xdr:cNvPr>
        <xdr:cNvSpPr>
          <a:spLocks noChangeArrowheads="1"/>
        </xdr:cNvSpPr>
      </xdr:nvSpPr>
      <xdr:spPr bwMode="auto">
        <a:xfrm>
          <a:off x="4876800" y="6934200"/>
          <a:ext cx="11582400" cy="13030200"/>
        </a:xfrm>
        <a:prstGeom prst="ellips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0</xdr:rowOff>
    </xdr:from>
    <xdr:to>
      <xdr:col>30</xdr:col>
      <xdr:colOff>438150</xdr:colOff>
      <xdr:row>37</xdr:row>
      <xdr:rowOff>0</xdr:rowOff>
    </xdr:to>
    <xdr:sp macro="" textlink="">
      <xdr:nvSpPr>
        <xdr:cNvPr id="14" name="Oval 14">
          <a:extLst>
            <a:ext uri="{FF2B5EF4-FFF2-40B4-BE49-F238E27FC236}">
              <a16:creationId xmlns:a16="http://schemas.microsoft.com/office/drawing/2014/main" id="{B74A4939-5303-4715-883C-3922190D349D}"/>
            </a:ext>
          </a:extLst>
        </xdr:cNvPr>
        <xdr:cNvSpPr>
          <a:spLocks noChangeArrowheads="1"/>
        </xdr:cNvSpPr>
      </xdr:nvSpPr>
      <xdr:spPr bwMode="auto">
        <a:xfrm>
          <a:off x="2447925" y="4191000"/>
          <a:ext cx="16278225" cy="18516600"/>
        </a:xfrm>
        <a:prstGeom prst="ellips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0</xdr:col>
      <xdr:colOff>238125</xdr:colOff>
      <xdr:row>4</xdr:row>
      <xdr:rowOff>142875</xdr:rowOff>
    </xdr:from>
    <xdr:to>
      <xdr:col>34</xdr:col>
      <xdr:colOff>304800</xdr:colOff>
      <xdr:row>42</xdr:row>
      <xdr:rowOff>85725</xdr:rowOff>
    </xdr:to>
    <xdr:sp macro="" textlink="">
      <xdr:nvSpPr>
        <xdr:cNvPr id="15" name="Oval 15">
          <a:extLst>
            <a:ext uri="{FF2B5EF4-FFF2-40B4-BE49-F238E27FC236}">
              <a16:creationId xmlns:a16="http://schemas.microsoft.com/office/drawing/2014/main" id="{6EFBE83A-4634-484E-BEB0-1E775BE3342B}"/>
            </a:ext>
          </a:extLst>
        </xdr:cNvPr>
        <xdr:cNvSpPr>
          <a:spLocks noChangeArrowheads="1"/>
        </xdr:cNvSpPr>
      </xdr:nvSpPr>
      <xdr:spPr bwMode="auto">
        <a:xfrm>
          <a:off x="238125" y="1362075"/>
          <a:ext cx="20793075" cy="24098250"/>
        </a:xfrm>
        <a:prstGeom prst="ellips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9</xdr:col>
      <xdr:colOff>228600</xdr:colOff>
      <xdr:row>7</xdr:row>
      <xdr:rowOff>0</xdr:rowOff>
    </xdr:from>
    <xdr:to>
      <xdr:col>17</xdr:col>
      <xdr:colOff>228600</xdr:colOff>
      <xdr:row>23</xdr:row>
      <xdr:rowOff>238125</xdr:rowOff>
    </xdr:to>
    <xdr:sp macro="" textlink="">
      <xdr:nvSpPr>
        <xdr:cNvPr id="16" name="Line 16">
          <a:extLst>
            <a:ext uri="{FF2B5EF4-FFF2-40B4-BE49-F238E27FC236}">
              <a16:creationId xmlns:a16="http://schemas.microsoft.com/office/drawing/2014/main" id="{C61E95F6-F33F-4538-ADB5-1113702D1FD1}"/>
            </a:ext>
          </a:extLst>
        </xdr:cNvPr>
        <xdr:cNvSpPr>
          <a:spLocks noChangeShapeType="1"/>
        </xdr:cNvSpPr>
      </xdr:nvSpPr>
      <xdr:spPr bwMode="auto">
        <a:xfrm>
          <a:off x="5715000" y="2133600"/>
          <a:ext cx="4876800" cy="112109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228600</xdr:colOff>
      <xdr:row>7</xdr:row>
      <xdr:rowOff>0</xdr:rowOff>
    </xdr:from>
    <xdr:to>
      <xdr:col>25</xdr:col>
      <xdr:colOff>238125</xdr:colOff>
      <xdr:row>23</xdr:row>
      <xdr:rowOff>200025</xdr:rowOff>
    </xdr:to>
    <xdr:sp macro="" textlink="">
      <xdr:nvSpPr>
        <xdr:cNvPr id="17" name="Line 17">
          <a:extLst>
            <a:ext uri="{FF2B5EF4-FFF2-40B4-BE49-F238E27FC236}">
              <a16:creationId xmlns:a16="http://schemas.microsoft.com/office/drawing/2014/main" id="{B901BA03-66A0-493A-BCF4-C5086B50EEF0}"/>
            </a:ext>
          </a:extLst>
        </xdr:cNvPr>
        <xdr:cNvSpPr>
          <a:spLocks noChangeShapeType="1"/>
        </xdr:cNvSpPr>
      </xdr:nvSpPr>
      <xdr:spPr bwMode="auto">
        <a:xfrm flipH="1">
          <a:off x="10591800" y="2133600"/>
          <a:ext cx="4886325" cy="111728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228600</xdr:colOff>
      <xdr:row>23</xdr:row>
      <xdr:rowOff>228600</xdr:rowOff>
    </xdr:from>
    <xdr:to>
      <xdr:col>25</xdr:col>
      <xdr:colOff>238125</xdr:colOff>
      <xdr:row>39</xdr:row>
      <xdr:rowOff>447675</xdr:rowOff>
    </xdr:to>
    <xdr:sp macro="" textlink="">
      <xdr:nvSpPr>
        <xdr:cNvPr id="18" name="Line 18">
          <a:extLst>
            <a:ext uri="{FF2B5EF4-FFF2-40B4-BE49-F238E27FC236}">
              <a16:creationId xmlns:a16="http://schemas.microsoft.com/office/drawing/2014/main" id="{E1EBFBA3-4C7F-49AD-B2B3-4C1C81C542D0}"/>
            </a:ext>
          </a:extLst>
        </xdr:cNvPr>
        <xdr:cNvSpPr>
          <a:spLocks noChangeShapeType="1"/>
        </xdr:cNvSpPr>
      </xdr:nvSpPr>
      <xdr:spPr bwMode="auto">
        <a:xfrm>
          <a:off x="10591800" y="13335000"/>
          <a:ext cx="4886325" cy="111918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238125</xdr:colOff>
      <xdr:row>23</xdr:row>
      <xdr:rowOff>228600</xdr:rowOff>
    </xdr:from>
    <xdr:to>
      <xdr:col>17</xdr:col>
      <xdr:colOff>228600</xdr:colOff>
      <xdr:row>40</xdr:row>
      <xdr:rowOff>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7B7703A8-8A0B-4DCF-9C66-E8D70F06F2F3}"/>
            </a:ext>
          </a:extLst>
        </xdr:cNvPr>
        <xdr:cNvSpPr>
          <a:spLocks noChangeShapeType="1"/>
        </xdr:cNvSpPr>
      </xdr:nvSpPr>
      <xdr:spPr bwMode="auto">
        <a:xfrm flipH="1">
          <a:off x="5724525" y="13335000"/>
          <a:ext cx="4867275" cy="114300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15</xdr:row>
      <xdr:rowOff>228600</xdr:rowOff>
    </xdr:from>
    <xdr:to>
      <xdr:col>17</xdr:col>
      <xdr:colOff>228600</xdr:colOff>
      <xdr:row>23</xdr:row>
      <xdr:rowOff>238125</xdr:rowOff>
    </xdr:to>
    <xdr:sp macro="" textlink="">
      <xdr:nvSpPr>
        <xdr:cNvPr id="20" name="Line 20">
          <a:extLst>
            <a:ext uri="{FF2B5EF4-FFF2-40B4-BE49-F238E27FC236}">
              <a16:creationId xmlns:a16="http://schemas.microsoft.com/office/drawing/2014/main" id="{CADA9E33-81FB-4355-A808-79EEF17F5968}"/>
            </a:ext>
          </a:extLst>
        </xdr:cNvPr>
        <xdr:cNvSpPr>
          <a:spLocks noChangeShapeType="1"/>
        </xdr:cNvSpPr>
      </xdr:nvSpPr>
      <xdr:spPr bwMode="auto">
        <a:xfrm>
          <a:off x="609600" y="7848600"/>
          <a:ext cx="9982200" cy="54959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771525</xdr:colOff>
      <xdr:row>23</xdr:row>
      <xdr:rowOff>228600</xdr:rowOff>
    </xdr:from>
    <xdr:to>
      <xdr:col>17</xdr:col>
      <xdr:colOff>228600</xdr:colOff>
      <xdr:row>31</xdr:row>
      <xdr:rowOff>219075</xdr:rowOff>
    </xdr:to>
    <xdr:sp macro="" textlink="">
      <xdr:nvSpPr>
        <xdr:cNvPr id="21" name="Line 21">
          <a:extLst>
            <a:ext uri="{FF2B5EF4-FFF2-40B4-BE49-F238E27FC236}">
              <a16:creationId xmlns:a16="http://schemas.microsoft.com/office/drawing/2014/main" id="{BB8DAFEF-DB6C-4FD3-BC0A-BA8BB9A9A99E}"/>
            </a:ext>
          </a:extLst>
        </xdr:cNvPr>
        <xdr:cNvSpPr>
          <a:spLocks noChangeShapeType="1"/>
        </xdr:cNvSpPr>
      </xdr:nvSpPr>
      <xdr:spPr bwMode="auto">
        <a:xfrm flipV="1">
          <a:off x="609600" y="13335000"/>
          <a:ext cx="9982200" cy="54768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228600</xdr:colOff>
      <xdr:row>23</xdr:row>
      <xdr:rowOff>228600</xdr:rowOff>
    </xdr:from>
    <xdr:to>
      <xdr:col>34</xdr:col>
      <xdr:colOff>0</xdr:colOff>
      <xdr:row>31</xdr:row>
      <xdr:rowOff>219075</xdr:rowOff>
    </xdr:to>
    <xdr:sp macro="" textlink="">
      <xdr:nvSpPr>
        <xdr:cNvPr id="22" name="Line 22">
          <a:extLst>
            <a:ext uri="{FF2B5EF4-FFF2-40B4-BE49-F238E27FC236}">
              <a16:creationId xmlns:a16="http://schemas.microsoft.com/office/drawing/2014/main" id="{63E15899-E947-471A-94C3-7AC9B9087AAE}"/>
            </a:ext>
          </a:extLst>
        </xdr:cNvPr>
        <xdr:cNvSpPr>
          <a:spLocks noChangeShapeType="1"/>
        </xdr:cNvSpPr>
      </xdr:nvSpPr>
      <xdr:spPr bwMode="auto">
        <a:xfrm>
          <a:off x="10591800" y="13335000"/>
          <a:ext cx="10134600" cy="54768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14</xdr:row>
      <xdr:rowOff>0</xdr:rowOff>
    </xdr:from>
    <xdr:to>
      <xdr:col>27</xdr:col>
      <xdr:colOff>0</xdr:colOff>
      <xdr:row>33</xdr:row>
      <xdr:rowOff>0</xdr:rowOff>
    </xdr:to>
    <xdr:sp macro="" textlink="">
      <xdr:nvSpPr>
        <xdr:cNvPr id="2" name="Oval 1">
          <a:extLst>
            <a:ext uri="{FF2B5EF4-FFF2-40B4-BE49-F238E27FC236}">
              <a16:creationId xmlns:a16="http://schemas.microsoft.com/office/drawing/2014/main" id="{DBACA5D7-AEE1-4C84-B9CB-0D7C5B20096A}"/>
            </a:ext>
          </a:extLst>
        </xdr:cNvPr>
        <xdr:cNvSpPr>
          <a:spLocks noChangeArrowheads="1"/>
        </xdr:cNvSpPr>
      </xdr:nvSpPr>
      <xdr:spPr bwMode="auto">
        <a:xfrm>
          <a:off x="3981450" y="4467225"/>
          <a:ext cx="8686800" cy="8686800"/>
        </a:xfrm>
        <a:prstGeom prst="ellips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0</xdr:rowOff>
    </xdr:from>
    <xdr:to>
      <xdr:col>30</xdr:col>
      <xdr:colOff>438150</xdr:colOff>
      <xdr:row>37</xdr:row>
      <xdr:rowOff>0</xdr:rowOff>
    </xdr:to>
    <xdr:sp macro="" textlink="">
      <xdr:nvSpPr>
        <xdr:cNvPr id="3" name="Oval 2">
          <a:extLst>
            <a:ext uri="{FF2B5EF4-FFF2-40B4-BE49-F238E27FC236}">
              <a16:creationId xmlns:a16="http://schemas.microsoft.com/office/drawing/2014/main" id="{E17C2391-048A-43DA-A9D7-88B07819763A}"/>
            </a:ext>
          </a:extLst>
        </xdr:cNvPr>
        <xdr:cNvSpPr>
          <a:spLocks noChangeArrowheads="1"/>
        </xdr:cNvSpPr>
      </xdr:nvSpPr>
      <xdr:spPr bwMode="auto">
        <a:xfrm>
          <a:off x="2162175" y="2638425"/>
          <a:ext cx="12315825" cy="12344400"/>
        </a:xfrm>
        <a:prstGeom prst="ellips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0</xdr:col>
      <xdr:colOff>238125</xdr:colOff>
      <xdr:row>4</xdr:row>
      <xdr:rowOff>142875</xdr:rowOff>
    </xdr:from>
    <xdr:to>
      <xdr:col>34</xdr:col>
      <xdr:colOff>304800</xdr:colOff>
      <xdr:row>42</xdr:row>
      <xdr:rowOff>85725</xdr:rowOff>
    </xdr:to>
    <xdr:sp macro="" textlink="">
      <xdr:nvSpPr>
        <xdr:cNvPr id="4" name="Oval 3">
          <a:extLst>
            <a:ext uri="{FF2B5EF4-FFF2-40B4-BE49-F238E27FC236}">
              <a16:creationId xmlns:a16="http://schemas.microsoft.com/office/drawing/2014/main" id="{ED88F3FD-7EA5-4F34-BEEB-31495FA6A93F}"/>
            </a:ext>
          </a:extLst>
        </xdr:cNvPr>
        <xdr:cNvSpPr>
          <a:spLocks noChangeArrowheads="1"/>
        </xdr:cNvSpPr>
      </xdr:nvSpPr>
      <xdr:spPr bwMode="auto">
        <a:xfrm>
          <a:off x="238125" y="866775"/>
          <a:ext cx="15935325" cy="15935325"/>
        </a:xfrm>
        <a:prstGeom prst="ellips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9</xdr:col>
      <xdr:colOff>228600</xdr:colOff>
      <xdr:row>7</xdr:row>
      <xdr:rowOff>0</xdr:rowOff>
    </xdr:from>
    <xdr:to>
      <xdr:col>17</xdr:col>
      <xdr:colOff>228600</xdr:colOff>
      <xdr:row>23</xdr:row>
      <xdr:rowOff>238125</xdr:rowOff>
    </xdr:to>
    <xdr:sp macro="" textlink="">
      <xdr:nvSpPr>
        <xdr:cNvPr id="5" name="Line 4">
          <a:extLst>
            <a:ext uri="{FF2B5EF4-FFF2-40B4-BE49-F238E27FC236}">
              <a16:creationId xmlns:a16="http://schemas.microsoft.com/office/drawing/2014/main" id="{8CE66EE9-66EC-4209-A783-C2868511D460}"/>
            </a:ext>
          </a:extLst>
        </xdr:cNvPr>
        <xdr:cNvSpPr>
          <a:spLocks noChangeShapeType="1"/>
        </xdr:cNvSpPr>
      </xdr:nvSpPr>
      <xdr:spPr bwMode="auto">
        <a:xfrm>
          <a:off x="4667250" y="1266825"/>
          <a:ext cx="3657600" cy="75533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15</xdr:row>
      <xdr:rowOff>228600</xdr:rowOff>
    </xdr:from>
    <xdr:to>
      <xdr:col>17</xdr:col>
      <xdr:colOff>228600</xdr:colOff>
      <xdr:row>23</xdr:row>
      <xdr:rowOff>238125</xdr:rowOff>
    </xdr:to>
    <xdr:sp macro="" textlink="">
      <xdr:nvSpPr>
        <xdr:cNvPr id="6" name="Line 5">
          <a:extLst>
            <a:ext uri="{FF2B5EF4-FFF2-40B4-BE49-F238E27FC236}">
              <a16:creationId xmlns:a16="http://schemas.microsoft.com/office/drawing/2014/main" id="{8C5598BA-CCDE-4A30-BD25-08B160B04D78}"/>
            </a:ext>
          </a:extLst>
        </xdr:cNvPr>
        <xdr:cNvSpPr>
          <a:spLocks noChangeShapeType="1"/>
        </xdr:cNvSpPr>
      </xdr:nvSpPr>
      <xdr:spPr bwMode="auto">
        <a:xfrm>
          <a:off x="781050" y="5153025"/>
          <a:ext cx="7543800" cy="36671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228600</xdr:colOff>
      <xdr:row>7</xdr:row>
      <xdr:rowOff>0</xdr:rowOff>
    </xdr:from>
    <xdr:to>
      <xdr:col>25</xdr:col>
      <xdr:colOff>238125</xdr:colOff>
      <xdr:row>23</xdr:row>
      <xdr:rowOff>228600</xdr:rowOff>
    </xdr:to>
    <xdr:sp macro="" textlink="">
      <xdr:nvSpPr>
        <xdr:cNvPr id="7" name="Line 6">
          <a:extLst>
            <a:ext uri="{FF2B5EF4-FFF2-40B4-BE49-F238E27FC236}">
              <a16:creationId xmlns:a16="http://schemas.microsoft.com/office/drawing/2014/main" id="{CD073131-85D7-4279-A154-0026B91033CE}"/>
            </a:ext>
          </a:extLst>
        </xdr:cNvPr>
        <xdr:cNvSpPr>
          <a:spLocks noChangeShapeType="1"/>
        </xdr:cNvSpPr>
      </xdr:nvSpPr>
      <xdr:spPr bwMode="auto">
        <a:xfrm flipH="1">
          <a:off x="8324850" y="1266825"/>
          <a:ext cx="3667125" cy="75438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228600</xdr:colOff>
      <xdr:row>15</xdr:row>
      <xdr:rowOff>219075</xdr:rowOff>
    </xdr:from>
    <xdr:to>
      <xdr:col>34</xdr:col>
      <xdr:colOff>0</xdr:colOff>
      <xdr:row>23</xdr:row>
      <xdr:rowOff>228600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376794EE-5167-4048-A580-987F07245AA0}"/>
            </a:ext>
          </a:extLst>
        </xdr:cNvPr>
        <xdr:cNvSpPr>
          <a:spLocks noChangeShapeType="1"/>
        </xdr:cNvSpPr>
      </xdr:nvSpPr>
      <xdr:spPr bwMode="auto">
        <a:xfrm flipV="1">
          <a:off x="8324850" y="5143500"/>
          <a:ext cx="7543800" cy="36671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228600</xdr:colOff>
      <xdr:row>23</xdr:row>
      <xdr:rowOff>228600</xdr:rowOff>
    </xdr:from>
    <xdr:to>
      <xdr:col>34</xdr:col>
      <xdr:colOff>0</xdr:colOff>
      <xdr:row>31</xdr:row>
      <xdr:rowOff>219075</xdr:rowOff>
    </xdr:to>
    <xdr:sp macro="" textlink="">
      <xdr:nvSpPr>
        <xdr:cNvPr id="9" name="Line 8">
          <a:extLst>
            <a:ext uri="{FF2B5EF4-FFF2-40B4-BE49-F238E27FC236}">
              <a16:creationId xmlns:a16="http://schemas.microsoft.com/office/drawing/2014/main" id="{17DCAD91-E4BF-4028-8C8B-E8C06AACA51C}"/>
            </a:ext>
          </a:extLst>
        </xdr:cNvPr>
        <xdr:cNvSpPr>
          <a:spLocks noChangeShapeType="1"/>
        </xdr:cNvSpPr>
      </xdr:nvSpPr>
      <xdr:spPr bwMode="auto">
        <a:xfrm>
          <a:off x="8324850" y="8810625"/>
          <a:ext cx="7543800" cy="36480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228600</xdr:colOff>
      <xdr:row>23</xdr:row>
      <xdr:rowOff>228600</xdr:rowOff>
    </xdr:from>
    <xdr:to>
      <xdr:col>25</xdr:col>
      <xdr:colOff>257175</xdr:colOff>
      <xdr:row>39</xdr:row>
      <xdr:rowOff>447675</xdr:rowOff>
    </xdr:to>
    <xdr:sp macro="" textlink="">
      <xdr:nvSpPr>
        <xdr:cNvPr id="10" name="Line 9">
          <a:extLst>
            <a:ext uri="{FF2B5EF4-FFF2-40B4-BE49-F238E27FC236}">
              <a16:creationId xmlns:a16="http://schemas.microsoft.com/office/drawing/2014/main" id="{1572F925-0B34-494C-9AEB-883FDA99A921}"/>
            </a:ext>
          </a:extLst>
        </xdr:cNvPr>
        <xdr:cNvSpPr>
          <a:spLocks noChangeShapeType="1"/>
        </xdr:cNvSpPr>
      </xdr:nvSpPr>
      <xdr:spPr bwMode="auto">
        <a:xfrm>
          <a:off x="8324850" y="8810625"/>
          <a:ext cx="3686175" cy="75342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228600</xdr:colOff>
      <xdr:row>23</xdr:row>
      <xdr:rowOff>228600</xdr:rowOff>
    </xdr:from>
    <xdr:to>
      <xdr:col>17</xdr:col>
      <xdr:colOff>228600</xdr:colOff>
      <xdr:row>40</xdr:row>
      <xdr:rowOff>0</xdr:rowOff>
    </xdr:to>
    <xdr:sp macro="" textlink="">
      <xdr:nvSpPr>
        <xdr:cNvPr id="11" name="Line 11">
          <a:extLst>
            <a:ext uri="{FF2B5EF4-FFF2-40B4-BE49-F238E27FC236}">
              <a16:creationId xmlns:a16="http://schemas.microsoft.com/office/drawing/2014/main" id="{C9431F0A-B28F-43F9-9D97-211B2D3B485D}"/>
            </a:ext>
          </a:extLst>
        </xdr:cNvPr>
        <xdr:cNvSpPr>
          <a:spLocks noChangeShapeType="1"/>
        </xdr:cNvSpPr>
      </xdr:nvSpPr>
      <xdr:spPr bwMode="auto">
        <a:xfrm flipH="1">
          <a:off x="4667250" y="8810625"/>
          <a:ext cx="3657600" cy="75438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23</xdr:row>
      <xdr:rowOff>228600</xdr:rowOff>
    </xdr:from>
    <xdr:to>
      <xdr:col>17</xdr:col>
      <xdr:colOff>228600</xdr:colOff>
      <xdr:row>31</xdr:row>
      <xdr:rowOff>219075</xdr:rowOff>
    </xdr:to>
    <xdr:sp macro="" textlink="">
      <xdr:nvSpPr>
        <xdr:cNvPr id="12" name="Line 12">
          <a:extLst>
            <a:ext uri="{FF2B5EF4-FFF2-40B4-BE49-F238E27FC236}">
              <a16:creationId xmlns:a16="http://schemas.microsoft.com/office/drawing/2014/main" id="{37EABA4C-7AFE-4621-A859-696384269267}"/>
            </a:ext>
          </a:extLst>
        </xdr:cNvPr>
        <xdr:cNvSpPr>
          <a:spLocks noChangeShapeType="1"/>
        </xdr:cNvSpPr>
      </xdr:nvSpPr>
      <xdr:spPr bwMode="auto">
        <a:xfrm flipV="1">
          <a:off x="781050" y="8810625"/>
          <a:ext cx="7543800" cy="36480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14</xdr:row>
      <xdr:rowOff>0</xdr:rowOff>
    </xdr:from>
    <xdr:to>
      <xdr:col>27</xdr:col>
      <xdr:colOff>0</xdr:colOff>
      <xdr:row>33</xdr:row>
      <xdr:rowOff>0</xdr:rowOff>
    </xdr:to>
    <xdr:sp macro="" textlink="">
      <xdr:nvSpPr>
        <xdr:cNvPr id="13" name="Oval 13">
          <a:extLst>
            <a:ext uri="{FF2B5EF4-FFF2-40B4-BE49-F238E27FC236}">
              <a16:creationId xmlns:a16="http://schemas.microsoft.com/office/drawing/2014/main" id="{E796BA8C-5A07-492B-BC5A-9D84E149F293}"/>
            </a:ext>
          </a:extLst>
        </xdr:cNvPr>
        <xdr:cNvSpPr>
          <a:spLocks noChangeArrowheads="1"/>
        </xdr:cNvSpPr>
      </xdr:nvSpPr>
      <xdr:spPr bwMode="auto">
        <a:xfrm>
          <a:off x="3981450" y="4467225"/>
          <a:ext cx="8686800" cy="8686800"/>
        </a:xfrm>
        <a:prstGeom prst="ellips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0</xdr:rowOff>
    </xdr:from>
    <xdr:to>
      <xdr:col>30</xdr:col>
      <xdr:colOff>438150</xdr:colOff>
      <xdr:row>37</xdr:row>
      <xdr:rowOff>0</xdr:rowOff>
    </xdr:to>
    <xdr:sp macro="" textlink="">
      <xdr:nvSpPr>
        <xdr:cNvPr id="14" name="Oval 14">
          <a:extLst>
            <a:ext uri="{FF2B5EF4-FFF2-40B4-BE49-F238E27FC236}">
              <a16:creationId xmlns:a16="http://schemas.microsoft.com/office/drawing/2014/main" id="{3E9E866D-1F56-4B9D-9479-3171B1349FFE}"/>
            </a:ext>
          </a:extLst>
        </xdr:cNvPr>
        <xdr:cNvSpPr>
          <a:spLocks noChangeArrowheads="1"/>
        </xdr:cNvSpPr>
      </xdr:nvSpPr>
      <xdr:spPr bwMode="auto">
        <a:xfrm>
          <a:off x="2162175" y="2638425"/>
          <a:ext cx="12315825" cy="12344400"/>
        </a:xfrm>
        <a:prstGeom prst="ellips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0</xdr:col>
      <xdr:colOff>238125</xdr:colOff>
      <xdr:row>4</xdr:row>
      <xdr:rowOff>142875</xdr:rowOff>
    </xdr:from>
    <xdr:to>
      <xdr:col>34</xdr:col>
      <xdr:colOff>304800</xdr:colOff>
      <xdr:row>42</xdr:row>
      <xdr:rowOff>85725</xdr:rowOff>
    </xdr:to>
    <xdr:sp macro="" textlink="">
      <xdr:nvSpPr>
        <xdr:cNvPr id="15" name="Oval 15">
          <a:extLst>
            <a:ext uri="{FF2B5EF4-FFF2-40B4-BE49-F238E27FC236}">
              <a16:creationId xmlns:a16="http://schemas.microsoft.com/office/drawing/2014/main" id="{3C5E4D84-328D-4472-A332-1DFFDD2A174C}"/>
            </a:ext>
          </a:extLst>
        </xdr:cNvPr>
        <xdr:cNvSpPr>
          <a:spLocks noChangeArrowheads="1"/>
        </xdr:cNvSpPr>
      </xdr:nvSpPr>
      <xdr:spPr bwMode="auto">
        <a:xfrm>
          <a:off x="238125" y="866775"/>
          <a:ext cx="15935325" cy="15935325"/>
        </a:xfrm>
        <a:prstGeom prst="ellips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9</xdr:col>
      <xdr:colOff>228600</xdr:colOff>
      <xdr:row>7</xdr:row>
      <xdr:rowOff>0</xdr:rowOff>
    </xdr:from>
    <xdr:to>
      <xdr:col>17</xdr:col>
      <xdr:colOff>228600</xdr:colOff>
      <xdr:row>23</xdr:row>
      <xdr:rowOff>238125</xdr:rowOff>
    </xdr:to>
    <xdr:sp macro="" textlink="">
      <xdr:nvSpPr>
        <xdr:cNvPr id="16" name="Line 16">
          <a:extLst>
            <a:ext uri="{FF2B5EF4-FFF2-40B4-BE49-F238E27FC236}">
              <a16:creationId xmlns:a16="http://schemas.microsoft.com/office/drawing/2014/main" id="{321CC2E1-6C36-4519-8B81-7BA6214CD089}"/>
            </a:ext>
          </a:extLst>
        </xdr:cNvPr>
        <xdr:cNvSpPr>
          <a:spLocks noChangeShapeType="1"/>
        </xdr:cNvSpPr>
      </xdr:nvSpPr>
      <xdr:spPr bwMode="auto">
        <a:xfrm>
          <a:off x="4667250" y="1266825"/>
          <a:ext cx="3657600" cy="75533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228600</xdr:colOff>
      <xdr:row>7</xdr:row>
      <xdr:rowOff>0</xdr:rowOff>
    </xdr:from>
    <xdr:to>
      <xdr:col>25</xdr:col>
      <xdr:colOff>238125</xdr:colOff>
      <xdr:row>23</xdr:row>
      <xdr:rowOff>200025</xdr:rowOff>
    </xdr:to>
    <xdr:sp macro="" textlink="">
      <xdr:nvSpPr>
        <xdr:cNvPr id="17" name="Line 17">
          <a:extLst>
            <a:ext uri="{FF2B5EF4-FFF2-40B4-BE49-F238E27FC236}">
              <a16:creationId xmlns:a16="http://schemas.microsoft.com/office/drawing/2014/main" id="{22FC0639-48CF-49E2-8D82-5004B0B2A44D}"/>
            </a:ext>
          </a:extLst>
        </xdr:cNvPr>
        <xdr:cNvSpPr>
          <a:spLocks noChangeShapeType="1"/>
        </xdr:cNvSpPr>
      </xdr:nvSpPr>
      <xdr:spPr bwMode="auto">
        <a:xfrm flipH="1">
          <a:off x="8324850" y="1266825"/>
          <a:ext cx="3667125" cy="75152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228600</xdr:colOff>
      <xdr:row>23</xdr:row>
      <xdr:rowOff>228600</xdr:rowOff>
    </xdr:from>
    <xdr:to>
      <xdr:col>25</xdr:col>
      <xdr:colOff>238125</xdr:colOff>
      <xdr:row>39</xdr:row>
      <xdr:rowOff>447675</xdr:rowOff>
    </xdr:to>
    <xdr:sp macro="" textlink="">
      <xdr:nvSpPr>
        <xdr:cNvPr id="18" name="Line 18">
          <a:extLst>
            <a:ext uri="{FF2B5EF4-FFF2-40B4-BE49-F238E27FC236}">
              <a16:creationId xmlns:a16="http://schemas.microsoft.com/office/drawing/2014/main" id="{2BC44227-14ED-4268-B1B9-45EB05D87370}"/>
            </a:ext>
          </a:extLst>
        </xdr:cNvPr>
        <xdr:cNvSpPr>
          <a:spLocks noChangeShapeType="1"/>
        </xdr:cNvSpPr>
      </xdr:nvSpPr>
      <xdr:spPr bwMode="auto">
        <a:xfrm>
          <a:off x="8324850" y="8810625"/>
          <a:ext cx="3667125" cy="75342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238125</xdr:colOff>
      <xdr:row>23</xdr:row>
      <xdr:rowOff>228600</xdr:rowOff>
    </xdr:from>
    <xdr:to>
      <xdr:col>17</xdr:col>
      <xdr:colOff>228600</xdr:colOff>
      <xdr:row>40</xdr:row>
      <xdr:rowOff>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636C989F-043B-4BBC-AEC3-1E56DE850704}"/>
            </a:ext>
          </a:extLst>
        </xdr:cNvPr>
        <xdr:cNvSpPr>
          <a:spLocks noChangeShapeType="1"/>
        </xdr:cNvSpPr>
      </xdr:nvSpPr>
      <xdr:spPr bwMode="auto">
        <a:xfrm flipH="1">
          <a:off x="4676775" y="8810625"/>
          <a:ext cx="3648075" cy="75438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15</xdr:row>
      <xdr:rowOff>228600</xdr:rowOff>
    </xdr:from>
    <xdr:to>
      <xdr:col>17</xdr:col>
      <xdr:colOff>228600</xdr:colOff>
      <xdr:row>23</xdr:row>
      <xdr:rowOff>238125</xdr:rowOff>
    </xdr:to>
    <xdr:sp macro="" textlink="">
      <xdr:nvSpPr>
        <xdr:cNvPr id="20" name="Line 20">
          <a:extLst>
            <a:ext uri="{FF2B5EF4-FFF2-40B4-BE49-F238E27FC236}">
              <a16:creationId xmlns:a16="http://schemas.microsoft.com/office/drawing/2014/main" id="{1D1AF8A4-3E2D-4B07-BB0B-96F0CD9CA4CA}"/>
            </a:ext>
          </a:extLst>
        </xdr:cNvPr>
        <xdr:cNvSpPr>
          <a:spLocks noChangeShapeType="1"/>
        </xdr:cNvSpPr>
      </xdr:nvSpPr>
      <xdr:spPr bwMode="auto">
        <a:xfrm>
          <a:off x="781050" y="5153025"/>
          <a:ext cx="7543800" cy="36671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771525</xdr:colOff>
      <xdr:row>23</xdr:row>
      <xdr:rowOff>228600</xdr:rowOff>
    </xdr:from>
    <xdr:to>
      <xdr:col>17</xdr:col>
      <xdr:colOff>228600</xdr:colOff>
      <xdr:row>31</xdr:row>
      <xdr:rowOff>219075</xdr:rowOff>
    </xdr:to>
    <xdr:sp macro="" textlink="">
      <xdr:nvSpPr>
        <xdr:cNvPr id="21" name="Line 21">
          <a:extLst>
            <a:ext uri="{FF2B5EF4-FFF2-40B4-BE49-F238E27FC236}">
              <a16:creationId xmlns:a16="http://schemas.microsoft.com/office/drawing/2014/main" id="{D51481D2-BA83-4AFC-88C8-D0168D582FAC}"/>
            </a:ext>
          </a:extLst>
        </xdr:cNvPr>
        <xdr:cNvSpPr>
          <a:spLocks noChangeShapeType="1"/>
        </xdr:cNvSpPr>
      </xdr:nvSpPr>
      <xdr:spPr bwMode="auto">
        <a:xfrm flipV="1">
          <a:off x="771525" y="8810625"/>
          <a:ext cx="7553325" cy="36480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228600</xdr:colOff>
      <xdr:row>23</xdr:row>
      <xdr:rowOff>228600</xdr:rowOff>
    </xdr:from>
    <xdr:to>
      <xdr:col>34</xdr:col>
      <xdr:colOff>0</xdr:colOff>
      <xdr:row>31</xdr:row>
      <xdr:rowOff>219075</xdr:rowOff>
    </xdr:to>
    <xdr:sp macro="" textlink="">
      <xdr:nvSpPr>
        <xdr:cNvPr id="22" name="Line 22">
          <a:extLst>
            <a:ext uri="{FF2B5EF4-FFF2-40B4-BE49-F238E27FC236}">
              <a16:creationId xmlns:a16="http://schemas.microsoft.com/office/drawing/2014/main" id="{E8854C66-545F-4C6C-9CFA-79458BFFC6E4}"/>
            </a:ext>
          </a:extLst>
        </xdr:cNvPr>
        <xdr:cNvSpPr>
          <a:spLocks noChangeShapeType="1"/>
        </xdr:cNvSpPr>
      </xdr:nvSpPr>
      <xdr:spPr bwMode="auto">
        <a:xfrm>
          <a:off x="13631636" y="13209814"/>
          <a:ext cx="13120007" cy="5433332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20869F-EBA3-447F-BBF0-C14C9B8167CB}">
  <dimension ref="A1:L32"/>
  <sheetViews>
    <sheetView topLeftCell="A2" zoomScale="140" zoomScaleNormal="140" workbookViewId="0">
      <selection activeCell="N17" sqref="N17"/>
    </sheetView>
  </sheetViews>
  <sheetFormatPr defaultRowHeight="12.75"/>
  <sheetData>
    <row r="1" spans="1:12">
      <c r="A1" s="1" t="s">
        <v>40</v>
      </c>
      <c r="B1" s="1" t="s">
        <v>41</v>
      </c>
      <c r="C1" s="1" t="s">
        <v>42</v>
      </c>
      <c r="D1" s="1" t="s">
        <v>43</v>
      </c>
      <c r="E1" s="1" t="s">
        <v>46</v>
      </c>
      <c r="F1" s="1" t="s">
        <v>44</v>
      </c>
      <c r="G1" s="1" t="s">
        <v>45</v>
      </c>
      <c r="H1" s="1" t="s">
        <v>47</v>
      </c>
      <c r="I1" s="1" t="s">
        <v>48</v>
      </c>
      <c r="J1" s="1" t="s">
        <v>49</v>
      </c>
      <c r="K1" s="1" t="s">
        <v>50</v>
      </c>
      <c r="L1" s="1" t="s">
        <v>51</v>
      </c>
    </row>
    <row r="2" spans="1:12" s="62" customFormat="1">
      <c r="A2" s="62">
        <v>0</v>
      </c>
      <c r="B2" s="62">
        <v>30</v>
      </c>
      <c r="C2" s="62">
        <v>60</v>
      </c>
      <c r="D2" s="62">
        <v>90</v>
      </c>
      <c r="E2" s="62">
        <v>120</v>
      </c>
      <c r="F2" s="62">
        <v>150</v>
      </c>
      <c r="G2" s="62">
        <v>180</v>
      </c>
      <c r="H2" s="62">
        <v>210</v>
      </c>
      <c r="I2" s="62">
        <v>240</v>
      </c>
      <c r="J2" s="62">
        <v>270</v>
      </c>
      <c r="K2" s="62">
        <v>300</v>
      </c>
      <c r="L2" s="62">
        <v>330</v>
      </c>
    </row>
    <row r="3" spans="1:12">
      <c r="A3" cm="1">
        <f t="array" ref="A3:L32">_xlfn.SEQUENCE(30,12,0,1)</f>
        <v>0</v>
      </c>
      <c r="B3">
        <v>1</v>
      </c>
      <c r="C3">
        <v>2</v>
      </c>
      <c r="D3">
        <v>3</v>
      </c>
      <c r="E3">
        <v>4</v>
      </c>
      <c r="F3">
        <v>5</v>
      </c>
      <c r="G3">
        <v>6</v>
      </c>
      <c r="H3">
        <v>7</v>
      </c>
      <c r="I3">
        <v>8</v>
      </c>
      <c r="J3">
        <v>9</v>
      </c>
      <c r="K3">
        <v>10</v>
      </c>
      <c r="L3">
        <v>11</v>
      </c>
    </row>
    <row r="4" spans="1:12">
      <c r="A4">
        <v>12</v>
      </c>
      <c r="B4">
        <v>13</v>
      </c>
      <c r="C4">
        <v>14</v>
      </c>
      <c r="D4">
        <v>15</v>
      </c>
      <c r="E4">
        <v>16</v>
      </c>
      <c r="F4">
        <v>17</v>
      </c>
      <c r="G4">
        <v>18</v>
      </c>
      <c r="H4">
        <v>19</v>
      </c>
      <c r="I4">
        <v>20</v>
      </c>
      <c r="J4">
        <v>21</v>
      </c>
      <c r="K4">
        <v>22</v>
      </c>
      <c r="L4">
        <v>23</v>
      </c>
    </row>
    <row r="5" spans="1:12">
      <c r="A5">
        <v>24</v>
      </c>
      <c r="B5">
        <v>25</v>
      </c>
      <c r="C5">
        <v>26</v>
      </c>
      <c r="D5">
        <v>27</v>
      </c>
      <c r="E5">
        <v>28</v>
      </c>
      <c r="F5">
        <v>29</v>
      </c>
      <c r="G5">
        <v>30</v>
      </c>
      <c r="H5">
        <v>31</v>
      </c>
      <c r="I5">
        <v>32</v>
      </c>
      <c r="J5">
        <v>33</v>
      </c>
      <c r="K5">
        <v>34</v>
      </c>
      <c r="L5">
        <v>35</v>
      </c>
    </row>
    <row r="6" spans="1:12">
      <c r="A6">
        <v>36</v>
      </c>
      <c r="B6">
        <v>37</v>
      </c>
      <c r="C6">
        <v>38</v>
      </c>
      <c r="D6">
        <v>39</v>
      </c>
      <c r="E6">
        <v>40</v>
      </c>
      <c r="F6">
        <v>41</v>
      </c>
      <c r="G6">
        <v>42</v>
      </c>
      <c r="H6">
        <v>43</v>
      </c>
      <c r="I6">
        <v>44</v>
      </c>
      <c r="J6">
        <v>45</v>
      </c>
      <c r="K6">
        <v>46</v>
      </c>
      <c r="L6">
        <v>47</v>
      </c>
    </row>
    <row r="7" spans="1:12">
      <c r="A7">
        <v>48</v>
      </c>
      <c r="B7">
        <v>49</v>
      </c>
      <c r="C7">
        <v>50</v>
      </c>
      <c r="D7">
        <v>51</v>
      </c>
      <c r="E7">
        <v>52</v>
      </c>
      <c r="F7">
        <v>53</v>
      </c>
      <c r="G7">
        <v>54</v>
      </c>
      <c r="H7">
        <v>55</v>
      </c>
      <c r="I7">
        <v>56</v>
      </c>
      <c r="J7">
        <v>57</v>
      </c>
      <c r="K7">
        <v>58</v>
      </c>
      <c r="L7">
        <v>59</v>
      </c>
    </row>
    <row r="8" spans="1:12">
      <c r="A8">
        <v>60</v>
      </c>
      <c r="B8">
        <v>61</v>
      </c>
      <c r="C8">
        <v>62</v>
      </c>
      <c r="D8">
        <v>63</v>
      </c>
      <c r="E8">
        <v>64</v>
      </c>
      <c r="F8">
        <v>65</v>
      </c>
      <c r="G8">
        <v>66</v>
      </c>
      <c r="H8">
        <v>67</v>
      </c>
      <c r="I8">
        <v>68</v>
      </c>
      <c r="J8">
        <v>69</v>
      </c>
      <c r="K8">
        <v>70</v>
      </c>
      <c r="L8">
        <v>71</v>
      </c>
    </row>
    <row r="9" spans="1:12">
      <c r="A9">
        <v>72</v>
      </c>
      <c r="B9">
        <v>73</v>
      </c>
      <c r="C9">
        <v>74</v>
      </c>
      <c r="D9">
        <v>75</v>
      </c>
      <c r="E9">
        <v>76</v>
      </c>
      <c r="F9">
        <v>77</v>
      </c>
      <c r="G9">
        <v>78</v>
      </c>
      <c r="H9">
        <v>79</v>
      </c>
      <c r="I9">
        <v>80</v>
      </c>
      <c r="J9">
        <v>81</v>
      </c>
      <c r="K9">
        <v>82</v>
      </c>
      <c r="L9">
        <v>83</v>
      </c>
    </row>
    <row r="10" spans="1:12">
      <c r="A10">
        <v>84</v>
      </c>
      <c r="B10">
        <v>85</v>
      </c>
      <c r="C10">
        <v>86</v>
      </c>
      <c r="D10">
        <v>87</v>
      </c>
      <c r="E10">
        <v>88</v>
      </c>
      <c r="F10">
        <v>89</v>
      </c>
      <c r="G10">
        <v>90</v>
      </c>
      <c r="H10">
        <v>91</v>
      </c>
      <c r="I10">
        <v>92</v>
      </c>
      <c r="J10">
        <v>93</v>
      </c>
      <c r="K10">
        <v>94</v>
      </c>
      <c r="L10">
        <v>95</v>
      </c>
    </row>
    <row r="11" spans="1:12">
      <c r="A11">
        <v>96</v>
      </c>
      <c r="B11">
        <v>97</v>
      </c>
      <c r="C11">
        <v>98</v>
      </c>
      <c r="D11">
        <v>99</v>
      </c>
      <c r="E11">
        <v>100</v>
      </c>
      <c r="F11">
        <v>101</v>
      </c>
      <c r="G11">
        <v>102</v>
      </c>
      <c r="H11">
        <v>103</v>
      </c>
      <c r="I11">
        <v>104</v>
      </c>
      <c r="J11">
        <v>105</v>
      </c>
      <c r="K11">
        <v>106</v>
      </c>
      <c r="L11">
        <v>107</v>
      </c>
    </row>
    <row r="12" spans="1:12">
      <c r="A12">
        <v>108</v>
      </c>
      <c r="B12">
        <v>109</v>
      </c>
      <c r="C12">
        <v>110</v>
      </c>
      <c r="D12">
        <v>111</v>
      </c>
      <c r="E12">
        <v>112</v>
      </c>
      <c r="F12">
        <v>113</v>
      </c>
      <c r="G12">
        <v>114</v>
      </c>
      <c r="H12">
        <v>115</v>
      </c>
      <c r="I12">
        <v>116</v>
      </c>
      <c r="J12">
        <v>117</v>
      </c>
      <c r="K12">
        <v>118</v>
      </c>
      <c r="L12">
        <v>119</v>
      </c>
    </row>
    <row r="13" spans="1:12">
      <c r="A13">
        <v>120</v>
      </c>
      <c r="B13">
        <v>121</v>
      </c>
      <c r="C13">
        <v>122</v>
      </c>
      <c r="D13">
        <v>123</v>
      </c>
      <c r="E13">
        <v>124</v>
      </c>
      <c r="F13">
        <v>125</v>
      </c>
      <c r="G13">
        <v>126</v>
      </c>
      <c r="H13">
        <v>127</v>
      </c>
      <c r="I13">
        <v>128</v>
      </c>
      <c r="J13">
        <v>129</v>
      </c>
      <c r="K13">
        <v>130</v>
      </c>
      <c r="L13">
        <v>131</v>
      </c>
    </row>
    <row r="14" spans="1:12">
      <c r="A14">
        <v>132</v>
      </c>
      <c r="B14">
        <v>133</v>
      </c>
      <c r="C14">
        <v>134</v>
      </c>
      <c r="D14">
        <v>135</v>
      </c>
      <c r="E14">
        <v>136</v>
      </c>
      <c r="F14">
        <v>137</v>
      </c>
      <c r="G14">
        <v>138</v>
      </c>
      <c r="H14">
        <v>139</v>
      </c>
      <c r="I14">
        <v>140</v>
      </c>
      <c r="J14">
        <v>141</v>
      </c>
      <c r="K14">
        <v>142</v>
      </c>
      <c r="L14">
        <v>143</v>
      </c>
    </row>
    <row r="15" spans="1:12">
      <c r="A15">
        <v>144</v>
      </c>
      <c r="B15">
        <v>145</v>
      </c>
      <c r="C15">
        <v>146</v>
      </c>
      <c r="D15">
        <v>147</v>
      </c>
      <c r="E15">
        <v>148</v>
      </c>
      <c r="F15">
        <v>149</v>
      </c>
      <c r="G15">
        <v>150</v>
      </c>
      <c r="H15">
        <v>151</v>
      </c>
      <c r="I15">
        <v>152</v>
      </c>
      <c r="J15">
        <v>153</v>
      </c>
      <c r="K15">
        <v>154</v>
      </c>
      <c r="L15">
        <v>155</v>
      </c>
    </row>
    <row r="16" spans="1:12">
      <c r="A16">
        <v>156</v>
      </c>
      <c r="B16">
        <v>157</v>
      </c>
      <c r="C16">
        <v>158</v>
      </c>
      <c r="D16">
        <v>159</v>
      </c>
      <c r="E16">
        <v>160</v>
      </c>
      <c r="F16">
        <v>161</v>
      </c>
      <c r="G16">
        <v>162</v>
      </c>
      <c r="H16">
        <v>163</v>
      </c>
      <c r="I16">
        <v>164</v>
      </c>
      <c r="J16">
        <v>165</v>
      </c>
      <c r="K16">
        <v>166</v>
      </c>
      <c r="L16">
        <v>167</v>
      </c>
    </row>
    <row r="17" spans="1:12">
      <c r="A17">
        <v>168</v>
      </c>
      <c r="B17">
        <v>169</v>
      </c>
      <c r="C17">
        <v>170</v>
      </c>
      <c r="D17">
        <v>171</v>
      </c>
      <c r="E17">
        <v>172</v>
      </c>
      <c r="F17">
        <v>173</v>
      </c>
      <c r="G17">
        <v>174</v>
      </c>
      <c r="H17">
        <v>175</v>
      </c>
      <c r="I17">
        <v>176</v>
      </c>
      <c r="J17">
        <v>177</v>
      </c>
      <c r="K17">
        <v>178</v>
      </c>
      <c r="L17">
        <v>179</v>
      </c>
    </row>
    <row r="18" spans="1:12">
      <c r="A18">
        <v>180</v>
      </c>
      <c r="B18">
        <v>181</v>
      </c>
      <c r="C18">
        <v>182</v>
      </c>
      <c r="D18">
        <v>183</v>
      </c>
      <c r="E18">
        <v>184</v>
      </c>
      <c r="F18">
        <v>185</v>
      </c>
      <c r="G18">
        <v>186</v>
      </c>
      <c r="H18">
        <v>187</v>
      </c>
      <c r="I18">
        <v>188</v>
      </c>
      <c r="J18">
        <v>189</v>
      </c>
      <c r="K18">
        <v>190</v>
      </c>
      <c r="L18">
        <v>191</v>
      </c>
    </row>
    <row r="19" spans="1:12">
      <c r="A19">
        <v>192</v>
      </c>
      <c r="B19">
        <v>193</v>
      </c>
      <c r="C19">
        <v>194</v>
      </c>
      <c r="D19">
        <v>195</v>
      </c>
      <c r="E19">
        <v>196</v>
      </c>
      <c r="F19">
        <v>197</v>
      </c>
      <c r="G19">
        <v>198</v>
      </c>
      <c r="H19">
        <v>199</v>
      </c>
      <c r="I19">
        <v>200</v>
      </c>
      <c r="J19">
        <v>201</v>
      </c>
      <c r="K19">
        <v>202</v>
      </c>
      <c r="L19">
        <v>203</v>
      </c>
    </row>
    <row r="20" spans="1:12">
      <c r="A20">
        <v>204</v>
      </c>
      <c r="B20">
        <v>205</v>
      </c>
      <c r="C20">
        <v>206</v>
      </c>
      <c r="D20">
        <v>207</v>
      </c>
      <c r="E20">
        <v>208</v>
      </c>
      <c r="F20">
        <v>209</v>
      </c>
      <c r="G20">
        <v>210</v>
      </c>
      <c r="H20">
        <v>211</v>
      </c>
      <c r="I20">
        <v>212</v>
      </c>
      <c r="J20">
        <v>213</v>
      </c>
      <c r="K20">
        <v>214</v>
      </c>
      <c r="L20">
        <v>215</v>
      </c>
    </row>
    <row r="21" spans="1:12">
      <c r="A21">
        <v>216</v>
      </c>
      <c r="B21">
        <v>217</v>
      </c>
      <c r="C21">
        <v>218</v>
      </c>
      <c r="D21">
        <v>219</v>
      </c>
      <c r="E21">
        <v>220</v>
      </c>
      <c r="F21">
        <v>221</v>
      </c>
      <c r="G21">
        <v>222</v>
      </c>
      <c r="H21">
        <v>223</v>
      </c>
      <c r="I21">
        <v>224</v>
      </c>
      <c r="J21">
        <v>225</v>
      </c>
      <c r="K21">
        <v>226</v>
      </c>
      <c r="L21">
        <v>227</v>
      </c>
    </row>
    <row r="22" spans="1:12">
      <c r="A22">
        <v>228</v>
      </c>
      <c r="B22">
        <v>229</v>
      </c>
      <c r="C22">
        <v>230</v>
      </c>
      <c r="D22">
        <v>231</v>
      </c>
      <c r="E22">
        <v>232</v>
      </c>
      <c r="F22">
        <v>233</v>
      </c>
      <c r="G22">
        <v>234</v>
      </c>
      <c r="H22">
        <v>235</v>
      </c>
      <c r="I22">
        <v>236</v>
      </c>
      <c r="J22">
        <v>237</v>
      </c>
      <c r="K22">
        <v>238</v>
      </c>
      <c r="L22">
        <v>239</v>
      </c>
    </row>
    <row r="23" spans="1:12">
      <c r="A23">
        <v>240</v>
      </c>
      <c r="B23">
        <v>241</v>
      </c>
      <c r="C23">
        <v>242</v>
      </c>
      <c r="D23">
        <v>243</v>
      </c>
      <c r="E23">
        <v>244</v>
      </c>
      <c r="F23">
        <v>245</v>
      </c>
      <c r="G23">
        <v>246</v>
      </c>
      <c r="H23">
        <v>247</v>
      </c>
      <c r="I23">
        <v>248</v>
      </c>
      <c r="J23">
        <v>249</v>
      </c>
      <c r="K23">
        <v>250</v>
      </c>
      <c r="L23">
        <v>251</v>
      </c>
    </row>
    <row r="24" spans="1:12">
      <c r="A24">
        <v>252</v>
      </c>
      <c r="B24">
        <v>253</v>
      </c>
      <c r="C24">
        <v>254</v>
      </c>
      <c r="D24">
        <v>255</v>
      </c>
      <c r="E24">
        <v>256</v>
      </c>
      <c r="F24">
        <v>257</v>
      </c>
      <c r="G24">
        <v>258</v>
      </c>
      <c r="H24">
        <v>259</v>
      </c>
      <c r="I24">
        <v>260</v>
      </c>
      <c r="J24">
        <v>261</v>
      </c>
      <c r="K24">
        <v>262</v>
      </c>
      <c r="L24">
        <v>263</v>
      </c>
    </row>
    <row r="25" spans="1:12">
      <c r="A25">
        <v>264</v>
      </c>
      <c r="B25">
        <v>265</v>
      </c>
      <c r="C25">
        <v>266</v>
      </c>
      <c r="D25">
        <v>267</v>
      </c>
      <c r="E25">
        <v>268</v>
      </c>
      <c r="F25">
        <v>269</v>
      </c>
      <c r="G25">
        <v>270</v>
      </c>
      <c r="H25">
        <v>271</v>
      </c>
      <c r="I25">
        <v>272</v>
      </c>
      <c r="J25">
        <v>273</v>
      </c>
      <c r="K25">
        <v>274</v>
      </c>
      <c r="L25">
        <v>275</v>
      </c>
    </row>
    <row r="26" spans="1:12">
      <c r="A26">
        <v>276</v>
      </c>
      <c r="B26">
        <v>277</v>
      </c>
      <c r="C26">
        <v>278</v>
      </c>
      <c r="D26">
        <v>279</v>
      </c>
      <c r="E26">
        <v>280</v>
      </c>
      <c r="F26">
        <v>281</v>
      </c>
      <c r="G26">
        <v>282</v>
      </c>
      <c r="H26">
        <v>283</v>
      </c>
      <c r="I26">
        <v>284</v>
      </c>
      <c r="J26">
        <v>285</v>
      </c>
      <c r="K26">
        <v>286</v>
      </c>
      <c r="L26">
        <v>287</v>
      </c>
    </row>
    <row r="27" spans="1:12">
      <c r="A27">
        <v>288</v>
      </c>
      <c r="B27">
        <v>289</v>
      </c>
      <c r="C27">
        <v>290</v>
      </c>
      <c r="D27">
        <v>291</v>
      </c>
      <c r="E27">
        <v>292</v>
      </c>
      <c r="F27">
        <v>293</v>
      </c>
      <c r="G27">
        <v>294</v>
      </c>
      <c r="H27">
        <v>295</v>
      </c>
      <c r="I27">
        <v>296</v>
      </c>
      <c r="J27">
        <v>297</v>
      </c>
      <c r="K27">
        <v>298</v>
      </c>
      <c r="L27">
        <v>299</v>
      </c>
    </row>
    <row r="28" spans="1:12">
      <c r="A28">
        <v>300</v>
      </c>
      <c r="B28">
        <v>301</v>
      </c>
      <c r="C28">
        <v>302</v>
      </c>
      <c r="D28">
        <v>303</v>
      </c>
      <c r="E28">
        <v>304</v>
      </c>
      <c r="F28">
        <v>305</v>
      </c>
      <c r="G28">
        <v>306</v>
      </c>
      <c r="H28">
        <v>307</v>
      </c>
      <c r="I28">
        <v>308</v>
      </c>
      <c r="J28">
        <v>309</v>
      </c>
      <c r="K28">
        <v>310</v>
      </c>
      <c r="L28">
        <v>311</v>
      </c>
    </row>
    <row r="29" spans="1:12">
      <c r="A29">
        <v>312</v>
      </c>
      <c r="B29">
        <v>313</v>
      </c>
      <c r="C29">
        <v>314</v>
      </c>
      <c r="D29">
        <v>315</v>
      </c>
      <c r="E29">
        <v>316</v>
      </c>
      <c r="F29">
        <v>317</v>
      </c>
      <c r="G29">
        <v>318</v>
      </c>
      <c r="H29">
        <v>319</v>
      </c>
      <c r="I29">
        <v>320</v>
      </c>
      <c r="J29">
        <v>321</v>
      </c>
      <c r="K29">
        <v>322</v>
      </c>
      <c r="L29">
        <v>323</v>
      </c>
    </row>
    <row r="30" spans="1:12">
      <c r="A30">
        <v>324</v>
      </c>
      <c r="B30">
        <v>325</v>
      </c>
      <c r="C30">
        <v>326</v>
      </c>
      <c r="D30">
        <v>327</v>
      </c>
      <c r="E30">
        <v>328</v>
      </c>
      <c r="F30">
        <v>329</v>
      </c>
      <c r="G30">
        <v>330</v>
      </c>
      <c r="H30">
        <v>331</v>
      </c>
      <c r="I30">
        <v>332</v>
      </c>
      <c r="J30">
        <v>333</v>
      </c>
      <c r="K30">
        <v>334</v>
      </c>
      <c r="L30">
        <v>335</v>
      </c>
    </row>
    <row r="31" spans="1:12">
      <c r="A31">
        <v>336</v>
      </c>
      <c r="B31">
        <v>337</v>
      </c>
      <c r="C31">
        <v>338</v>
      </c>
      <c r="D31">
        <v>339</v>
      </c>
      <c r="E31">
        <v>340</v>
      </c>
      <c r="F31">
        <v>341</v>
      </c>
      <c r="G31">
        <v>342</v>
      </c>
      <c r="H31">
        <v>343</v>
      </c>
      <c r="I31">
        <v>344</v>
      </c>
      <c r="J31">
        <v>345</v>
      </c>
      <c r="K31">
        <v>346</v>
      </c>
      <c r="L31">
        <v>347</v>
      </c>
    </row>
    <row r="32" spans="1:12">
      <c r="A32">
        <v>348</v>
      </c>
      <c r="B32">
        <v>349</v>
      </c>
      <c r="C32">
        <v>350</v>
      </c>
      <c r="D32">
        <v>351</v>
      </c>
      <c r="E32">
        <v>352</v>
      </c>
      <c r="F32">
        <v>353</v>
      </c>
      <c r="G32">
        <v>354</v>
      </c>
      <c r="H32">
        <v>355</v>
      </c>
      <c r="I32">
        <v>356</v>
      </c>
      <c r="J32">
        <v>357</v>
      </c>
      <c r="K32">
        <v>358</v>
      </c>
      <c r="L32">
        <v>359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643AFD-B36A-4979-B85A-B661F5588C31}">
  <sheetPr>
    <pageSetUpPr autoPageBreaks="0"/>
  </sheetPr>
  <dimension ref="A1:Q24"/>
  <sheetViews>
    <sheetView topLeftCell="A4" zoomScaleNormal="100" workbookViewId="0">
      <selection sqref="A1:XFD1"/>
    </sheetView>
  </sheetViews>
  <sheetFormatPr defaultColWidth="9" defaultRowHeight="12.75"/>
  <cols>
    <col min="1" max="17" width="15.28515625" customWidth="1"/>
  </cols>
  <sheetData>
    <row r="1" spans="1:17" s="61" customFormat="1" ht="23.25" customHeight="1">
      <c r="A1" s="60">
        <v>360</v>
      </c>
      <c r="B1" s="60">
        <v>720</v>
      </c>
      <c r="C1" s="60">
        <v>1080</v>
      </c>
      <c r="D1" s="60">
        <v>1440</v>
      </c>
      <c r="E1" s="60">
        <v>1800</v>
      </c>
      <c r="F1" s="60">
        <v>2160</v>
      </c>
      <c r="G1" s="60">
        <v>2520</v>
      </c>
      <c r="H1" s="60">
        <v>2880</v>
      </c>
      <c r="I1" s="60">
        <v>3240</v>
      </c>
      <c r="J1" s="60">
        <v>3600</v>
      </c>
      <c r="K1" s="60">
        <v>3960</v>
      </c>
      <c r="L1" s="60">
        <v>4320</v>
      </c>
      <c r="M1" s="60">
        <v>4680</v>
      </c>
      <c r="N1" s="60">
        <v>5040</v>
      </c>
      <c r="O1" s="60">
        <v>5400</v>
      </c>
      <c r="P1" s="60">
        <v>5760</v>
      </c>
      <c r="Q1" s="60">
        <v>6120</v>
      </c>
    </row>
    <row r="2" spans="1:17" ht="23.25" customHeight="1">
      <c r="A2" s="59">
        <v>345</v>
      </c>
      <c r="B2" s="59">
        <v>705</v>
      </c>
      <c r="C2" s="59">
        <v>1065</v>
      </c>
      <c r="D2" s="59">
        <v>1425</v>
      </c>
      <c r="E2" s="59">
        <v>1785</v>
      </c>
      <c r="F2" s="59">
        <v>2145</v>
      </c>
      <c r="G2" s="59">
        <v>2505</v>
      </c>
      <c r="H2" s="59">
        <v>2865</v>
      </c>
      <c r="I2" s="59">
        <v>3225</v>
      </c>
      <c r="J2" s="59">
        <v>3585</v>
      </c>
      <c r="K2" s="59">
        <v>3945</v>
      </c>
      <c r="L2" s="59">
        <v>4305</v>
      </c>
      <c r="M2" s="59">
        <v>4665</v>
      </c>
      <c r="N2" s="59">
        <v>5025</v>
      </c>
      <c r="O2" s="59">
        <v>5385</v>
      </c>
      <c r="P2" s="59">
        <v>5745</v>
      </c>
      <c r="Q2" s="59">
        <v>6105</v>
      </c>
    </row>
    <row r="3" spans="1:17" ht="23.25" customHeight="1">
      <c r="A3" s="59">
        <v>330</v>
      </c>
      <c r="B3" s="59">
        <v>690</v>
      </c>
      <c r="C3" s="59">
        <v>1050</v>
      </c>
      <c r="D3" s="59">
        <v>1410</v>
      </c>
      <c r="E3" s="59">
        <v>1770</v>
      </c>
      <c r="F3" s="59">
        <v>2130</v>
      </c>
      <c r="G3" s="59">
        <v>2490</v>
      </c>
      <c r="H3" s="59">
        <v>2850</v>
      </c>
      <c r="I3" s="59">
        <v>3210</v>
      </c>
      <c r="J3" s="59">
        <v>3570</v>
      </c>
      <c r="K3" s="59">
        <v>3930</v>
      </c>
      <c r="L3" s="59">
        <v>4290</v>
      </c>
      <c r="M3" s="59">
        <v>4650</v>
      </c>
      <c r="N3" s="59">
        <v>5010</v>
      </c>
      <c r="O3" s="59">
        <v>5370</v>
      </c>
      <c r="P3" s="59">
        <v>5730</v>
      </c>
      <c r="Q3" s="59">
        <v>6090</v>
      </c>
    </row>
    <row r="4" spans="1:17" s="61" customFormat="1" ht="23.25" customHeight="1">
      <c r="A4" s="60">
        <v>315</v>
      </c>
      <c r="B4" s="60">
        <v>675</v>
      </c>
      <c r="C4" s="60">
        <v>1035</v>
      </c>
      <c r="D4" s="60">
        <v>1395</v>
      </c>
      <c r="E4" s="60">
        <v>1755</v>
      </c>
      <c r="F4" s="60">
        <v>2115</v>
      </c>
      <c r="G4" s="60">
        <v>2475</v>
      </c>
      <c r="H4" s="60">
        <v>2835</v>
      </c>
      <c r="I4" s="60">
        <v>3195</v>
      </c>
      <c r="J4" s="60">
        <v>3555</v>
      </c>
      <c r="K4" s="60">
        <v>3915</v>
      </c>
      <c r="L4" s="60">
        <v>4275</v>
      </c>
      <c r="M4" s="60">
        <v>4635</v>
      </c>
      <c r="N4" s="60">
        <v>4995</v>
      </c>
      <c r="O4" s="60">
        <v>5355</v>
      </c>
      <c r="P4" s="60">
        <v>5715</v>
      </c>
      <c r="Q4" s="60">
        <v>6075</v>
      </c>
    </row>
    <row r="5" spans="1:17" ht="23.25" customHeight="1">
      <c r="A5" s="59">
        <v>300</v>
      </c>
      <c r="B5" s="59">
        <v>660</v>
      </c>
      <c r="C5" s="59">
        <v>1020</v>
      </c>
      <c r="D5" s="59">
        <v>1380</v>
      </c>
      <c r="E5" s="59">
        <v>1740</v>
      </c>
      <c r="F5" s="59">
        <v>2100</v>
      </c>
      <c r="G5" s="59">
        <v>2460</v>
      </c>
      <c r="H5" s="59">
        <v>2820</v>
      </c>
      <c r="I5" s="59">
        <v>3180</v>
      </c>
      <c r="J5" s="59">
        <v>3540</v>
      </c>
      <c r="K5" s="59">
        <v>3900</v>
      </c>
      <c r="L5" s="59">
        <v>4260</v>
      </c>
      <c r="M5" s="59">
        <v>4620</v>
      </c>
      <c r="N5" s="59">
        <v>4980</v>
      </c>
      <c r="O5" s="59">
        <v>5340</v>
      </c>
      <c r="P5" s="59">
        <v>5700</v>
      </c>
      <c r="Q5" s="59">
        <v>6060</v>
      </c>
    </row>
    <row r="6" spans="1:17" ht="23.25" customHeight="1">
      <c r="A6" s="59">
        <v>285</v>
      </c>
      <c r="B6" s="59">
        <v>645</v>
      </c>
      <c r="C6" s="59">
        <v>1005</v>
      </c>
      <c r="D6" s="59">
        <v>1365</v>
      </c>
      <c r="E6" s="59">
        <v>1725</v>
      </c>
      <c r="F6" s="59">
        <v>2085</v>
      </c>
      <c r="G6" s="59">
        <v>2445</v>
      </c>
      <c r="H6" s="59">
        <v>2805</v>
      </c>
      <c r="I6" s="59">
        <v>3165</v>
      </c>
      <c r="J6" s="59">
        <v>3525</v>
      </c>
      <c r="K6" s="59">
        <v>3885</v>
      </c>
      <c r="L6" s="59">
        <v>4245</v>
      </c>
      <c r="M6" s="59">
        <v>4605</v>
      </c>
      <c r="N6" s="59">
        <v>4965</v>
      </c>
      <c r="O6" s="59">
        <v>5325</v>
      </c>
      <c r="P6" s="59">
        <v>5685</v>
      </c>
      <c r="Q6" s="59">
        <v>6045</v>
      </c>
    </row>
    <row r="7" spans="1:17" s="61" customFormat="1" ht="23.25" customHeight="1">
      <c r="A7" s="60">
        <v>270</v>
      </c>
      <c r="B7" s="60">
        <v>630</v>
      </c>
      <c r="C7" s="60">
        <v>990</v>
      </c>
      <c r="D7" s="60">
        <v>1350</v>
      </c>
      <c r="E7" s="60">
        <v>1710</v>
      </c>
      <c r="F7" s="60">
        <v>2070</v>
      </c>
      <c r="G7" s="60">
        <v>2430</v>
      </c>
      <c r="H7" s="60">
        <v>2790</v>
      </c>
      <c r="I7" s="60">
        <v>3150</v>
      </c>
      <c r="J7" s="60">
        <v>3510</v>
      </c>
      <c r="K7" s="60">
        <v>3870</v>
      </c>
      <c r="L7" s="60">
        <v>4230</v>
      </c>
      <c r="M7" s="60">
        <v>4590</v>
      </c>
      <c r="N7" s="60">
        <v>4950</v>
      </c>
      <c r="O7" s="60">
        <v>5310</v>
      </c>
      <c r="P7" s="60">
        <v>5670</v>
      </c>
      <c r="Q7" s="60">
        <v>6030</v>
      </c>
    </row>
    <row r="8" spans="1:17" ht="23.25" customHeight="1">
      <c r="A8" s="59">
        <v>255</v>
      </c>
      <c r="B8" s="59">
        <v>615</v>
      </c>
      <c r="C8" s="59">
        <v>975</v>
      </c>
      <c r="D8" s="59">
        <v>1335</v>
      </c>
      <c r="E8" s="59">
        <v>1695</v>
      </c>
      <c r="F8" s="59">
        <v>2055</v>
      </c>
      <c r="G8" s="59">
        <v>2415</v>
      </c>
      <c r="H8" s="59">
        <v>2775</v>
      </c>
      <c r="I8" s="59">
        <v>3135</v>
      </c>
      <c r="J8" s="59">
        <v>3495</v>
      </c>
      <c r="K8" s="59">
        <v>3855</v>
      </c>
      <c r="L8" s="59">
        <v>4215</v>
      </c>
      <c r="M8" s="59">
        <v>4575</v>
      </c>
      <c r="N8" s="59">
        <v>4935</v>
      </c>
      <c r="O8" s="59">
        <v>5295</v>
      </c>
      <c r="P8" s="59">
        <v>5655</v>
      </c>
      <c r="Q8" s="59">
        <v>6015</v>
      </c>
    </row>
    <row r="9" spans="1:17" ht="23.25" customHeight="1">
      <c r="A9" s="59">
        <v>240</v>
      </c>
      <c r="B9" s="59">
        <v>600</v>
      </c>
      <c r="C9" s="59">
        <v>960</v>
      </c>
      <c r="D9" s="59">
        <v>1320</v>
      </c>
      <c r="E9" s="59">
        <v>1680</v>
      </c>
      <c r="F9" s="59">
        <v>2040</v>
      </c>
      <c r="G9" s="59">
        <v>2400</v>
      </c>
      <c r="H9" s="59">
        <v>2760</v>
      </c>
      <c r="I9" s="59">
        <v>3120</v>
      </c>
      <c r="J9" s="59">
        <v>3480</v>
      </c>
      <c r="K9" s="59">
        <v>3840</v>
      </c>
      <c r="L9" s="59">
        <v>4200</v>
      </c>
      <c r="M9" s="59">
        <v>4560</v>
      </c>
      <c r="N9" s="59">
        <v>4920</v>
      </c>
      <c r="O9" s="59">
        <v>5280</v>
      </c>
      <c r="P9" s="59">
        <v>5640</v>
      </c>
      <c r="Q9" s="59">
        <v>6000</v>
      </c>
    </row>
    <row r="10" spans="1:17" s="61" customFormat="1" ht="23.25" customHeight="1">
      <c r="A10" s="60">
        <v>225</v>
      </c>
      <c r="B10" s="60">
        <v>585</v>
      </c>
      <c r="C10" s="60">
        <v>945</v>
      </c>
      <c r="D10" s="60">
        <v>1305</v>
      </c>
      <c r="E10" s="60">
        <v>1665</v>
      </c>
      <c r="F10" s="60">
        <v>2025</v>
      </c>
      <c r="G10" s="60">
        <v>2385</v>
      </c>
      <c r="H10" s="60">
        <v>2745</v>
      </c>
      <c r="I10" s="60">
        <v>3105</v>
      </c>
      <c r="J10" s="60">
        <v>3465</v>
      </c>
      <c r="K10" s="60">
        <v>3825</v>
      </c>
      <c r="L10" s="60">
        <v>4185</v>
      </c>
      <c r="M10" s="60">
        <v>4545</v>
      </c>
      <c r="N10" s="60">
        <v>4905</v>
      </c>
      <c r="O10" s="60">
        <v>5265</v>
      </c>
      <c r="P10" s="60">
        <v>5625</v>
      </c>
      <c r="Q10" s="60">
        <v>5985</v>
      </c>
    </row>
    <row r="11" spans="1:17" ht="23.25" customHeight="1">
      <c r="A11" s="59">
        <v>210</v>
      </c>
      <c r="B11" s="59">
        <v>570</v>
      </c>
      <c r="C11" s="59">
        <v>930</v>
      </c>
      <c r="D11" s="59">
        <v>1290</v>
      </c>
      <c r="E11" s="59">
        <v>1650</v>
      </c>
      <c r="F11" s="59">
        <v>2010</v>
      </c>
      <c r="G11" s="59">
        <v>2370</v>
      </c>
      <c r="H11" s="59">
        <v>2730</v>
      </c>
      <c r="I11" s="59">
        <v>3090</v>
      </c>
      <c r="J11" s="59">
        <v>3450</v>
      </c>
      <c r="K11" s="59">
        <v>3810</v>
      </c>
      <c r="L11" s="59">
        <v>4170</v>
      </c>
      <c r="M11" s="59">
        <v>4530</v>
      </c>
      <c r="N11" s="59">
        <v>4890</v>
      </c>
      <c r="O11" s="59">
        <v>5250</v>
      </c>
      <c r="P11" s="59">
        <v>5610</v>
      </c>
      <c r="Q11" s="59">
        <v>5970</v>
      </c>
    </row>
    <row r="12" spans="1:17" ht="23.25" customHeight="1">
      <c r="A12" s="59">
        <v>195</v>
      </c>
      <c r="B12" s="59">
        <v>555</v>
      </c>
      <c r="C12" s="59">
        <v>915</v>
      </c>
      <c r="D12" s="59">
        <v>1275</v>
      </c>
      <c r="E12" s="59">
        <v>1635</v>
      </c>
      <c r="F12" s="59">
        <v>1995</v>
      </c>
      <c r="G12" s="59">
        <v>2355</v>
      </c>
      <c r="H12" s="59">
        <v>2715</v>
      </c>
      <c r="I12" s="59">
        <v>3075</v>
      </c>
      <c r="J12" s="59">
        <v>3435</v>
      </c>
      <c r="K12" s="59">
        <v>3795</v>
      </c>
      <c r="L12" s="59">
        <v>4155</v>
      </c>
      <c r="M12" s="59">
        <v>4515</v>
      </c>
      <c r="N12" s="59">
        <v>4875</v>
      </c>
      <c r="O12" s="59">
        <v>5235</v>
      </c>
      <c r="P12" s="59">
        <v>5595</v>
      </c>
      <c r="Q12" s="59">
        <v>5955</v>
      </c>
    </row>
    <row r="13" spans="1:17" s="61" customFormat="1" ht="23.25" customHeight="1">
      <c r="A13" s="60">
        <v>180</v>
      </c>
      <c r="B13" s="60">
        <v>540</v>
      </c>
      <c r="C13" s="60">
        <v>900</v>
      </c>
      <c r="D13" s="60">
        <v>1260</v>
      </c>
      <c r="E13" s="60">
        <v>1620</v>
      </c>
      <c r="F13" s="60">
        <v>1980</v>
      </c>
      <c r="G13" s="60">
        <v>2340</v>
      </c>
      <c r="H13" s="60">
        <v>2700</v>
      </c>
      <c r="I13" s="60">
        <v>3060</v>
      </c>
      <c r="J13" s="60">
        <v>3420</v>
      </c>
      <c r="K13" s="60">
        <v>3780</v>
      </c>
      <c r="L13" s="60">
        <v>4140</v>
      </c>
      <c r="M13" s="60">
        <v>4500</v>
      </c>
      <c r="N13" s="60">
        <v>4860</v>
      </c>
      <c r="O13" s="60">
        <v>5220</v>
      </c>
      <c r="P13" s="60">
        <v>5580</v>
      </c>
      <c r="Q13" s="60">
        <v>5940</v>
      </c>
    </row>
    <row r="14" spans="1:17" ht="23.25" customHeight="1">
      <c r="A14" s="59">
        <v>165</v>
      </c>
      <c r="B14" s="59">
        <v>525</v>
      </c>
      <c r="C14" s="59">
        <v>885</v>
      </c>
      <c r="D14" s="59">
        <v>1245</v>
      </c>
      <c r="E14" s="59">
        <v>1605</v>
      </c>
      <c r="F14" s="59">
        <v>1965</v>
      </c>
      <c r="G14" s="59">
        <v>2325</v>
      </c>
      <c r="H14" s="59">
        <v>2685</v>
      </c>
      <c r="I14" s="59">
        <v>3045</v>
      </c>
      <c r="J14" s="59">
        <v>3405</v>
      </c>
      <c r="K14" s="59">
        <v>3765</v>
      </c>
      <c r="L14" s="59">
        <v>4125</v>
      </c>
      <c r="M14" s="59">
        <v>4485</v>
      </c>
      <c r="N14" s="59">
        <v>4845</v>
      </c>
      <c r="O14" s="59">
        <v>5205</v>
      </c>
      <c r="P14" s="59">
        <v>5565</v>
      </c>
      <c r="Q14" s="59">
        <v>5925</v>
      </c>
    </row>
    <row r="15" spans="1:17" ht="23.25" customHeight="1">
      <c r="A15" s="59">
        <v>150</v>
      </c>
      <c r="B15" s="59">
        <v>510</v>
      </c>
      <c r="C15" s="59">
        <v>870</v>
      </c>
      <c r="D15" s="59">
        <v>1230</v>
      </c>
      <c r="E15" s="59">
        <v>1590</v>
      </c>
      <c r="F15" s="59">
        <v>1950</v>
      </c>
      <c r="G15" s="59">
        <v>2310</v>
      </c>
      <c r="H15" s="59">
        <v>2670</v>
      </c>
      <c r="I15" s="59">
        <v>3030</v>
      </c>
      <c r="J15" s="59">
        <v>3390</v>
      </c>
      <c r="K15" s="59">
        <v>3750</v>
      </c>
      <c r="L15" s="59">
        <v>4110</v>
      </c>
      <c r="M15" s="59">
        <v>4470</v>
      </c>
      <c r="N15" s="59">
        <v>4830</v>
      </c>
      <c r="O15" s="59">
        <v>5190</v>
      </c>
      <c r="P15" s="59">
        <v>5550</v>
      </c>
      <c r="Q15" s="59">
        <v>5910</v>
      </c>
    </row>
    <row r="16" spans="1:17" s="61" customFormat="1" ht="23.25" customHeight="1">
      <c r="A16" s="60">
        <v>135</v>
      </c>
      <c r="B16" s="60">
        <v>495</v>
      </c>
      <c r="C16" s="60">
        <v>855</v>
      </c>
      <c r="D16" s="60">
        <v>1215</v>
      </c>
      <c r="E16" s="60">
        <v>1575</v>
      </c>
      <c r="F16" s="60">
        <v>1935</v>
      </c>
      <c r="G16" s="60">
        <v>2295</v>
      </c>
      <c r="H16" s="60">
        <v>2655</v>
      </c>
      <c r="I16" s="60">
        <v>3015</v>
      </c>
      <c r="J16" s="60">
        <v>3375</v>
      </c>
      <c r="K16" s="60">
        <v>3735</v>
      </c>
      <c r="L16" s="60">
        <v>4095</v>
      </c>
      <c r="M16" s="60">
        <v>4455</v>
      </c>
      <c r="N16" s="60">
        <v>4815</v>
      </c>
      <c r="O16" s="60">
        <v>5175</v>
      </c>
      <c r="P16" s="60">
        <v>5535</v>
      </c>
      <c r="Q16" s="60">
        <v>5895</v>
      </c>
    </row>
    <row r="17" spans="1:17" ht="23.25" customHeight="1">
      <c r="A17" s="59">
        <v>120</v>
      </c>
      <c r="B17" s="59">
        <v>480</v>
      </c>
      <c r="C17" s="59">
        <v>840</v>
      </c>
      <c r="D17" s="59">
        <v>1200</v>
      </c>
      <c r="E17" s="59">
        <v>1560</v>
      </c>
      <c r="F17" s="59">
        <v>1920</v>
      </c>
      <c r="G17" s="59">
        <v>2280</v>
      </c>
      <c r="H17" s="59">
        <v>2640</v>
      </c>
      <c r="I17" s="59">
        <v>3000</v>
      </c>
      <c r="J17" s="59">
        <v>3360</v>
      </c>
      <c r="K17" s="59">
        <v>3720</v>
      </c>
      <c r="L17" s="59">
        <v>4080</v>
      </c>
      <c r="M17" s="59">
        <v>4440</v>
      </c>
      <c r="N17" s="59">
        <v>4800</v>
      </c>
      <c r="O17" s="59">
        <v>5160</v>
      </c>
      <c r="P17" s="59">
        <v>5520</v>
      </c>
      <c r="Q17" s="59">
        <v>5880</v>
      </c>
    </row>
    <row r="18" spans="1:17" ht="23.25" customHeight="1">
      <c r="A18" s="59">
        <v>105</v>
      </c>
      <c r="B18" s="59">
        <v>465</v>
      </c>
      <c r="C18" s="59">
        <v>825</v>
      </c>
      <c r="D18" s="59">
        <v>1185</v>
      </c>
      <c r="E18" s="59">
        <v>1545</v>
      </c>
      <c r="F18" s="59">
        <v>1905</v>
      </c>
      <c r="G18" s="59">
        <v>2265</v>
      </c>
      <c r="H18" s="59">
        <v>2625</v>
      </c>
      <c r="I18" s="59">
        <v>2985</v>
      </c>
      <c r="J18" s="59">
        <v>3345</v>
      </c>
      <c r="K18" s="59">
        <v>3705</v>
      </c>
      <c r="L18" s="59">
        <v>4065</v>
      </c>
      <c r="M18" s="59">
        <v>4425</v>
      </c>
      <c r="N18" s="59">
        <v>4785</v>
      </c>
      <c r="O18" s="59">
        <v>5145</v>
      </c>
      <c r="P18" s="59">
        <v>5505</v>
      </c>
      <c r="Q18" s="59">
        <v>5865</v>
      </c>
    </row>
    <row r="19" spans="1:17" s="61" customFormat="1" ht="23.25" customHeight="1">
      <c r="A19" s="60">
        <v>90</v>
      </c>
      <c r="B19" s="60">
        <v>450</v>
      </c>
      <c r="C19" s="60">
        <v>810</v>
      </c>
      <c r="D19" s="60">
        <v>1170</v>
      </c>
      <c r="E19" s="60">
        <v>1530</v>
      </c>
      <c r="F19" s="60">
        <v>1890</v>
      </c>
      <c r="G19" s="60">
        <v>2250</v>
      </c>
      <c r="H19" s="60">
        <v>2610</v>
      </c>
      <c r="I19" s="60">
        <v>2970</v>
      </c>
      <c r="J19" s="60">
        <v>3330</v>
      </c>
      <c r="K19" s="60">
        <v>3690</v>
      </c>
      <c r="L19" s="60">
        <v>4050</v>
      </c>
      <c r="M19" s="60">
        <v>4410</v>
      </c>
      <c r="N19" s="60">
        <v>4770</v>
      </c>
      <c r="O19" s="60">
        <v>5130</v>
      </c>
      <c r="P19" s="60">
        <v>5490</v>
      </c>
      <c r="Q19" s="60">
        <v>5850</v>
      </c>
    </row>
    <row r="20" spans="1:17" ht="23.25" customHeight="1">
      <c r="A20" s="59">
        <v>75</v>
      </c>
      <c r="B20" s="59">
        <v>435</v>
      </c>
      <c r="C20" s="59">
        <v>795</v>
      </c>
      <c r="D20" s="59">
        <v>1155</v>
      </c>
      <c r="E20" s="59">
        <v>1515</v>
      </c>
      <c r="F20" s="59">
        <v>1875</v>
      </c>
      <c r="G20" s="59">
        <v>2235</v>
      </c>
      <c r="H20" s="59">
        <v>2595</v>
      </c>
      <c r="I20" s="59">
        <v>2955</v>
      </c>
      <c r="J20" s="59">
        <v>3315</v>
      </c>
      <c r="K20" s="59">
        <v>3675</v>
      </c>
      <c r="L20" s="59">
        <v>4035</v>
      </c>
      <c r="M20" s="59">
        <v>4395</v>
      </c>
      <c r="N20" s="59">
        <v>4755</v>
      </c>
      <c r="O20" s="59">
        <v>5115</v>
      </c>
      <c r="P20" s="59">
        <v>5475</v>
      </c>
      <c r="Q20" s="59">
        <v>5835</v>
      </c>
    </row>
    <row r="21" spans="1:17" ht="23.25" customHeight="1">
      <c r="A21" s="59">
        <v>60</v>
      </c>
      <c r="B21" s="59">
        <v>420</v>
      </c>
      <c r="C21" s="59">
        <v>780</v>
      </c>
      <c r="D21" s="59">
        <v>1140</v>
      </c>
      <c r="E21" s="59">
        <v>1500</v>
      </c>
      <c r="F21" s="59">
        <v>1860</v>
      </c>
      <c r="G21" s="59">
        <v>2220</v>
      </c>
      <c r="H21" s="59">
        <v>2580</v>
      </c>
      <c r="I21" s="59">
        <v>2940</v>
      </c>
      <c r="J21" s="59">
        <v>3300</v>
      </c>
      <c r="K21" s="59">
        <v>3660</v>
      </c>
      <c r="L21" s="59">
        <v>4020</v>
      </c>
      <c r="M21" s="59">
        <v>4380</v>
      </c>
      <c r="N21" s="59">
        <v>4740</v>
      </c>
      <c r="O21" s="59">
        <v>5100</v>
      </c>
      <c r="P21" s="59">
        <v>5460</v>
      </c>
      <c r="Q21" s="59">
        <v>5820</v>
      </c>
    </row>
    <row r="22" spans="1:17" s="61" customFormat="1" ht="23.25" customHeight="1">
      <c r="A22" s="60">
        <v>45</v>
      </c>
      <c r="B22" s="60">
        <v>405</v>
      </c>
      <c r="C22" s="60">
        <v>765</v>
      </c>
      <c r="D22" s="60">
        <v>1125</v>
      </c>
      <c r="E22" s="60">
        <v>1485</v>
      </c>
      <c r="F22" s="60">
        <v>1845</v>
      </c>
      <c r="G22" s="60">
        <v>2205</v>
      </c>
      <c r="H22" s="60">
        <v>2565</v>
      </c>
      <c r="I22" s="60">
        <v>2925</v>
      </c>
      <c r="J22" s="60">
        <v>3285</v>
      </c>
      <c r="K22" s="60">
        <v>3645</v>
      </c>
      <c r="L22" s="60">
        <v>4005</v>
      </c>
      <c r="M22" s="60">
        <v>4365</v>
      </c>
      <c r="N22" s="60">
        <v>4725</v>
      </c>
      <c r="O22" s="60">
        <v>5085</v>
      </c>
      <c r="P22" s="60">
        <v>5445</v>
      </c>
      <c r="Q22" s="60">
        <v>5805</v>
      </c>
    </row>
    <row r="23" spans="1:17" ht="23.25" customHeight="1">
      <c r="A23" s="59">
        <v>30</v>
      </c>
      <c r="B23" s="59">
        <v>390</v>
      </c>
      <c r="C23" s="59">
        <v>750</v>
      </c>
      <c r="D23" s="59">
        <v>1110</v>
      </c>
      <c r="E23" s="59">
        <v>1470</v>
      </c>
      <c r="F23" s="59">
        <v>1830</v>
      </c>
      <c r="G23" s="59">
        <v>2190</v>
      </c>
      <c r="H23" s="59">
        <v>2550</v>
      </c>
      <c r="I23" s="59">
        <v>2910</v>
      </c>
      <c r="J23" s="59">
        <v>3270</v>
      </c>
      <c r="K23" s="59">
        <v>3630</v>
      </c>
      <c r="L23" s="59">
        <v>3990</v>
      </c>
      <c r="M23" s="59">
        <v>4350</v>
      </c>
      <c r="N23" s="59">
        <v>4710</v>
      </c>
      <c r="O23" s="59">
        <v>5070</v>
      </c>
      <c r="P23" s="59">
        <v>5430</v>
      </c>
      <c r="Q23" s="59">
        <v>5790</v>
      </c>
    </row>
    <row r="24" spans="1:17" ht="23.25" customHeight="1">
      <c r="A24" s="59">
        <v>15</v>
      </c>
      <c r="B24" s="59">
        <v>375</v>
      </c>
      <c r="C24" s="59">
        <v>735</v>
      </c>
      <c r="D24" s="59">
        <v>1095</v>
      </c>
      <c r="E24" s="59">
        <v>1455</v>
      </c>
      <c r="F24" s="59">
        <v>1815</v>
      </c>
      <c r="G24" s="59">
        <v>2175</v>
      </c>
      <c r="H24" s="59">
        <v>2535</v>
      </c>
      <c r="I24" s="59">
        <v>2895</v>
      </c>
      <c r="J24" s="59">
        <v>3255</v>
      </c>
      <c r="K24" s="59">
        <v>3615</v>
      </c>
      <c r="L24" s="59">
        <v>3975</v>
      </c>
      <c r="M24" s="59">
        <v>4335</v>
      </c>
      <c r="N24" s="59">
        <v>4695</v>
      </c>
      <c r="O24" s="59">
        <v>5055</v>
      </c>
      <c r="P24" s="59">
        <v>5415</v>
      </c>
      <c r="Q24" s="59">
        <v>5775</v>
      </c>
    </row>
  </sheetData>
  <sortState xmlns:xlrd2="http://schemas.microsoft.com/office/spreadsheetml/2017/richdata2" ref="A1:Q24">
    <sortCondition descending="1" ref="A1:A24"/>
  </sortState>
  <pageMargins left="0.7" right="0.7" top="0.75" bottom="0.7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7A3975-0910-4E5D-8B72-DDAA30B11417}">
  <dimension ref="A1:AL49"/>
  <sheetViews>
    <sheetView topLeftCell="A19" zoomScaleNormal="100" workbookViewId="0">
      <selection activeCell="B2" sqref="B2"/>
    </sheetView>
  </sheetViews>
  <sheetFormatPr defaultRowHeight="24" customHeight="1"/>
  <cols>
    <col min="1" max="1" width="9.85546875" customWidth="1"/>
    <col min="2" max="2" width="12.7109375" customWidth="1"/>
    <col min="3" max="26" width="11.28515625" bestFit="1" customWidth="1"/>
    <col min="27" max="28" width="10.140625" bestFit="1" customWidth="1"/>
    <col min="29" max="33" width="11.28515625" bestFit="1" customWidth="1"/>
    <col min="34" max="34" width="10.140625" bestFit="1" customWidth="1"/>
  </cols>
  <sheetData>
    <row r="1" spans="1:38" ht="24" customHeight="1">
      <c r="A1" s="2" t="s">
        <v>0</v>
      </c>
      <c r="B1" s="39">
        <v>44286</v>
      </c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65" t="s">
        <v>1</v>
      </c>
      <c r="Q1" s="66"/>
      <c r="R1" s="66"/>
      <c r="S1" s="66"/>
      <c r="T1" s="66"/>
      <c r="U1" s="4"/>
      <c r="V1" s="4"/>
      <c r="W1" s="4"/>
      <c r="X1" s="4"/>
      <c r="Y1" s="4"/>
      <c r="Z1" s="4"/>
      <c r="AA1" s="4"/>
      <c r="AB1" s="4"/>
      <c r="AC1" s="4"/>
      <c r="AD1" s="5"/>
      <c r="AE1" s="5"/>
      <c r="AF1" s="5" t="s">
        <v>2</v>
      </c>
      <c r="AG1" s="5"/>
      <c r="AH1" s="5"/>
      <c r="AI1" s="4"/>
      <c r="AJ1" s="4"/>
      <c r="AK1" s="4"/>
      <c r="AL1" s="4"/>
    </row>
    <row r="2" spans="1:38" ht="24" customHeight="1">
      <c r="A2" s="2" t="s">
        <v>3</v>
      </c>
      <c r="B2" s="6">
        <v>1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7"/>
      <c r="Q2" s="8"/>
      <c r="R2" s="8"/>
      <c r="S2" s="8"/>
      <c r="T2" s="8"/>
      <c r="U2" s="4"/>
      <c r="V2" s="4"/>
      <c r="W2" s="4"/>
      <c r="X2" s="4"/>
      <c r="Y2" s="4"/>
      <c r="Z2" s="4"/>
      <c r="AA2" s="4"/>
      <c r="AB2" s="4"/>
      <c r="AC2" s="4"/>
      <c r="AD2" s="5"/>
      <c r="AE2" s="5"/>
      <c r="AF2" s="5" t="s">
        <v>4</v>
      </c>
      <c r="AG2" s="5"/>
      <c r="AH2" s="5"/>
      <c r="AI2" s="4"/>
      <c r="AJ2" s="4"/>
      <c r="AK2" s="4"/>
      <c r="AL2" s="4"/>
    </row>
    <row r="3" spans="1:38" ht="24" customHeight="1">
      <c r="A3" s="2" t="s">
        <v>5</v>
      </c>
      <c r="B3" s="6">
        <v>1</v>
      </c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7"/>
      <c r="Q3" s="8"/>
      <c r="R3" s="8"/>
      <c r="S3" s="8"/>
      <c r="T3" s="8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</row>
    <row r="4" spans="1:38" ht="24" customHeight="1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67" t="s">
        <v>6</v>
      </c>
      <c r="R4" s="67"/>
      <c r="S4" s="67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</row>
    <row r="5" spans="1:38" ht="24" customHeight="1">
      <c r="A5" s="9" t="s">
        <v>7</v>
      </c>
      <c r="B5" s="5"/>
      <c r="C5" s="5"/>
      <c r="D5" s="5"/>
      <c r="E5" s="5"/>
      <c r="F5" s="5"/>
      <c r="G5" s="5"/>
      <c r="H5" s="5"/>
      <c r="I5" s="63" t="s">
        <v>8</v>
      </c>
      <c r="J5" s="64"/>
      <c r="K5" s="64"/>
      <c r="L5" s="5"/>
      <c r="M5" s="5"/>
      <c r="N5" s="5"/>
      <c r="O5" s="5"/>
      <c r="P5" s="5"/>
      <c r="Q5" s="63" t="s">
        <v>9</v>
      </c>
      <c r="R5" s="64"/>
      <c r="S5" s="64"/>
      <c r="T5" s="5"/>
      <c r="U5" s="5"/>
      <c r="V5" s="5"/>
      <c r="W5" s="5"/>
      <c r="X5" s="5"/>
      <c r="Y5" s="63" t="s">
        <v>10</v>
      </c>
      <c r="Z5" s="64"/>
      <c r="AA5" s="64"/>
      <c r="AB5" s="5"/>
      <c r="AC5" s="5"/>
      <c r="AD5" s="5"/>
      <c r="AE5" s="5"/>
      <c r="AF5" s="5"/>
      <c r="AG5" s="63" t="s">
        <v>11</v>
      </c>
      <c r="AH5" s="64"/>
      <c r="AI5" s="64"/>
      <c r="AJ5" s="10"/>
      <c r="AK5" s="5"/>
      <c r="AL5" s="5"/>
    </row>
    <row r="6" spans="1:38" ht="24" customHeight="1">
      <c r="A6" s="11" t="s">
        <v>12</v>
      </c>
      <c r="B6" s="5"/>
      <c r="C6" s="5"/>
      <c r="D6" s="5"/>
      <c r="E6" s="5"/>
      <c r="F6" s="5"/>
      <c r="G6" s="5"/>
      <c r="H6" s="5"/>
      <c r="I6" s="68">
        <v>0.4375</v>
      </c>
      <c r="J6" s="69"/>
      <c r="K6" s="69"/>
      <c r="L6" s="5"/>
      <c r="M6" s="5"/>
      <c r="N6" s="5"/>
      <c r="O6" s="5"/>
      <c r="P6" s="5"/>
      <c r="Q6" s="68">
        <v>0.5</v>
      </c>
      <c r="R6" s="69"/>
      <c r="S6" s="69"/>
      <c r="T6" s="5"/>
      <c r="U6" s="5"/>
      <c r="V6" s="5"/>
      <c r="W6" s="5"/>
      <c r="X6" s="5"/>
      <c r="Y6" s="70" t="s">
        <v>13</v>
      </c>
      <c r="Z6" s="69"/>
      <c r="AA6" s="69"/>
      <c r="AB6" s="5"/>
      <c r="AC6" s="5"/>
      <c r="AD6" s="5"/>
      <c r="AE6" s="5"/>
      <c r="AF6" s="5"/>
      <c r="AG6" s="71" t="s">
        <v>14</v>
      </c>
      <c r="AH6" s="64"/>
      <c r="AI6" s="64"/>
      <c r="AJ6" s="10"/>
      <c r="AK6" s="5"/>
      <c r="AL6" s="5"/>
    </row>
    <row r="7" spans="1:38" ht="24" customHeight="1">
      <c r="A7" s="12" t="s">
        <v>15</v>
      </c>
      <c r="B7" s="5"/>
      <c r="C7" s="5"/>
      <c r="D7" s="5"/>
      <c r="E7" s="5"/>
      <c r="F7" s="5"/>
      <c r="G7" s="5"/>
      <c r="H7" s="5"/>
      <c r="I7" s="72" t="s">
        <v>16</v>
      </c>
      <c r="J7" s="73"/>
      <c r="K7" s="73"/>
      <c r="L7" s="5"/>
      <c r="M7" s="5"/>
      <c r="N7" s="5"/>
      <c r="O7" s="5"/>
      <c r="P7" s="5"/>
      <c r="Q7" s="72" t="s">
        <v>17</v>
      </c>
      <c r="R7" s="73"/>
      <c r="S7" s="73"/>
      <c r="T7" s="5"/>
      <c r="U7" s="5"/>
      <c r="V7" s="5"/>
      <c r="W7" s="5"/>
      <c r="X7" s="5"/>
      <c r="Y7" s="72" t="s">
        <v>18</v>
      </c>
      <c r="Z7" s="73"/>
      <c r="AA7" s="73"/>
      <c r="AB7" s="5"/>
      <c r="AC7" s="5"/>
      <c r="AD7" s="5"/>
      <c r="AE7" s="5"/>
      <c r="AF7" s="5"/>
      <c r="AG7" s="67" t="s">
        <v>19</v>
      </c>
      <c r="AH7" s="64"/>
      <c r="AI7" s="64"/>
      <c r="AJ7" s="10"/>
      <c r="AK7" s="5"/>
      <c r="AL7" s="5"/>
    </row>
    <row r="8" spans="1:38" ht="54" customHeight="1">
      <c r="A8" s="13"/>
      <c r="B8" s="40">
        <f>$B$1*$B$2+$B$3*992</f>
        <v>45278</v>
      </c>
      <c r="C8" s="41">
        <f>$B$1*$B$2+$B$3*993</f>
        <v>45279</v>
      </c>
      <c r="D8" s="41">
        <f>$B$1*$B$2+$B$3*994</f>
        <v>45280</v>
      </c>
      <c r="E8" s="41">
        <f>$B$1*$B$2+$B$3*995</f>
        <v>45281</v>
      </c>
      <c r="F8" s="41">
        <f>$B$1*$B$2+$B$3*996</f>
        <v>45282</v>
      </c>
      <c r="G8" s="41">
        <f>$B$1*$B$2+$B$3*997</f>
        <v>45283</v>
      </c>
      <c r="H8" s="41">
        <f>$B$1*$B$2+$B$3*998</f>
        <v>45284</v>
      </c>
      <c r="I8" s="41">
        <f>$B$1*$B$2+$B$3*999</f>
        <v>45285</v>
      </c>
      <c r="J8" s="41">
        <f>$B$1*$B$2+$B$3*1000</f>
        <v>45286</v>
      </c>
      <c r="K8" s="41">
        <f>$B$1*$B$2+$B$3*1001</f>
        <v>45287</v>
      </c>
      <c r="L8" s="41">
        <f>$B$1*$B$2+$B$3*1002</f>
        <v>45288</v>
      </c>
      <c r="M8" s="41">
        <f>$B$1*$B$2+$B$3*1003</f>
        <v>45289</v>
      </c>
      <c r="N8" s="41">
        <f>$B$1*$B$2+$B$3*1004</f>
        <v>45290</v>
      </c>
      <c r="O8" s="41">
        <f>$B$1*$B$2+$B$3*1005</f>
        <v>45291</v>
      </c>
      <c r="P8" s="41">
        <f>$B$1*$B$2+$B$3*1006</f>
        <v>45292</v>
      </c>
      <c r="Q8" s="41">
        <f>$B$1*$B$2+$B$3*1007</f>
        <v>45293</v>
      </c>
      <c r="R8" s="42">
        <f>$B$1*$B$2+$B$3*1008</f>
        <v>45294</v>
      </c>
      <c r="S8" s="41">
        <f>$B$1*$B$2+$B$3*1009</f>
        <v>45295</v>
      </c>
      <c r="T8" s="41">
        <f>$B$1*$B$2+$B$3*1010</f>
        <v>45296</v>
      </c>
      <c r="U8" s="41">
        <f>$B$1*$B$2+$B$3*1011</f>
        <v>45297</v>
      </c>
      <c r="V8" s="41">
        <f>$B$1*$B$2+$B$3*1012</f>
        <v>45298</v>
      </c>
      <c r="W8" s="41">
        <f>$B$1*$B$2+$B$3*1013</f>
        <v>45299</v>
      </c>
      <c r="X8" s="41">
        <f>$B$1*$B$2+$B$3*1014</f>
        <v>45300</v>
      </c>
      <c r="Y8" s="41">
        <f>$B$1*$B$2+$B$3*1015</f>
        <v>45301</v>
      </c>
      <c r="Z8" s="41">
        <f>$B$1*$B$2+$B$3*1016</f>
        <v>45302</v>
      </c>
      <c r="AA8" s="41">
        <f>$B$1*$B$2+$B$3*1017</f>
        <v>45303</v>
      </c>
      <c r="AB8" s="41">
        <f>$B$1*$B$2+$B$3*1018</f>
        <v>45304</v>
      </c>
      <c r="AC8" s="41">
        <f>$B$1*$B$2+$B$3*1019</f>
        <v>45305</v>
      </c>
      <c r="AD8" s="41">
        <f>$B$1*$B$2+$B$3*1020</f>
        <v>45306</v>
      </c>
      <c r="AE8" s="41">
        <f>$B$1*$B$2+$B$3*1021</f>
        <v>45307</v>
      </c>
      <c r="AF8" s="41">
        <f>$B$1*$B$2+$B$3*1022</f>
        <v>45308</v>
      </c>
      <c r="AG8" s="41">
        <f>$B$1*$B$2+$B$3*1023</f>
        <v>45309</v>
      </c>
      <c r="AH8" s="43">
        <f>$B$1*$B$2+$B$3*1024</f>
        <v>45310</v>
      </c>
      <c r="AI8" s="18"/>
      <c r="AJ8" s="4"/>
      <c r="AK8" s="4"/>
      <c r="AL8" s="4"/>
    </row>
    <row r="9" spans="1:38" ht="54" customHeight="1">
      <c r="A9" s="19"/>
      <c r="B9" s="44">
        <f>$B$1*$B$2+$B$3*991</f>
        <v>45277</v>
      </c>
      <c r="C9" s="40">
        <f>$B$1*$B$2+$B$3*870</f>
        <v>45156</v>
      </c>
      <c r="D9" s="41">
        <f>$B$1*$B$2+$B$3*871</f>
        <v>45157</v>
      </c>
      <c r="E9" s="41">
        <f>$B$1*$B$2+$B$3*872</f>
        <v>45158</v>
      </c>
      <c r="F9" s="41">
        <f>$B$1*$B$2+$B$3*873</f>
        <v>45159</v>
      </c>
      <c r="G9" s="41">
        <f>$B$1*$B$2+$B$3*874</f>
        <v>45160</v>
      </c>
      <c r="H9" s="41">
        <f>$B$1*$B$2+$B$3*875</f>
        <v>45161</v>
      </c>
      <c r="I9" s="41">
        <f>$B$1*$B$2+$B$3*876</f>
        <v>45162</v>
      </c>
      <c r="J9" s="41">
        <f>$B$1*$B$2+$B$3*877</f>
        <v>45163</v>
      </c>
      <c r="K9" s="41">
        <f>$B$1*$B$2+$B$3*878</f>
        <v>45164</v>
      </c>
      <c r="L9" s="41">
        <f>$B$1*$B$2+$B$3*879</f>
        <v>45165</v>
      </c>
      <c r="M9" s="41">
        <f>$B$1*$B$2+$B$3*880</f>
        <v>45166</v>
      </c>
      <c r="N9" s="41">
        <f>$B$1*$B$2+$B$3*881</f>
        <v>45167</v>
      </c>
      <c r="O9" s="41">
        <f>$B$1*$B$2+$B$3*882</f>
        <v>45168</v>
      </c>
      <c r="P9" s="41">
        <f>$B$1*$B$2+$B$3*883</f>
        <v>45169</v>
      </c>
      <c r="Q9" s="41">
        <f>$B$1*$B$2+$B$3*884</f>
        <v>45170</v>
      </c>
      <c r="R9" s="42">
        <f>$B$1*$B$2+$B$3*885</f>
        <v>45171</v>
      </c>
      <c r="S9" s="41">
        <f>$B$1*$B$2+$B$3*886</f>
        <v>45172</v>
      </c>
      <c r="T9" s="41">
        <f>$B$1*$B$2+$B$3*887</f>
        <v>45173</v>
      </c>
      <c r="U9" s="41">
        <f>$B$1*$B$2+$B$3*888</f>
        <v>45174</v>
      </c>
      <c r="V9" s="41">
        <f>$B$1*$B$2+$B$3*889</f>
        <v>45175</v>
      </c>
      <c r="W9" s="41">
        <f>$B$1*$B$2+$B$3*890</f>
        <v>45176</v>
      </c>
      <c r="X9" s="41">
        <f>$B$1*$B$2+$B$3*891</f>
        <v>45177</v>
      </c>
      <c r="Y9" s="41">
        <f>$B$1*$B$2+$B$3*892</f>
        <v>45178</v>
      </c>
      <c r="Z9" s="41">
        <f>$B$1*$B$2+$B$3*893</f>
        <v>45179</v>
      </c>
      <c r="AA9" s="41">
        <f>$B$1*$B$2+$B$3*894</f>
        <v>45180</v>
      </c>
      <c r="AB9" s="41">
        <f>$B$1*$B$2+$B$3*895</f>
        <v>45181</v>
      </c>
      <c r="AC9" s="41">
        <f>$B$1*$B$2+$B$3*896</f>
        <v>45182</v>
      </c>
      <c r="AD9" s="41">
        <f>$B$1*$B$2+$B$3*897</f>
        <v>45183</v>
      </c>
      <c r="AE9" s="41">
        <f>$B$1*$B$2+$B$3*898</f>
        <v>45184</v>
      </c>
      <c r="AF9" s="41">
        <f>$B$1*$B$2+$B$3*899</f>
        <v>45185</v>
      </c>
      <c r="AG9" s="43">
        <f>$B$1*$B$2+$B$3*900</f>
        <v>45186</v>
      </c>
      <c r="AH9" s="44">
        <f>$B$1*$B$2+$B$3*1025</f>
        <v>45311</v>
      </c>
      <c r="AI9" s="18"/>
      <c r="AJ9" s="4"/>
      <c r="AK9" s="4"/>
      <c r="AL9" s="4"/>
    </row>
    <row r="10" spans="1:38" ht="54" customHeight="1">
      <c r="A10" s="4"/>
      <c r="B10" s="44">
        <f>$B$1*$B$2+$B$3*990</f>
        <v>45276</v>
      </c>
      <c r="C10" s="44">
        <f>$B$1*$B$2+$B$3*869</f>
        <v>45155</v>
      </c>
      <c r="D10" s="40">
        <f>$B$1*$B$2+$B$3*756</f>
        <v>45042</v>
      </c>
      <c r="E10" s="41">
        <f>$B$1*$B$2+$B$3*757</f>
        <v>45043</v>
      </c>
      <c r="F10" s="41">
        <f>$B$1*$B$2+$B$3*758</f>
        <v>45044</v>
      </c>
      <c r="G10" s="41">
        <f>$B$1*$B$2+$B$3*759</f>
        <v>45045</v>
      </c>
      <c r="H10" s="41">
        <f>$B$1*$B$2+$B$3*760</f>
        <v>45046</v>
      </c>
      <c r="I10" s="41">
        <f>$B$1*$B$2+$B$3*761</f>
        <v>45047</v>
      </c>
      <c r="J10" s="41">
        <f>$B$1*$B$2+$B$3*762</f>
        <v>45048</v>
      </c>
      <c r="K10" s="41">
        <f>$B$1*$B$2+$B$3*763</f>
        <v>45049</v>
      </c>
      <c r="L10" s="41">
        <f>$B$1*$B$2+$B$3*764</f>
        <v>45050</v>
      </c>
      <c r="M10" s="41">
        <f>$B$1*$B$2+$B$3*765</f>
        <v>45051</v>
      </c>
      <c r="N10" s="41">
        <f>$B$1*$B$2+$B$3*766</f>
        <v>45052</v>
      </c>
      <c r="O10" s="41">
        <f>$B$1*$B$2+$B$3*767</f>
        <v>45053</v>
      </c>
      <c r="P10" s="41">
        <f>$B$1*$B$2+$B$3*768</f>
        <v>45054</v>
      </c>
      <c r="Q10" s="41">
        <f>$B$1*$B$2+$B$3*769</f>
        <v>45055</v>
      </c>
      <c r="R10" s="42">
        <f>$B$1*$B$2+$B$3*770</f>
        <v>45056</v>
      </c>
      <c r="S10" s="41">
        <f>$B$1*$B$2+$B$3*771</f>
        <v>45057</v>
      </c>
      <c r="T10" s="41">
        <f>$B$1*$B$2+$B$3*772</f>
        <v>45058</v>
      </c>
      <c r="U10" s="41">
        <f>$B$1*$B$2+$B$3*773</f>
        <v>45059</v>
      </c>
      <c r="V10" s="41">
        <f>$B$1*$B$2+$B$3*774</f>
        <v>45060</v>
      </c>
      <c r="W10" s="41">
        <f>$B$1*$B$2+$B$3*775</f>
        <v>45061</v>
      </c>
      <c r="X10" s="41">
        <f>$B$1*$B$2+$B$3*776</f>
        <v>45062</v>
      </c>
      <c r="Y10" s="41">
        <f>$B$1*$B$2+$B$3*777</f>
        <v>45063</v>
      </c>
      <c r="Z10" s="41">
        <f>$B$1*$B$2+$B$3*778</f>
        <v>45064</v>
      </c>
      <c r="AA10" s="41">
        <f>$B$1*$B$2+$B$3*779</f>
        <v>45065</v>
      </c>
      <c r="AB10" s="41">
        <f>$B$1*$B$2+$B$3*780</f>
        <v>45066</v>
      </c>
      <c r="AC10" s="41">
        <f>$B$1*$B$2+$B$3*781</f>
        <v>45067</v>
      </c>
      <c r="AD10" s="41">
        <f>$B$1*$B$2+$B$3*782</f>
        <v>45068</v>
      </c>
      <c r="AE10" s="41">
        <f>$B$1*$B$2+$B$3*783</f>
        <v>45069</v>
      </c>
      <c r="AF10" s="43">
        <f>$B$1*$B$2+$B$3*784</f>
        <v>45070</v>
      </c>
      <c r="AG10" s="45">
        <f>$B$1*$B$2+$B$3*901</f>
        <v>45187</v>
      </c>
      <c r="AH10" s="44">
        <f>$B$1*$B$2+$B$3*1026</f>
        <v>45312</v>
      </c>
      <c r="AI10" s="4"/>
      <c r="AJ10" s="4"/>
      <c r="AK10" s="4"/>
      <c r="AL10" s="4"/>
    </row>
    <row r="11" spans="1:38" ht="54" customHeight="1">
      <c r="A11" s="4"/>
      <c r="B11" s="44">
        <f>$B$1*$B$2+$B$3*989</f>
        <v>45275</v>
      </c>
      <c r="C11" s="44">
        <f>$B$1*$B$2+$B$3*868</f>
        <v>45154</v>
      </c>
      <c r="D11" s="46">
        <f>$B$1*$B$2+$B$3*755</f>
        <v>45041</v>
      </c>
      <c r="E11" s="40">
        <f>$B$1*$B$2+$B$3*650</f>
        <v>44936</v>
      </c>
      <c r="F11" s="47">
        <f>$B$1*$B$2+$B$3*651</f>
        <v>44937</v>
      </c>
      <c r="G11" s="47">
        <f>$B$1*$B$2+$B$3*652</f>
        <v>44938</v>
      </c>
      <c r="H11" s="47">
        <f>$B$1*$B$2+$B$3*653</f>
        <v>44939</v>
      </c>
      <c r="I11" s="47">
        <f>$B$1*$B$2+$B$3*654</f>
        <v>44940</v>
      </c>
      <c r="J11" s="47">
        <f>$B$1*$B$2+$B$3*655</f>
        <v>44941</v>
      </c>
      <c r="K11" s="47">
        <f>$B$1*$B$2+$B$3*656</f>
        <v>44942</v>
      </c>
      <c r="L11" s="47">
        <f>$B$1*$B$2+$B$3*657</f>
        <v>44943</v>
      </c>
      <c r="M11" s="47">
        <f>$B$1*$B$2+$B$3*658</f>
        <v>44944</v>
      </c>
      <c r="N11" s="47">
        <f>$B$1*$B$2+$B$3*659</f>
        <v>44945</v>
      </c>
      <c r="O11" s="47">
        <f>$B$1*$B$2+$B$3*660</f>
        <v>44946</v>
      </c>
      <c r="P11" s="47">
        <f>$B$1*$B$2+$B$3*661</f>
        <v>44947</v>
      </c>
      <c r="Q11" s="47">
        <f>$B$1*$B$2+$B$3*662</f>
        <v>44948</v>
      </c>
      <c r="R11" s="48">
        <f>$B$1*$B$2+$B$3*663</f>
        <v>44949</v>
      </c>
      <c r="S11" s="47">
        <f>$B$1*$B$2+$B$3*664</f>
        <v>44950</v>
      </c>
      <c r="T11" s="47">
        <f>$B$1*$B$2+$B$3*665</f>
        <v>44951</v>
      </c>
      <c r="U11" s="47">
        <f>$B$1*$B$2+$B$3*666</f>
        <v>44952</v>
      </c>
      <c r="V11" s="47">
        <f>$B$1*$B$2+$B$3*667</f>
        <v>44953</v>
      </c>
      <c r="W11" s="47">
        <f>$B$1*$B$2+$B$3*668</f>
        <v>44954</v>
      </c>
      <c r="X11" s="47">
        <f>$B$1*$B$2+$B$3*669</f>
        <v>44955</v>
      </c>
      <c r="Y11" s="47">
        <f>$B$1*$B$2+$B$3*670</f>
        <v>44956</v>
      </c>
      <c r="Z11" s="47">
        <f>$B$1*$B$2+$B$3*671</f>
        <v>44957</v>
      </c>
      <c r="AA11" s="47">
        <f>$B$1*$B$2+$B$3*672</f>
        <v>44958</v>
      </c>
      <c r="AB11" s="47">
        <f>$B$1*$B$2+$B$3*673</f>
        <v>44959</v>
      </c>
      <c r="AC11" s="47">
        <f>$B$1*$B$2+$B$3*674</f>
        <v>44960</v>
      </c>
      <c r="AD11" s="47">
        <f>$B$1*$B$2+$B$3*675</f>
        <v>44961</v>
      </c>
      <c r="AE11" s="43">
        <f>$B$1*$B$2+$B$3*676</f>
        <v>44962</v>
      </c>
      <c r="AF11" s="45">
        <f>$B$1*$B$2+$B$3*785</f>
        <v>45071</v>
      </c>
      <c r="AG11" s="45">
        <f>$B$1*$B$2+$B$3*902</f>
        <v>45188</v>
      </c>
      <c r="AH11" s="44">
        <f>$B$1*$B$2+$B$3*1027</f>
        <v>45313</v>
      </c>
      <c r="AI11" s="4"/>
      <c r="AJ11" s="4"/>
      <c r="AK11" s="4"/>
      <c r="AL11" s="4"/>
    </row>
    <row r="12" spans="1:38" ht="54" customHeight="1">
      <c r="A12" s="4"/>
      <c r="B12" s="44">
        <f>$B$1*$B$2+$B$3*988</f>
        <v>45274</v>
      </c>
      <c r="C12" s="44">
        <f>$B$1*$B$2+$B$3*867</f>
        <v>45153</v>
      </c>
      <c r="D12" s="46">
        <f>$B$1*$B$2+$B$3*754</f>
        <v>45040</v>
      </c>
      <c r="E12" s="46">
        <f>$B$1*$B$2+$B$3*649</f>
        <v>44935</v>
      </c>
      <c r="F12" s="40">
        <f>$B$1*$B$2+$B$3*552</f>
        <v>44838</v>
      </c>
      <c r="G12" s="47">
        <f>$B$1*$B$2+$B$3*553</f>
        <v>44839</v>
      </c>
      <c r="H12" s="47">
        <f>$B$1*$B$2+$B$3*554</f>
        <v>44840</v>
      </c>
      <c r="I12" s="47">
        <f>$B$1*$B$2+$B$3*555</f>
        <v>44841</v>
      </c>
      <c r="J12" s="47">
        <f>$B$1*$B$2+$B$3*556</f>
        <v>44842</v>
      </c>
      <c r="K12" s="47">
        <f>$B$1*$B$2+$B$3*557</f>
        <v>44843</v>
      </c>
      <c r="L12" s="47">
        <f>$B$1*$B$2+$B$3*558</f>
        <v>44844</v>
      </c>
      <c r="M12" s="47">
        <f>$B$1*$B$2+$B$3*559</f>
        <v>44845</v>
      </c>
      <c r="N12" s="47">
        <f>$B$1*$B$2+$B$3*560</f>
        <v>44846</v>
      </c>
      <c r="O12" s="47">
        <f>$B$1*$B$2+$B$3*561</f>
        <v>44847</v>
      </c>
      <c r="P12" s="47">
        <f>$B$1*$B$2+$B$3*562</f>
        <v>44848</v>
      </c>
      <c r="Q12" s="47">
        <f>$B$1*$B$2+$B$3*563</f>
        <v>44849</v>
      </c>
      <c r="R12" s="48">
        <f>$B$1*$B$2+$B$3*564</f>
        <v>44850</v>
      </c>
      <c r="S12" s="47">
        <f>$B$1*$B$2+$B$3*565</f>
        <v>44851</v>
      </c>
      <c r="T12" s="47">
        <f>$B$1*$B$2+$B$3*566</f>
        <v>44852</v>
      </c>
      <c r="U12" s="47">
        <f>$B$1*$B$2+$B$3*567</f>
        <v>44853</v>
      </c>
      <c r="V12" s="47">
        <f>$B$1*$B$2+$B$3*568</f>
        <v>44854</v>
      </c>
      <c r="W12" s="47">
        <f>$B$1*$B$2+$B$3*569</f>
        <v>44855</v>
      </c>
      <c r="X12" s="41">
        <f>$B$1*$B$2+$B$3*570</f>
        <v>44856</v>
      </c>
      <c r="Y12" s="47">
        <f>$B$1*$B$2+$B$3*571</f>
        <v>44857</v>
      </c>
      <c r="Z12" s="47">
        <f>$B$1*$B$2+$B$3*572</f>
        <v>44858</v>
      </c>
      <c r="AA12" s="47">
        <f>$B$1*$B$2+$B$3*573</f>
        <v>44859</v>
      </c>
      <c r="AB12" s="47">
        <f>$B$1*$B$2+$B$3*574</f>
        <v>44860</v>
      </c>
      <c r="AC12" s="47">
        <f>$B$1*$B$2+$B$3*575</f>
        <v>44861</v>
      </c>
      <c r="AD12" s="43">
        <f>$B$1*$B$2+$B$3*576</f>
        <v>44862</v>
      </c>
      <c r="AE12" s="45">
        <f>$B$1*$B$2+$B$3*677</f>
        <v>44963</v>
      </c>
      <c r="AF12" s="45">
        <f>$B$1*$B$2+$B$3*786</f>
        <v>45072</v>
      </c>
      <c r="AG12" s="45">
        <f>$B$1*$B$2+$B$3*903</f>
        <v>45189</v>
      </c>
      <c r="AH12" s="44">
        <f>$B$1*$B$2+$B$3*1028</f>
        <v>45314</v>
      </c>
      <c r="AI12" s="4"/>
      <c r="AJ12" s="4"/>
      <c r="AK12" s="4"/>
      <c r="AL12" s="4"/>
    </row>
    <row r="13" spans="1:38" ht="54" customHeight="1">
      <c r="A13" s="4"/>
      <c r="B13" s="44">
        <f>$B$1*$B$2+$B$3*987</f>
        <v>45273</v>
      </c>
      <c r="C13" s="44">
        <f>$B$1*$B$2+$B$3*866</f>
        <v>45152</v>
      </c>
      <c r="D13" s="46">
        <f>$B$1*$B$2+$B$3*753</f>
        <v>45039</v>
      </c>
      <c r="E13" s="46">
        <f>$B$1*$B$2+$B$3*648</f>
        <v>44934</v>
      </c>
      <c r="F13" s="46">
        <f>$B$1*$B$2+$B$3*551</f>
        <v>44837</v>
      </c>
      <c r="G13" s="40">
        <f>$B$1*$B$2+$B$3*462</f>
        <v>44748</v>
      </c>
      <c r="H13" s="47">
        <f>$B$1*$B$2+$B$3*463</f>
        <v>44749</v>
      </c>
      <c r="I13" s="47">
        <f>$B$1*$B$2+$B$3*464</f>
        <v>44750</v>
      </c>
      <c r="J13" s="47">
        <f>$B$1*$B$2+$B$3*465</f>
        <v>44751</v>
      </c>
      <c r="K13" s="47">
        <f>$B$1*$B$2+$B$3*466</f>
        <v>44752</v>
      </c>
      <c r="L13" s="47">
        <f>$B$1*$B$2+$B$3*467</f>
        <v>44753</v>
      </c>
      <c r="M13" s="47">
        <f>$B$1*$B$2+$B$3*468</f>
        <v>44754</v>
      </c>
      <c r="N13" s="47">
        <f>$B$1*$B$2+$B$3*469</f>
        <v>44755</v>
      </c>
      <c r="O13" s="47">
        <f>$B$1*$B$2+$B$3*470</f>
        <v>44756</v>
      </c>
      <c r="P13" s="47">
        <f>$B$1*$B$2+$B$3*471</f>
        <v>44757</v>
      </c>
      <c r="Q13" s="47">
        <f>$B$1*$B$2+$B$3*472</f>
        <v>44758</v>
      </c>
      <c r="R13" s="48">
        <f>$B$1*$B$2+$B$3*473</f>
        <v>44759</v>
      </c>
      <c r="S13" s="47">
        <f>$B$1*$B$2+$B$3*474</f>
        <v>44760</v>
      </c>
      <c r="T13" s="47">
        <f>$B$1*$B$2+$B$3*475</f>
        <v>44761</v>
      </c>
      <c r="U13" s="47">
        <f>$B$1*$B$2+$B$3*476</f>
        <v>44762</v>
      </c>
      <c r="V13" s="47">
        <f>$B$1*$B$2+$B$3*477</f>
        <v>44763</v>
      </c>
      <c r="W13" s="47">
        <f>$B$1*$B$2+$B$3*478</f>
        <v>44764</v>
      </c>
      <c r="X13" s="47">
        <f>$B$1*$B$2+$B$3*479</f>
        <v>44765</v>
      </c>
      <c r="Y13" s="47">
        <f>$B$1*$B$2+$B$3*480</f>
        <v>44766</v>
      </c>
      <c r="Z13" s="47">
        <f>$B$1*$B$2+$B$3*481</f>
        <v>44767</v>
      </c>
      <c r="AA13" s="47">
        <f>$B$1*$B$2+$B$3*482</f>
        <v>44768</v>
      </c>
      <c r="AB13" s="47">
        <f>$B$1*$B$2+$B$3*483</f>
        <v>44769</v>
      </c>
      <c r="AC13" s="43">
        <f>$B$1*$B$2+$B$3*484</f>
        <v>44770</v>
      </c>
      <c r="AD13" s="45">
        <f>$B$1*$B$2+$B$3*577</f>
        <v>44863</v>
      </c>
      <c r="AE13" s="45">
        <f>$B$1*$B$2+$B$3*678</f>
        <v>44964</v>
      </c>
      <c r="AF13" s="45">
        <f>$B$1*$B$2+$B$3*787</f>
        <v>45073</v>
      </c>
      <c r="AG13" s="45">
        <f>$B$1*$B$2+$B$3*904</f>
        <v>45190</v>
      </c>
      <c r="AH13" s="44">
        <f>$B$1*$B$2+$B$3*1029</f>
        <v>45315</v>
      </c>
      <c r="AI13" s="4"/>
      <c r="AJ13" s="4"/>
      <c r="AK13" s="4"/>
      <c r="AL13" s="4"/>
    </row>
    <row r="14" spans="1:38" ht="54" customHeight="1">
      <c r="A14" s="4"/>
      <c r="B14" s="44">
        <f>$B$1*$B$2+$B$3*986</f>
        <v>45272</v>
      </c>
      <c r="C14" s="44">
        <f>$B$1*$B$2+$B$3*865</f>
        <v>45151</v>
      </c>
      <c r="D14" s="46">
        <f>$B$1*$B$2+$B$3*752</f>
        <v>45038</v>
      </c>
      <c r="E14" s="46">
        <f>$B$1*$B$2+$B$3*647</f>
        <v>44933</v>
      </c>
      <c r="F14" s="46">
        <f>$B$1*$B$2+$B$3*550</f>
        <v>44836</v>
      </c>
      <c r="G14" s="46">
        <f>$B$1*$B$2+$B$3*461</f>
        <v>44747</v>
      </c>
      <c r="H14" s="40">
        <f>$B$1*$B$2+$B$3*380</f>
        <v>44666</v>
      </c>
      <c r="I14" s="47">
        <f>$B$1*$B$2+$B$3*381</f>
        <v>44667</v>
      </c>
      <c r="J14" s="47">
        <f>$B$1*$B$2+$B$3*382</f>
        <v>44668</v>
      </c>
      <c r="K14" s="47">
        <f>$B$1*$B$2+$B$3*383</f>
        <v>44669</v>
      </c>
      <c r="L14" s="47">
        <f>$B$1*$B$2+$B$3*384</f>
        <v>44670</v>
      </c>
      <c r="M14" s="47">
        <f>$B$1*$B$2+$B$3*385</f>
        <v>44671</v>
      </c>
      <c r="N14" s="47">
        <f>$B$1*$B$2+$B$3*386</f>
        <v>44672</v>
      </c>
      <c r="O14" s="47">
        <f>$B$1*$B$2+$B$3*387</f>
        <v>44673</v>
      </c>
      <c r="P14" s="47">
        <f>$B$1*$B$2+$B$3*388</f>
        <v>44674</v>
      </c>
      <c r="Q14" s="47">
        <f>$B$1*$B$2+$B$3*389</f>
        <v>44675</v>
      </c>
      <c r="R14" s="48">
        <f>$B$1*$B$2+$B$3*390</f>
        <v>44676</v>
      </c>
      <c r="S14" s="47">
        <f>$B$1*$B$2+$B$3*391</f>
        <v>44677</v>
      </c>
      <c r="T14" s="47">
        <f>$B$1*$B$2+$B$3*392</f>
        <v>44678</v>
      </c>
      <c r="U14" s="47">
        <f>$B$1*$B$2+$B$3*393</f>
        <v>44679</v>
      </c>
      <c r="V14" s="47">
        <f>$B$1*$B$2+$B$3*394</f>
        <v>44680</v>
      </c>
      <c r="W14" s="41">
        <f>$B$1*$B$2+$B$3*395</f>
        <v>44681</v>
      </c>
      <c r="X14" s="47">
        <f>$B$1*$B$2+$B$3*396</f>
        <v>44682</v>
      </c>
      <c r="Y14" s="47">
        <f>$B$1*$B$2+$B$3*397</f>
        <v>44683</v>
      </c>
      <c r="Z14" s="47">
        <f>$B$1*$B$2+$B$3*398</f>
        <v>44684</v>
      </c>
      <c r="AA14" s="47">
        <f>$B$1*$B$2+$B$3*399</f>
        <v>44685</v>
      </c>
      <c r="AB14" s="43">
        <f>$B$1*$B$2+$B$3*400</f>
        <v>44686</v>
      </c>
      <c r="AC14" s="45">
        <f>$B$1*$B$2+$B$3*485</f>
        <v>44771</v>
      </c>
      <c r="AD14" s="45">
        <f>$B$1*$B$2+$B$3*578</f>
        <v>44864</v>
      </c>
      <c r="AE14" s="45">
        <f>$B$1*$B$2+$B$3*679</f>
        <v>44965</v>
      </c>
      <c r="AF14" s="45">
        <f>$B$1*$B$2+$B$3*788</f>
        <v>45074</v>
      </c>
      <c r="AG14" s="45">
        <f>$B$1*$B$2+$B$3*905</f>
        <v>45191</v>
      </c>
      <c r="AH14" s="44">
        <f>$B$1*$B$2+$B$3*1030</f>
        <v>45316</v>
      </c>
      <c r="AI14" s="4"/>
      <c r="AJ14" s="4"/>
      <c r="AK14" s="4"/>
      <c r="AL14" s="4"/>
    </row>
    <row r="15" spans="1:38" ht="54" customHeight="1">
      <c r="A15" s="25"/>
      <c r="B15" s="44">
        <f>$B$1*$B$2+$B$3*985</f>
        <v>45271</v>
      </c>
      <c r="C15" s="44">
        <f>$B$1*$B$2+$B$3*864</f>
        <v>45150</v>
      </c>
      <c r="D15" s="46">
        <f>$B$1*$B$2+$B$3*751</f>
        <v>45037</v>
      </c>
      <c r="E15" s="46">
        <f>$B$1*$B$2+$B$3*646</f>
        <v>44932</v>
      </c>
      <c r="F15" s="46">
        <f>$B$1*$B$2+$B$3*549</f>
        <v>44835</v>
      </c>
      <c r="G15" s="46">
        <f>$B$1*$B$2+$B$3*460</f>
        <v>44746</v>
      </c>
      <c r="H15" s="46">
        <f>$B$1*$B$2+$B$3*379</f>
        <v>44665</v>
      </c>
      <c r="I15" s="40">
        <f>$B$1*$B$2+$B$3*306</f>
        <v>44592</v>
      </c>
      <c r="J15" s="47">
        <f>$B$1*$B$2+$B$3*307</f>
        <v>44593</v>
      </c>
      <c r="K15" s="47">
        <f>$B$1*$B$2+$B$3*308</f>
        <v>44594</v>
      </c>
      <c r="L15" s="47">
        <f>$B$1*$B$2+$B$3*309</f>
        <v>44595</v>
      </c>
      <c r="M15" s="47">
        <f>$B$1*$B$2+$B$3*310</f>
        <v>44596</v>
      </c>
      <c r="N15" s="47">
        <f>$B$1*$B$2+$B$3*311</f>
        <v>44597</v>
      </c>
      <c r="O15" s="47">
        <f>$B$1*$B$2+$B$3*312</f>
        <v>44598</v>
      </c>
      <c r="P15" s="47">
        <f>$B$1*$B$2+$B$3*313</f>
        <v>44599</v>
      </c>
      <c r="Q15" s="47">
        <f>$B$1*$B$2+$B$3*314</f>
        <v>44600</v>
      </c>
      <c r="R15" s="48">
        <f>$B$1*$B$2+$B$3*315</f>
        <v>44601</v>
      </c>
      <c r="S15" s="47">
        <f>$B$1*$B$2+$B$3*316</f>
        <v>44602</v>
      </c>
      <c r="T15" s="47">
        <f>$B$1*$B$2+$B$3*317</f>
        <v>44603</v>
      </c>
      <c r="U15" s="47">
        <f>$B$1*$B$2+$B$3*318</f>
        <v>44604</v>
      </c>
      <c r="V15" s="47">
        <f>$B$1*$B$2+$B$3*319</f>
        <v>44605</v>
      </c>
      <c r="W15" s="47">
        <f>$B$1*$B$2+$B$3*320</f>
        <v>44606</v>
      </c>
      <c r="X15" s="47">
        <f>$B$1*$B$2+$B$3*321</f>
        <v>44607</v>
      </c>
      <c r="Y15" s="47">
        <f>$B$1*$B$2+$B$3*322</f>
        <v>44608</v>
      </c>
      <c r="Z15" s="47">
        <f>$B$1*$B$2+$B$3*323</f>
        <v>44609</v>
      </c>
      <c r="AA15" s="43">
        <f>$B$1*$B$2+$B$3*324</f>
        <v>44610</v>
      </c>
      <c r="AB15" s="45">
        <f>$B$1*$B$2+$B$3*401</f>
        <v>44687</v>
      </c>
      <c r="AC15" s="45">
        <f>$B$1*$B$2+$B$3*486</f>
        <v>44772</v>
      </c>
      <c r="AD15" s="45">
        <f>$B$1*$B$2+$B$3*579</f>
        <v>44865</v>
      </c>
      <c r="AE15" s="45">
        <f>$B$1*$B$2+$B$3*680</f>
        <v>44966</v>
      </c>
      <c r="AF15" s="45">
        <f>$B$1*$B$2+$B$3*789</f>
        <v>45075</v>
      </c>
      <c r="AG15" s="45">
        <f>$B$1*$B$2+$B$3*906</f>
        <v>45192</v>
      </c>
      <c r="AH15" s="44">
        <f>$B$1*$B$2+$B$3*1031</f>
        <v>45317</v>
      </c>
      <c r="AI15" s="25"/>
      <c r="AJ15" s="4"/>
      <c r="AK15" s="4"/>
      <c r="AL15" s="4"/>
    </row>
    <row r="16" spans="1:38" ht="54" customHeight="1">
      <c r="A16" s="74" t="s">
        <v>20</v>
      </c>
      <c r="B16" s="44">
        <f>$B$1*$B$2+$B$3*984</f>
        <v>45270</v>
      </c>
      <c r="C16" s="44">
        <f>$B$1*$B$2+$B$3*863</f>
        <v>45149</v>
      </c>
      <c r="D16" s="46">
        <f>$B$1*$B$2+$B$3*750</f>
        <v>45036</v>
      </c>
      <c r="E16" s="46">
        <f>$B$1*$B$2+$B$3*645</f>
        <v>44931</v>
      </c>
      <c r="F16" s="46">
        <f>$B$1*$B$2+$B$3*548</f>
        <v>44834</v>
      </c>
      <c r="G16" s="46">
        <f>$B$1*$B$2+$B$3*459</f>
        <v>44745</v>
      </c>
      <c r="H16" s="46">
        <f>$B$1*$B$2+$B$3*378</f>
        <v>44664</v>
      </c>
      <c r="I16" s="46">
        <f>$B$1*$B$2+$B$3*305</f>
        <v>44591</v>
      </c>
      <c r="J16" s="40">
        <f>$B$1*$B$2+$B$3*240</f>
        <v>44526</v>
      </c>
      <c r="K16" s="47">
        <f>$B$1*$B$2+$B$3*241</f>
        <v>44527</v>
      </c>
      <c r="L16" s="47">
        <f>$B$1*$B$2+$B$3*242</f>
        <v>44528</v>
      </c>
      <c r="M16" s="47">
        <f>$B$1*$B$2+$B$3*243</f>
        <v>44529</v>
      </c>
      <c r="N16" s="47">
        <f>$B$1*$B$2+$B$3*244</f>
        <v>44530</v>
      </c>
      <c r="O16" s="47">
        <f>$B$1*$B$2+$B$3*245</f>
        <v>44531</v>
      </c>
      <c r="P16" s="47">
        <f>$B$1*$B$2+$B$3*246</f>
        <v>44532</v>
      </c>
      <c r="Q16" s="47">
        <f>$B$1*$B$2+$B$3*247</f>
        <v>44533</v>
      </c>
      <c r="R16" s="48">
        <f>$B$1*$B$2+$B$3*248</f>
        <v>44534</v>
      </c>
      <c r="S16" s="47">
        <f>$B$1*$B$2+$B$3*249</f>
        <v>44535</v>
      </c>
      <c r="T16" s="47">
        <f>$B$1*$B$2+$B$3*250</f>
        <v>44536</v>
      </c>
      <c r="U16" s="47">
        <f>$B$1*$B$2+$B$3*251</f>
        <v>44537</v>
      </c>
      <c r="V16" s="41">
        <f>$B$1*$B$2+$B$3*252</f>
        <v>44538</v>
      </c>
      <c r="W16" s="47">
        <f>$B$1*$B$2+$B$3*253</f>
        <v>44539</v>
      </c>
      <c r="X16" s="47">
        <f>$B$1*$B$2+$B$3*254</f>
        <v>44540</v>
      </c>
      <c r="Y16" s="47">
        <f>$B$1*$B$2+$B$3*255</f>
        <v>44541</v>
      </c>
      <c r="Z16" s="43">
        <f>$B$1*$B$2+$B$3*256</f>
        <v>44542</v>
      </c>
      <c r="AA16" s="45">
        <f>$B$1*$B$2+$B$3*325</f>
        <v>44611</v>
      </c>
      <c r="AB16" s="45">
        <f>$B$1*$B$2+$B$3*402</f>
        <v>44688</v>
      </c>
      <c r="AC16" s="45">
        <f>$B$1*$B$2+$B$3*487</f>
        <v>44773</v>
      </c>
      <c r="AD16" s="45">
        <f>$B$1*$B$2+$B$3*580</f>
        <v>44866</v>
      </c>
      <c r="AE16" s="45">
        <f>$B$1*$B$2+$B$3*681</f>
        <v>44967</v>
      </c>
      <c r="AF16" s="45">
        <f>$B$1*$B$2+$B$3*790</f>
        <v>45076</v>
      </c>
      <c r="AG16" s="45">
        <f>$B$1*$B$2+$B$3*907</f>
        <v>45193</v>
      </c>
      <c r="AH16" s="44">
        <f>$B$1*$B$2+$B$3*1032</f>
        <v>45318</v>
      </c>
      <c r="AI16" s="76" t="s">
        <v>21</v>
      </c>
      <c r="AJ16" s="4"/>
      <c r="AK16" s="4"/>
      <c r="AL16" s="4"/>
    </row>
    <row r="17" spans="1:38" ht="54" customHeight="1">
      <c r="A17" s="75"/>
      <c r="B17" s="44">
        <f>$B$1*$B$2+$B$3*983</f>
        <v>45269</v>
      </c>
      <c r="C17" s="44">
        <f>$B$1*$B$2+$B$3*862</f>
        <v>45148</v>
      </c>
      <c r="D17" s="46">
        <f>$B$1*$B$2+$B$3*749</f>
        <v>45035</v>
      </c>
      <c r="E17" s="46">
        <f>$B$1*$B$2+$B$3*644</f>
        <v>44930</v>
      </c>
      <c r="F17" s="46">
        <f>$B$1*$B$2+$B$3*547</f>
        <v>44833</v>
      </c>
      <c r="G17" s="46">
        <f>$B$1*$B$2+$B$3*458</f>
        <v>44744</v>
      </c>
      <c r="H17" s="46">
        <f>$B$1*$B$2+$B$3*377</f>
        <v>44663</v>
      </c>
      <c r="I17" s="46">
        <f>$B$1*$B$2+$B$3*304</f>
        <v>44590</v>
      </c>
      <c r="J17" s="46">
        <f>$B$1*$B$2+$B$3*239</f>
        <v>44525</v>
      </c>
      <c r="K17" s="40">
        <f>$B$1*$B$2+$B$3*182</f>
        <v>44468</v>
      </c>
      <c r="L17" s="41">
        <f>$B$1*$B$2+$B$3*183</f>
        <v>44469</v>
      </c>
      <c r="M17" s="41">
        <f>$B$1*$B$2+$B$3*184</f>
        <v>44470</v>
      </c>
      <c r="N17" s="41">
        <f>$B$1*$B$2+$B$3*185</f>
        <v>44471</v>
      </c>
      <c r="O17" s="41">
        <f>$B$1*$B$2+$B$3*186</f>
        <v>44472</v>
      </c>
      <c r="P17" s="41">
        <f>$B$1*$B$2+$B$3*187</f>
        <v>44473</v>
      </c>
      <c r="Q17" s="41">
        <f>$B$1*$B$2+$B$3*188</f>
        <v>44474</v>
      </c>
      <c r="R17" s="42">
        <f>$B$1*$B$2+$B$3*189</f>
        <v>44475</v>
      </c>
      <c r="S17" s="41">
        <f>$B$1*$B$2+$B$3*190</f>
        <v>44476</v>
      </c>
      <c r="T17" s="41">
        <f>$B$1*$B$2+$B$3*191</f>
        <v>44477</v>
      </c>
      <c r="U17" s="41">
        <f>$B$1*$B$2+$B$3*192</f>
        <v>44478</v>
      </c>
      <c r="V17" s="41">
        <f>$B$1*$B$2+$B$3*193</f>
        <v>44479</v>
      </c>
      <c r="W17" s="41">
        <f>$B$1*$B$2+$B$3*194</f>
        <v>44480</v>
      </c>
      <c r="X17" s="41">
        <f>$B$1*$B$2+$B$3*195</f>
        <v>44481</v>
      </c>
      <c r="Y17" s="43">
        <f>$B$1*$B$2+$B$3*196</f>
        <v>44482</v>
      </c>
      <c r="Z17" s="45">
        <f>$B$1*$B$2+$B$3*257</f>
        <v>44543</v>
      </c>
      <c r="AA17" s="45">
        <f>$B$1*$B$2+$B$3*326</f>
        <v>44612</v>
      </c>
      <c r="AB17" s="45">
        <f>$B$1*$B$2+$B$3*403</f>
        <v>44689</v>
      </c>
      <c r="AC17" s="45">
        <f>$B$1*$B$2+$B$3*488</f>
        <v>44774</v>
      </c>
      <c r="AD17" s="45">
        <f>$B$1*$B$2+$B$3*581</f>
        <v>44867</v>
      </c>
      <c r="AE17" s="45">
        <f>$B$1*$B$2+$B$3*682</f>
        <v>44968</v>
      </c>
      <c r="AF17" s="45">
        <f>$B$1*$B$2+$B$3*791</f>
        <v>45077</v>
      </c>
      <c r="AG17" s="45">
        <f>$B$1*$B$2+$B$3*908</f>
        <v>45194</v>
      </c>
      <c r="AH17" s="44">
        <f>$B$1*$B$2+$B$3*1033</f>
        <v>45319</v>
      </c>
      <c r="AI17" s="77"/>
      <c r="AJ17" s="4"/>
      <c r="AK17" s="4"/>
      <c r="AL17" s="4"/>
    </row>
    <row r="18" spans="1:38" ht="54" customHeight="1">
      <c r="A18" s="4"/>
      <c r="B18" s="44">
        <f>$B$1*$B$2+$B$3*982</f>
        <v>45268</v>
      </c>
      <c r="C18" s="44">
        <f>$B$1*$B$2+$B$3*861</f>
        <v>45147</v>
      </c>
      <c r="D18" s="46">
        <f>$B$1*$B$2+$B$3*748</f>
        <v>45034</v>
      </c>
      <c r="E18" s="46">
        <f>$B$1*$B$2+$B$3*643</f>
        <v>44929</v>
      </c>
      <c r="F18" s="46">
        <f>$B$1*$B$2+$B$3*546</f>
        <v>44832</v>
      </c>
      <c r="G18" s="46">
        <f>$B$1*$B$2+$B$3*457</f>
        <v>44743</v>
      </c>
      <c r="H18" s="46">
        <f>$B$1*$B$2+$B$3*376</f>
        <v>44662</v>
      </c>
      <c r="I18" s="46">
        <f>$B$1*$B$2+$B$3*303</f>
        <v>44589</v>
      </c>
      <c r="J18" s="46">
        <f>$B$1*$B$2+$B$3*238</f>
        <v>44524</v>
      </c>
      <c r="K18" s="46">
        <f>$B$1*$B$2+$B$3*181</f>
        <v>44467</v>
      </c>
      <c r="L18" s="40">
        <f>$B$1*$B$2+$B$3*132</f>
        <v>44418</v>
      </c>
      <c r="M18" s="47">
        <f>$B$1*$B$2+$B$3*133</f>
        <v>44419</v>
      </c>
      <c r="N18" s="47">
        <f>$B$1*$B$2+$B$3*134</f>
        <v>44420</v>
      </c>
      <c r="O18" s="47">
        <f>$B$1*$B$2+$B$3*135</f>
        <v>44421</v>
      </c>
      <c r="P18" s="47">
        <f>$B$1*$B$2+$B$3*136</f>
        <v>44422</v>
      </c>
      <c r="Q18" s="47">
        <f>$B$1*$B$2+$B$3*137</f>
        <v>44423</v>
      </c>
      <c r="R18" s="48">
        <f>$B$1*$B$2+$B$3*138</f>
        <v>44424</v>
      </c>
      <c r="S18" s="47">
        <f>$B$1*$B$2+$B$3*139</f>
        <v>44425</v>
      </c>
      <c r="T18" s="47">
        <f>$B$1*$B$2+$B$3*140</f>
        <v>44426</v>
      </c>
      <c r="U18" s="41">
        <f>$B$1*$B$2+$B$3*141</f>
        <v>44427</v>
      </c>
      <c r="V18" s="47">
        <f>$B$1*$B$2+$B$3*142</f>
        <v>44428</v>
      </c>
      <c r="W18" s="47">
        <f>$B$1*$B$2+$B$3*143</f>
        <v>44429</v>
      </c>
      <c r="X18" s="43">
        <f>$B$1*$B$2+$B$3*144</f>
        <v>44430</v>
      </c>
      <c r="Y18" s="45">
        <f>$B$1*$B$2+$B$3*197</f>
        <v>44483</v>
      </c>
      <c r="Z18" s="45">
        <f>$B$1*$B$2+$B$3*258</f>
        <v>44544</v>
      </c>
      <c r="AA18" s="45">
        <f>$B$1*$B$2+$B$3*327</f>
        <v>44613</v>
      </c>
      <c r="AB18" s="45">
        <f>$B$1*$B$2+$B$3*404</f>
        <v>44690</v>
      </c>
      <c r="AC18" s="45">
        <f>$B$1*$B$2+$B$3*489</f>
        <v>44775</v>
      </c>
      <c r="AD18" s="45">
        <f>$B$1*$B$2+$B$3*582</f>
        <v>44868</v>
      </c>
      <c r="AE18" s="45">
        <f>$B$1*$B$2+$B$3*683</f>
        <v>44969</v>
      </c>
      <c r="AF18" s="45">
        <f>$B$1*$B$2+$B$3*792</f>
        <v>45078</v>
      </c>
      <c r="AG18" s="45">
        <f>$B$1*$B$2+$B$3*909</f>
        <v>45195</v>
      </c>
      <c r="AH18" s="44">
        <f>$B$1*$B$2+$B$3*1034</f>
        <v>45320</v>
      </c>
      <c r="AI18" s="4"/>
      <c r="AJ18" s="4"/>
      <c r="AK18" s="4"/>
      <c r="AL18" s="4"/>
    </row>
    <row r="19" spans="1:38" ht="54" customHeight="1">
      <c r="A19" s="4"/>
      <c r="B19" s="44">
        <f>$B$1*$B$2+$B$3*981</f>
        <v>45267</v>
      </c>
      <c r="C19" s="44">
        <f>$B$1*$B$2+$B$3*860</f>
        <v>45146</v>
      </c>
      <c r="D19" s="46">
        <f>$B$1*$B$2+$B$3*747</f>
        <v>45033</v>
      </c>
      <c r="E19" s="46">
        <f>$B$1*$B$2+$B$3*642</f>
        <v>44928</v>
      </c>
      <c r="F19" s="46">
        <f>$B$1*$B$2+$B$3*545</f>
        <v>44831</v>
      </c>
      <c r="G19" s="46">
        <f>$B$1*$B$2+$B$3*456</f>
        <v>44742</v>
      </c>
      <c r="H19" s="46">
        <f>$B$1*$B$2+$B$3*375</f>
        <v>44661</v>
      </c>
      <c r="I19" s="46">
        <f>$B$1*$B$2+$B$3*302</f>
        <v>44588</v>
      </c>
      <c r="J19" s="46">
        <f>$B$1*$B$2+$B$3*237</f>
        <v>44523</v>
      </c>
      <c r="K19" s="46">
        <f>$B$1*$B$2+$B$3*180</f>
        <v>44466</v>
      </c>
      <c r="L19" s="46">
        <f>$B$1*$B$2+$B$3*131</f>
        <v>44417</v>
      </c>
      <c r="M19" s="40">
        <f>$B$1*$B$2+$B$3*90</f>
        <v>44376</v>
      </c>
      <c r="N19" s="47">
        <f>$B$1*$B$2+$B$3*91</f>
        <v>44377</v>
      </c>
      <c r="O19" s="47">
        <f>$B$1*$B$2+$B$3*92</f>
        <v>44378</v>
      </c>
      <c r="P19" s="47">
        <f>$B$1*$B$2+$B$3*93</f>
        <v>44379</v>
      </c>
      <c r="Q19" s="47">
        <f>$B$1*$B$2+$B$3*94</f>
        <v>44380</v>
      </c>
      <c r="R19" s="48">
        <f>$B$1*$B$2+$B$3*95</f>
        <v>44381</v>
      </c>
      <c r="S19" s="47">
        <f>$B$1*$B$2+$B$3*96</f>
        <v>44382</v>
      </c>
      <c r="T19" s="47">
        <f>$B$1*$B$2+$B$3*97</f>
        <v>44383</v>
      </c>
      <c r="U19" s="47">
        <f>$B$1*$B$2+$B$3*98</f>
        <v>44384</v>
      </c>
      <c r="V19" s="47">
        <f>$B$1*$B$2+$B$3*99</f>
        <v>44385</v>
      </c>
      <c r="W19" s="43">
        <f>$B$1*$B$2+$B$3*100</f>
        <v>44386</v>
      </c>
      <c r="X19" s="45">
        <f>$B$1*$B$2+$B$3*145</f>
        <v>44431</v>
      </c>
      <c r="Y19" s="45">
        <f>$B$1*$B$2+$B$3*198</f>
        <v>44484</v>
      </c>
      <c r="Z19" s="45">
        <f>$B$1*$B$2+$B$3*259</f>
        <v>44545</v>
      </c>
      <c r="AA19" s="45">
        <f>$B$1*$B$2+$B$3*328</f>
        <v>44614</v>
      </c>
      <c r="AB19" s="45">
        <f>$B$1*$B$2+$B$3*405</f>
        <v>44691</v>
      </c>
      <c r="AC19" s="45">
        <f>$B$1*$B$2+$B$3*490</f>
        <v>44776</v>
      </c>
      <c r="AD19" s="45">
        <f>$B$1*$B$2+$B$3*583</f>
        <v>44869</v>
      </c>
      <c r="AE19" s="45">
        <f>$B$1*$B$2+$B$3*684</f>
        <v>44970</v>
      </c>
      <c r="AF19" s="45">
        <f>$B$1*$B$2+$B$3*793</f>
        <v>45079</v>
      </c>
      <c r="AG19" s="45">
        <f>$B$1*$B$2+$B$3*910</f>
        <v>45196</v>
      </c>
      <c r="AH19" s="44">
        <f>$B$1*$B$2+$B$3*1035</f>
        <v>45321</v>
      </c>
      <c r="AI19" s="4"/>
      <c r="AJ19" s="4"/>
      <c r="AK19" s="4"/>
      <c r="AL19" s="4"/>
    </row>
    <row r="20" spans="1:38" ht="54" customHeight="1">
      <c r="A20" s="4"/>
      <c r="B20" s="44">
        <f>$B$1*$B$2+$B$3*980</f>
        <v>45266</v>
      </c>
      <c r="C20" s="44">
        <f>$B$1*$B$2+$B$3*859</f>
        <v>45145</v>
      </c>
      <c r="D20" s="46">
        <f>$B$1*$B$2+$B$3*746</f>
        <v>45032</v>
      </c>
      <c r="E20" s="46">
        <f>$B$1*$B$2+$B$3*641</f>
        <v>44927</v>
      </c>
      <c r="F20" s="46">
        <f>$B$1*$B$2+$B$3*544</f>
        <v>44830</v>
      </c>
      <c r="G20" s="46">
        <f>$B$1*$B$2+$B$3*455</f>
        <v>44741</v>
      </c>
      <c r="H20" s="46">
        <f>$B$1*$B$2+$B$3*374</f>
        <v>44660</v>
      </c>
      <c r="I20" s="46">
        <f>$B$1*$B$2+$B$3*301</f>
        <v>44587</v>
      </c>
      <c r="J20" s="46">
        <f>$B$1*$B$2+$B$3*236</f>
        <v>44522</v>
      </c>
      <c r="K20" s="46">
        <f>$B$1*$B$2+$B$3*179</f>
        <v>44465</v>
      </c>
      <c r="L20" s="46">
        <f>$B$1*$B$2+$B$3*130</f>
        <v>44416</v>
      </c>
      <c r="M20" s="46">
        <f>$B$1*$B$2+$B$3*89</f>
        <v>44375</v>
      </c>
      <c r="N20" s="40">
        <f>$B$1*$B$2+$B$3*56</f>
        <v>44342</v>
      </c>
      <c r="O20" s="47">
        <f>$B$1*$B$2+$B$3*57</f>
        <v>44343</v>
      </c>
      <c r="P20" s="47">
        <f>$B$1*$B$2+$B$3*58</f>
        <v>44344</v>
      </c>
      <c r="Q20" s="47">
        <f>$B$1*$B$2+$B$3*59</f>
        <v>44345</v>
      </c>
      <c r="R20" s="48">
        <f>$B$1*$B$2+$B$3*60</f>
        <v>44346</v>
      </c>
      <c r="S20" s="47">
        <f>$B$1*$B$2+$B$3*61</f>
        <v>44347</v>
      </c>
      <c r="T20" s="41">
        <f>$B$1*$B$2+$B$3*62</f>
        <v>44348</v>
      </c>
      <c r="U20" s="47">
        <f>$B$1*$B$2+$B$3*63</f>
        <v>44349</v>
      </c>
      <c r="V20" s="43">
        <f>$B$1*$B$2+$B$3*64</f>
        <v>44350</v>
      </c>
      <c r="W20" s="45">
        <f>$B$1*$B$2+$B$3*101</f>
        <v>44387</v>
      </c>
      <c r="X20" s="45">
        <f>$B$1*$B$2+$B$3*146</f>
        <v>44432</v>
      </c>
      <c r="Y20" s="45">
        <f>$B$1*$B$2+$B$3*199</f>
        <v>44485</v>
      </c>
      <c r="Z20" s="45">
        <f>$B$1*$B$2+$B$3*260</f>
        <v>44546</v>
      </c>
      <c r="AA20" s="45">
        <f>$B$1*$B$2+$B$3*329</f>
        <v>44615</v>
      </c>
      <c r="AB20" s="45">
        <f>$B$1*$B$2+$B$3*406</f>
        <v>44692</v>
      </c>
      <c r="AC20" s="45">
        <f>$B$1*$B$2+$B$3*491</f>
        <v>44777</v>
      </c>
      <c r="AD20" s="45">
        <f>$B$1*$B$2+$B$3*584</f>
        <v>44870</v>
      </c>
      <c r="AE20" s="45">
        <f>$B$1*$B$2+$B$3*685</f>
        <v>44971</v>
      </c>
      <c r="AF20" s="45">
        <f>$B$1*$B$2+$B$3*794</f>
        <v>45080</v>
      </c>
      <c r="AG20" s="45">
        <f>$B$1*$B$2+$B$3*911</f>
        <v>45197</v>
      </c>
      <c r="AH20" s="44">
        <f>$B$1*$B$2+$B$3*1036</f>
        <v>45322</v>
      </c>
      <c r="AI20" s="4"/>
      <c r="AJ20" s="4"/>
      <c r="AK20" s="4"/>
      <c r="AL20" s="4"/>
    </row>
    <row r="21" spans="1:38" ht="54" customHeight="1">
      <c r="A21" s="4"/>
      <c r="B21" s="44">
        <f>$B$1*$B$2+$B$3*979</f>
        <v>45265</v>
      </c>
      <c r="C21" s="44">
        <f>$B$1*$B$2+$B$3*858</f>
        <v>45144</v>
      </c>
      <c r="D21" s="46">
        <f>$B$1*$B$2+$B$3*745</f>
        <v>45031</v>
      </c>
      <c r="E21" s="46">
        <f>$B$1*$B$2+$B$3*640</f>
        <v>44926</v>
      </c>
      <c r="F21" s="46">
        <f>$B$1*$B$2+$B$3*543</f>
        <v>44829</v>
      </c>
      <c r="G21" s="46">
        <f>$B$1*$B$2+$B$3*454</f>
        <v>44740</v>
      </c>
      <c r="H21" s="46">
        <f>$B$1*$B$2+$B$3*373</f>
        <v>44659</v>
      </c>
      <c r="I21" s="46">
        <f>$B$1*$B$2+$B$3*300</f>
        <v>44586</v>
      </c>
      <c r="J21" s="46">
        <f>$B$1*$B$2+$B$3*235</f>
        <v>44521</v>
      </c>
      <c r="K21" s="46">
        <f>$B$1*$B$2+$B$3*178</f>
        <v>44464</v>
      </c>
      <c r="L21" s="46">
        <f>$B$1*$B$2+$B$3*129</f>
        <v>44415</v>
      </c>
      <c r="M21" s="46">
        <f>$B$1*$B$2+$B$3*88</f>
        <v>44374</v>
      </c>
      <c r="N21" s="44">
        <f>$B$1*$B$2+$B$3*55</f>
        <v>44341</v>
      </c>
      <c r="O21" s="40">
        <f>$B$1*$B$2+$B$3*30</f>
        <v>44316</v>
      </c>
      <c r="P21" s="47">
        <f>$B$1*$B$2+$B$3*31</f>
        <v>44317</v>
      </c>
      <c r="Q21" s="47">
        <f>$B$1*$B$2+$B$3*32</f>
        <v>44318</v>
      </c>
      <c r="R21" s="48">
        <f>$B$1*$B$2+$B$3*33</f>
        <v>44319</v>
      </c>
      <c r="S21" s="47">
        <f>$B$1*$B$2+$B$3*34</f>
        <v>44320</v>
      </c>
      <c r="T21" s="47">
        <f>$B$1*$B$2+$B$3*35</f>
        <v>44321</v>
      </c>
      <c r="U21" s="43">
        <f>$B$1*$B$2+$B$3*36</f>
        <v>44322</v>
      </c>
      <c r="V21" s="45">
        <f>$B$1*$B$2+$B$3*65</f>
        <v>44351</v>
      </c>
      <c r="W21" s="45">
        <f>$B$1*$B$2+$B$3*102</f>
        <v>44388</v>
      </c>
      <c r="X21" s="45">
        <f>$B$1*$B$2+$B$3*147</f>
        <v>44433</v>
      </c>
      <c r="Y21" s="45">
        <f>$B$1*$B$2+$B$3*200</f>
        <v>44486</v>
      </c>
      <c r="Z21" s="45">
        <f>$B$1*$B$2+$B$3*261</f>
        <v>44547</v>
      </c>
      <c r="AA21" s="45">
        <f>$B$1*$B$2+$B$3*330</f>
        <v>44616</v>
      </c>
      <c r="AB21" s="45">
        <f>$B$1*$B$2+$B$3*407</f>
        <v>44693</v>
      </c>
      <c r="AC21" s="45">
        <f>$B$1*$B$2+$B$3*492</f>
        <v>44778</v>
      </c>
      <c r="AD21" s="45">
        <f>$B$1*$B$2+$B$3*585</f>
        <v>44871</v>
      </c>
      <c r="AE21" s="45">
        <f>$B$1*$B$2+$B$3*686</f>
        <v>44972</v>
      </c>
      <c r="AF21" s="45">
        <f>$B$1*$B$2+$B$3*795</f>
        <v>45081</v>
      </c>
      <c r="AG21" s="45">
        <f>$B$1*$B$2+$B$3*912</f>
        <v>45198</v>
      </c>
      <c r="AH21" s="44">
        <f>$B$1*$B$2+$B$3*1037</f>
        <v>45323</v>
      </c>
      <c r="AI21" s="4"/>
      <c r="AJ21" s="4"/>
      <c r="AK21" s="4"/>
      <c r="AL21" s="4"/>
    </row>
    <row r="22" spans="1:38" ht="54" customHeight="1">
      <c r="A22" s="4"/>
      <c r="B22" s="44">
        <f>$B$1*$B$2+$B$3*978</f>
        <v>45264</v>
      </c>
      <c r="C22" s="44">
        <f>$B$1*$B$2+$B$3*857</f>
        <v>45143</v>
      </c>
      <c r="D22" s="46">
        <f>$B$1*$B$2+$B$3*744</f>
        <v>45030</v>
      </c>
      <c r="E22" s="46">
        <f>$B$1*$B$2+$B$3*639</f>
        <v>44925</v>
      </c>
      <c r="F22" s="46">
        <f>$B$1*$B$2+$B$3*542</f>
        <v>44828</v>
      </c>
      <c r="G22" s="46">
        <f>$B$1*$B$2+$B$3*453</f>
        <v>44739</v>
      </c>
      <c r="H22" s="46">
        <f>$B$1*$B$2+$B$3*372</f>
        <v>44658</v>
      </c>
      <c r="I22" s="46">
        <f>$B$1*$B$2+$B$3*299</f>
        <v>44585</v>
      </c>
      <c r="J22" s="46">
        <f>$B$1*$B$2+$B$3*234</f>
        <v>44520</v>
      </c>
      <c r="K22" s="46">
        <f>$B$1*$B$2+$B$3*177</f>
        <v>44463</v>
      </c>
      <c r="L22" s="46">
        <f>$B$1*$B$2+$B$3*128</f>
        <v>44414</v>
      </c>
      <c r="M22" s="46">
        <f>$B$1*$B$2+$B$3*87</f>
        <v>44373</v>
      </c>
      <c r="N22" s="46">
        <f>$B$1*$B$2+$B$3*54</f>
        <v>44340</v>
      </c>
      <c r="O22" s="46">
        <f>$B$1*$B$2+$B$3*29</f>
        <v>44315</v>
      </c>
      <c r="P22" s="40">
        <f>$B$1*$B$2+$B$3*12</f>
        <v>44298</v>
      </c>
      <c r="Q22" s="47">
        <f>$B$1*$B$2+$B$3*13</f>
        <v>44299</v>
      </c>
      <c r="R22" s="48">
        <f>$B$1*$B$2+$B$3*14</f>
        <v>44300</v>
      </c>
      <c r="S22" s="41">
        <f>$B$1*$B$2+$B$3*15</f>
        <v>44301</v>
      </c>
      <c r="T22" s="43">
        <f>$B$1*$B$2+$B$3*16</f>
        <v>44302</v>
      </c>
      <c r="U22" s="45">
        <f>$B$1*$B$2+$B$3*37</f>
        <v>44323</v>
      </c>
      <c r="V22" s="45">
        <f>$B$1*$B$2+$B$3*66</f>
        <v>44352</v>
      </c>
      <c r="W22" s="45">
        <f>$B$1*$B$2+$B$3*103</f>
        <v>44389</v>
      </c>
      <c r="X22" s="45">
        <f>$B$1*$B$2+$B$3*148</f>
        <v>44434</v>
      </c>
      <c r="Y22" s="45">
        <f>$B$1*$B$2+$B$3*201</f>
        <v>44487</v>
      </c>
      <c r="Z22" s="45">
        <f>$B$1*$B$2+$B$3*262</f>
        <v>44548</v>
      </c>
      <c r="AA22" s="45">
        <f>$B$1*$B$2+$B$3*331</f>
        <v>44617</v>
      </c>
      <c r="AB22" s="45">
        <f>$B$1*$B$2+$B$3*408</f>
        <v>44694</v>
      </c>
      <c r="AC22" s="45">
        <f>$B$1*$B$2+$B$3*493</f>
        <v>44779</v>
      </c>
      <c r="AD22" s="45">
        <f>$B$1*$B$2+$B$3*586</f>
        <v>44872</v>
      </c>
      <c r="AE22" s="45">
        <f>$B$1*$B$2+$B$3*687</f>
        <v>44973</v>
      </c>
      <c r="AF22" s="45">
        <f>$B$1*$B$2+$B$3*796</f>
        <v>45082</v>
      </c>
      <c r="AG22" s="45">
        <f>$B$1*$B$2+$B$3*913</f>
        <v>45199</v>
      </c>
      <c r="AH22" s="44">
        <f>$B$1*$B$2+$B$3*1038</f>
        <v>45324</v>
      </c>
      <c r="AI22" s="4"/>
      <c r="AJ22" s="4"/>
      <c r="AK22" s="4"/>
      <c r="AL22" s="4"/>
    </row>
    <row r="23" spans="1:38" ht="54" customHeight="1">
      <c r="A23" s="25" t="s">
        <v>22</v>
      </c>
      <c r="B23" s="44">
        <f>$B$1*$B$2+$B$3*977</f>
        <v>45263</v>
      </c>
      <c r="C23" s="44">
        <f>$B$1*$B$2+$B$3*856</f>
        <v>45142</v>
      </c>
      <c r="D23" s="46">
        <f>$B$1*$B$2+$B$3*743</f>
        <v>45029</v>
      </c>
      <c r="E23" s="46">
        <f>$B$1*$B$2+$B$3*638</f>
        <v>44924</v>
      </c>
      <c r="F23" s="46">
        <f>$B$1*$B$2+$B$3*541</f>
        <v>44827</v>
      </c>
      <c r="G23" s="46">
        <f>$B$1*$B$2+$B$3*452</f>
        <v>44738</v>
      </c>
      <c r="H23" s="46">
        <f>$B$1*$B$2+$B$3*371</f>
        <v>44657</v>
      </c>
      <c r="I23" s="46">
        <f>$B$1*$B$2+$B$3*298</f>
        <v>44584</v>
      </c>
      <c r="J23" s="46">
        <f>$B$1*$B$2+$B$3*233</f>
        <v>44519</v>
      </c>
      <c r="K23" s="46">
        <f>$B$1*$B$2+$B$3*176</f>
        <v>44462</v>
      </c>
      <c r="L23" s="46">
        <f>$B$1*$B$2+$B$3*127</f>
        <v>44413</v>
      </c>
      <c r="M23" s="46">
        <f>$B$1*$B$2+$B$3*86</f>
        <v>44372</v>
      </c>
      <c r="N23" s="46">
        <f>$B$1*$B$2+$B$3*53</f>
        <v>44339</v>
      </c>
      <c r="O23" s="46">
        <f>$B$1*$B$2+$B$3*28</f>
        <v>44314</v>
      </c>
      <c r="P23" s="46">
        <f>$B$1*$B$2+$B$3*11</f>
        <v>44297</v>
      </c>
      <c r="Q23" s="40">
        <f>$B$1*$B$2+$B$3*2</f>
        <v>44288</v>
      </c>
      <c r="R23" s="48">
        <f>$B$1*$B$2+$B$3*3</f>
        <v>44289</v>
      </c>
      <c r="S23" s="43">
        <f>$B$1*$B$2+$B$3*4</f>
        <v>44290</v>
      </c>
      <c r="T23" s="45">
        <f>$B$1*$B$2+$B$3*17</f>
        <v>44303</v>
      </c>
      <c r="U23" s="45">
        <f>$B$1*$B$2+$B$3*38</f>
        <v>44324</v>
      </c>
      <c r="V23" s="45">
        <f>$B$1*$B$2+$B$3*67</f>
        <v>44353</v>
      </c>
      <c r="W23" s="45">
        <f>$B$1*$B$2+$B$3*104</f>
        <v>44390</v>
      </c>
      <c r="X23" s="45">
        <f>$B$1*$B$2+$B$3*149</f>
        <v>44435</v>
      </c>
      <c r="Y23" s="45">
        <f>$B$1*$B$2+$B$3*202</f>
        <v>44488</v>
      </c>
      <c r="Z23" s="45">
        <f>$B$1*$B$2+$B$3*263</f>
        <v>44549</v>
      </c>
      <c r="AA23" s="45">
        <f>$B$1*$B$2+$B$3*332</f>
        <v>44618</v>
      </c>
      <c r="AB23" s="45">
        <f>$B$1*$B$2+$B$3*409</f>
        <v>44695</v>
      </c>
      <c r="AC23" s="45">
        <f>$B$1*$B$2+$B$3*494</f>
        <v>44780</v>
      </c>
      <c r="AD23" s="45">
        <f>$B$1*$B$2+$B$3*587</f>
        <v>44873</v>
      </c>
      <c r="AE23" s="45">
        <f>$B$1*$B$2+$B$3*688</f>
        <v>44974</v>
      </c>
      <c r="AF23" s="45">
        <f>$B$1*$B$2+$B$3*797</f>
        <v>45083</v>
      </c>
      <c r="AG23" s="45">
        <f>$B$1*$B$2+$B$3*914</f>
        <v>45200</v>
      </c>
      <c r="AH23" s="44">
        <f>$B$1*$B$2+$B$3*1039</f>
        <v>45325</v>
      </c>
      <c r="AI23" s="25" t="s">
        <v>23</v>
      </c>
      <c r="AJ23" s="4"/>
      <c r="AK23" s="4"/>
      <c r="AL23" s="4"/>
    </row>
    <row r="24" spans="1:38" ht="54" customHeight="1">
      <c r="A24" s="74" t="s">
        <v>24</v>
      </c>
      <c r="B24" s="42">
        <f>$B$1*$B$2+$B$3*976</f>
        <v>45262</v>
      </c>
      <c r="C24" s="42">
        <f>$B$1*$B$2+$B$3*855</f>
        <v>45141</v>
      </c>
      <c r="D24" s="49">
        <f>$B$1*$B$2+$B$3*742</f>
        <v>45028</v>
      </c>
      <c r="E24" s="49">
        <f>$B$1*$B$2+$B$3*637</f>
        <v>44923</v>
      </c>
      <c r="F24" s="49">
        <f>$B$1*$B$2+$B$3*540</f>
        <v>44826</v>
      </c>
      <c r="G24" s="49">
        <f>$B$1*$B$2+$B$3*451</f>
        <v>44737</v>
      </c>
      <c r="H24" s="49">
        <f>$B$1*$B$2+$B$3*370</f>
        <v>44656</v>
      </c>
      <c r="I24" s="49">
        <f>$B$1*$B$2+$B$3*297</f>
        <v>44583</v>
      </c>
      <c r="J24" s="49">
        <f>$B$1*$B$2+$B$3*232</f>
        <v>44518</v>
      </c>
      <c r="K24" s="49">
        <f>$B$1*$B$2+$B$3*175</f>
        <v>44461</v>
      </c>
      <c r="L24" s="49">
        <f>$B$1*$B$2+$B$3*126</f>
        <v>44412</v>
      </c>
      <c r="M24" s="49">
        <f>$B$1*$B$2+$B$3*85</f>
        <v>44371</v>
      </c>
      <c r="N24" s="49">
        <f>$B$1*$B$2+$B$3*52</f>
        <v>44338</v>
      </c>
      <c r="O24" s="49">
        <f>$B$1*$B$2+$B$3*27</f>
        <v>44313</v>
      </c>
      <c r="P24" s="49">
        <f>$B$1*$B$2+$B$3*10</f>
        <v>44296</v>
      </c>
      <c r="Q24" s="49">
        <f>$B$1*$B$2+$B$3</f>
        <v>44287</v>
      </c>
      <c r="R24" s="50">
        <f>$B$1*$B$2</f>
        <v>44286</v>
      </c>
      <c r="S24" s="51">
        <f>$B$1*$B$2+$B$3*5</f>
        <v>44291</v>
      </c>
      <c r="T24" s="51">
        <f>$B$1*$B$2+$B$3*18</f>
        <v>44304</v>
      </c>
      <c r="U24" s="51">
        <f>$B$1*$B$2+$B$3*39</f>
        <v>44325</v>
      </c>
      <c r="V24" s="51">
        <f>$B$1*$B$2+$B$3*68</f>
        <v>44354</v>
      </c>
      <c r="W24" s="51">
        <f>$B$1*$B$2+$B$3*105</f>
        <v>44391</v>
      </c>
      <c r="X24" s="51">
        <f>$B$1*$B$2+$B$3*150</f>
        <v>44436</v>
      </c>
      <c r="Y24" s="51">
        <f>$B$1*$B$2+$B$3*203</f>
        <v>44489</v>
      </c>
      <c r="Z24" s="51">
        <f>$B$1*$B$2+$B$3*264</f>
        <v>44550</v>
      </c>
      <c r="AA24" s="51">
        <f>$B$1*$B$2+$B$3*333</f>
        <v>44619</v>
      </c>
      <c r="AB24" s="51">
        <f>$B$1*$B$2+$B$3*410</f>
        <v>44696</v>
      </c>
      <c r="AC24" s="51">
        <f>$B$1*$B$2+$B$3*495</f>
        <v>44781</v>
      </c>
      <c r="AD24" s="51">
        <f>$B$1*$B$2+$B$3*588</f>
        <v>44874</v>
      </c>
      <c r="AE24" s="51">
        <f>$B$1*$B$2+$B$3*689</f>
        <v>44975</v>
      </c>
      <c r="AF24" s="51">
        <f>$B$1*$B$2+$B$3*798</f>
        <v>45084</v>
      </c>
      <c r="AG24" s="51">
        <f>$B$1*$B$2+$B$3*915</f>
        <v>45201</v>
      </c>
      <c r="AH24" s="42">
        <f>$B$1*$B$2+$B$3*1040</f>
        <v>45326</v>
      </c>
      <c r="AI24" s="76" t="s">
        <v>25</v>
      </c>
      <c r="AJ24" s="4"/>
      <c r="AK24" s="4"/>
      <c r="AL24" s="4"/>
    </row>
    <row r="25" spans="1:38" ht="54" customHeight="1">
      <c r="A25" s="75"/>
      <c r="B25" s="44">
        <f>$B$1*$B$2+$B$3*975</f>
        <v>45261</v>
      </c>
      <c r="C25" s="44">
        <f>$B$1*$B$2+$B$3*854</f>
        <v>45140</v>
      </c>
      <c r="D25" s="46">
        <f>$B$1*$B$2+$B$3*741</f>
        <v>45027</v>
      </c>
      <c r="E25" s="46">
        <f>$B$1*$B$2+$B$3*636</f>
        <v>44922</v>
      </c>
      <c r="F25" s="46">
        <f>$B$1*$B$2+$B$3*539</f>
        <v>44825</v>
      </c>
      <c r="G25" s="46">
        <f>$B$1*$B$2+$B$3*450</f>
        <v>44736</v>
      </c>
      <c r="H25" s="46">
        <f>$B$1*$B$2+$B$3*369</f>
        <v>44655</v>
      </c>
      <c r="I25" s="46">
        <f>$B$1*$B$2+$B$3*296</f>
        <v>44582</v>
      </c>
      <c r="J25" s="46">
        <f>$B$1*$B$2+$B$3*231</f>
        <v>44517</v>
      </c>
      <c r="K25" s="46">
        <f>$B$1*$B$2+$B$3*174</f>
        <v>44460</v>
      </c>
      <c r="L25" s="46">
        <f>$B$1*$B$2+$B$3*125</f>
        <v>44411</v>
      </c>
      <c r="M25" s="46">
        <f>$B$1*$B$2+$B$3*84</f>
        <v>44370</v>
      </c>
      <c r="N25" s="46">
        <f>$B$1*$B$2+$B$3*51</f>
        <v>44337</v>
      </c>
      <c r="O25" s="46">
        <f>$B$1*$B$2+$B$3*26</f>
        <v>44312</v>
      </c>
      <c r="P25" s="52">
        <f>$B$1*$B$2+$B$3*9</f>
        <v>44295</v>
      </c>
      <c r="Q25" s="53">
        <f>$B$1*$B$2+$B$3*8</f>
        <v>44294</v>
      </c>
      <c r="R25" s="54">
        <f>$B$1*$B$2+$B$3*7</f>
        <v>44293</v>
      </c>
      <c r="S25" s="55">
        <f>$B$1*$B$2+$B$3*6</f>
        <v>44292</v>
      </c>
      <c r="T25" s="45">
        <f>$B$1*$B$2+$B$3*19</f>
        <v>44305</v>
      </c>
      <c r="U25" s="45">
        <f>$B$1*$B$2+$B$3*40</f>
        <v>44326</v>
      </c>
      <c r="V25" s="45">
        <f>$B$1*$B$2+$B$3*69</f>
        <v>44355</v>
      </c>
      <c r="W25" s="45">
        <f>$B$1*$B$2+$B$3*106</f>
        <v>44392</v>
      </c>
      <c r="X25" s="45">
        <f>$B$1*$B$2+$B$3*151</f>
        <v>44437</v>
      </c>
      <c r="Y25" s="45">
        <f>$B$1*$B$2+$B$3*204</f>
        <v>44490</v>
      </c>
      <c r="Z25" s="45">
        <f>$B$1*$B$2+$B$3*265</f>
        <v>44551</v>
      </c>
      <c r="AA25" s="45">
        <f>$B$1*$B$2+$B$3*334</f>
        <v>44620</v>
      </c>
      <c r="AB25" s="45">
        <f>$B$1*$B$2+$B$3*411</f>
        <v>44697</v>
      </c>
      <c r="AC25" s="45">
        <f>$B$1*$B$2+$B$3*496</f>
        <v>44782</v>
      </c>
      <c r="AD25" s="45">
        <f>$B$1*$B$2+$B$3*589</f>
        <v>44875</v>
      </c>
      <c r="AE25" s="45">
        <f>$B$1*$B$2+$B$3*690</f>
        <v>44976</v>
      </c>
      <c r="AF25" s="45">
        <f>$B$1*$B$2+$B$3*799</f>
        <v>45085</v>
      </c>
      <c r="AG25" s="45">
        <f>$B$1*$B$2+$B$3*916</f>
        <v>45202</v>
      </c>
      <c r="AH25" s="44">
        <f>$B$1*$B$2+$B$3*1041</f>
        <v>45327</v>
      </c>
      <c r="AI25" s="77"/>
      <c r="AJ25" s="4"/>
      <c r="AK25" s="4"/>
      <c r="AL25" s="4"/>
    </row>
    <row r="26" spans="1:38" ht="54" customHeight="1">
      <c r="A26" s="4"/>
      <c r="B26" s="44">
        <f>$B$1*$B$2+$B$3*974</f>
        <v>45260</v>
      </c>
      <c r="C26" s="44">
        <f>$B$1*$B$2+$B$3*853</f>
        <v>45139</v>
      </c>
      <c r="D26" s="46">
        <f>$B$1*$B$2+$B$3*740</f>
        <v>45026</v>
      </c>
      <c r="E26" s="46">
        <f>$B$1*$B$2+$B$3*635</f>
        <v>44921</v>
      </c>
      <c r="F26" s="46">
        <f>$B$1*$B$2+$B$3*538</f>
        <v>44824</v>
      </c>
      <c r="G26" s="46">
        <f>$B$1*$B$2+$B$3*449</f>
        <v>44735</v>
      </c>
      <c r="H26" s="46">
        <f>$B$1*$B$2+$B$3*368</f>
        <v>44654</v>
      </c>
      <c r="I26" s="46">
        <f>$B$1*$B$2+$B$3*295</f>
        <v>44581</v>
      </c>
      <c r="J26" s="46">
        <f>$B$1*$B$2+$B$3*230</f>
        <v>44516</v>
      </c>
      <c r="K26" s="46">
        <f>$B$1*$B$2+$B$3*173</f>
        <v>44459</v>
      </c>
      <c r="L26" s="46">
        <f>$B$1*$B$2+$B$3*124</f>
        <v>44410</v>
      </c>
      <c r="M26" s="46">
        <f>$B$1*$B$2+$B$3*83</f>
        <v>44369</v>
      </c>
      <c r="N26" s="46">
        <f>$B$1*$B$2+$B$3*50</f>
        <v>44336</v>
      </c>
      <c r="O26" s="52">
        <f>$B$1*$B$2+$B$3*25</f>
        <v>44311</v>
      </c>
      <c r="P26" s="56">
        <f>$B$1*$B$2+$B$3*24</f>
        <v>44310</v>
      </c>
      <c r="Q26" s="57">
        <f>$B$1*$B$2+$B$3*23</f>
        <v>44309</v>
      </c>
      <c r="R26" s="54">
        <f>$B$1*$B$2+$B$3*22</f>
        <v>44308</v>
      </c>
      <c r="S26" s="57">
        <f>$B$1*$B$2+$B$3*21</f>
        <v>44307</v>
      </c>
      <c r="T26" s="55">
        <f>$B$1*$B$2+$B$3*20</f>
        <v>44306</v>
      </c>
      <c r="U26" s="45">
        <f>$B$1*$B$2+$B$3*41</f>
        <v>44327</v>
      </c>
      <c r="V26" s="45">
        <f>$B$1*$B$2+$B$3*70</f>
        <v>44356</v>
      </c>
      <c r="W26" s="45">
        <f>$B$1*$B$2+$B$3*107</f>
        <v>44393</v>
      </c>
      <c r="X26" s="45">
        <f>$B$1*$B$2+$B$3*152</f>
        <v>44438</v>
      </c>
      <c r="Y26" s="45">
        <f>$B$1*$B$2+$B$3*205</f>
        <v>44491</v>
      </c>
      <c r="Z26" s="45">
        <f>$B$1*$B$2+$B$3*266</f>
        <v>44552</v>
      </c>
      <c r="AA26" s="45">
        <f>$B$1*$B$2+$B$3*335</f>
        <v>44621</v>
      </c>
      <c r="AB26" s="45">
        <f>$B$1*$B$2+$B$3*412</f>
        <v>44698</v>
      </c>
      <c r="AC26" s="45">
        <f>$B$1*$B$2+$B$3*497</f>
        <v>44783</v>
      </c>
      <c r="AD26" s="45">
        <f>$B$1*$B$2+$B$3*590</f>
        <v>44876</v>
      </c>
      <c r="AE26" s="45">
        <f>$B$1*$B$2+$B$3*691</f>
        <v>44977</v>
      </c>
      <c r="AF26" s="45">
        <f>$B$1*$B$2+$B$3*800</f>
        <v>45086</v>
      </c>
      <c r="AG26" s="45">
        <f>$B$1*$B$2+$B$3*917</f>
        <v>45203</v>
      </c>
      <c r="AH26" s="44">
        <f>$B$1*$B$2+$B$3*1042</f>
        <v>45328</v>
      </c>
      <c r="AI26" s="4"/>
      <c r="AJ26" s="4"/>
      <c r="AK26" s="4"/>
      <c r="AL26" s="4"/>
    </row>
    <row r="27" spans="1:38" ht="54" customHeight="1">
      <c r="A27" s="4"/>
      <c r="B27" s="44">
        <f>$B$1*$B$2+$B$3*973</f>
        <v>45259</v>
      </c>
      <c r="C27" s="44">
        <f>$B$1*$B$2+$B$3*852</f>
        <v>45138</v>
      </c>
      <c r="D27" s="46">
        <f>$B$1*$B$2+$B$3*739</f>
        <v>45025</v>
      </c>
      <c r="E27" s="46">
        <f>$B$1*$B$2+$B$3*634</f>
        <v>44920</v>
      </c>
      <c r="F27" s="46">
        <f>$B$1*$B$2+$B$3*537</f>
        <v>44823</v>
      </c>
      <c r="G27" s="46">
        <f>$B$1*$B$2+$B$3*448</f>
        <v>44734</v>
      </c>
      <c r="H27" s="46">
        <f>$B$1*$B$2+$B$3*367</f>
        <v>44653</v>
      </c>
      <c r="I27" s="46">
        <f>$B$1*$B$2+$B$3*294</f>
        <v>44580</v>
      </c>
      <c r="J27" s="46">
        <f>$B$1*$B$2+$B$3*229</f>
        <v>44515</v>
      </c>
      <c r="K27" s="46">
        <f>$B$1*$B$2+$B$3*172</f>
        <v>44458</v>
      </c>
      <c r="L27" s="46">
        <f>$B$1*$B$2+$B$3*123</f>
        <v>44409</v>
      </c>
      <c r="M27" s="46">
        <f>$B$1*$B$2+$B$3*82</f>
        <v>44368</v>
      </c>
      <c r="N27" s="52">
        <f>$B$1*$B$2+$B$3*49</f>
        <v>44335</v>
      </c>
      <c r="O27" s="56">
        <f>$B$1*$B$2+$B$3*48</f>
        <v>44334</v>
      </c>
      <c r="P27" s="57">
        <f>$B$1*$B$2+$B$3*47</f>
        <v>44333</v>
      </c>
      <c r="Q27" s="57">
        <f>$B$1*$B$2+$B$3*46</f>
        <v>44332</v>
      </c>
      <c r="R27" s="54">
        <f>$B$1*$B$2+$B$3*45</f>
        <v>44331</v>
      </c>
      <c r="S27" s="57">
        <f>$B$1*$B$2+$B$3*44</f>
        <v>44330</v>
      </c>
      <c r="T27" s="57">
        <f>$B$1*$B$2+$B$3*43</f>
        <v>44329</v>
      </c>
      <c r="U27" s="55">
        <f>$B$1*$B$2+$B$3*42</f>
        <v>44328</v>
      </c>
      <c r="V27" s="45">
        <f>$B$1*$B$2+$B$3*71</f>
        <v>44357</v>
      </c>
      <c r="W27" s="45">
        <f>$B$1*$B$2+$B$3*108</f>
        <v>44394</v>
      </c>
      <c r="X27" s="45">
        <f>$B$1*$B$2+$B$3*153</f>
        <v>44439</v>
      </c>
      <c r="Y27" s="45">
        <f>$B$1*$B$2+$B$3*206</f>
        <v>44492</v>
      </c>
      <c r="Z27" s="45">
        <f>$B$1*$B$2+$B$3*267</f>
        <v>44553</v>
      </c>
      <c r="AA27" s="45">
        <f>$B$1*$B$2+$B$3*336</f>
        <v>44622</v>
      </c>
      <c r="AB27" s="45">
        <f>$B$1*$B$2+$B$3*413</f>
        <v>44699</v>
      </c>
      <c r="AC27" s="45">
        <f>$B$1*$B$2+$B$3*498</f>
        <v>44784</v>
      </c>
      <c r="AD27" s="45">
        <f>$B$1*$B$2+$B$3*591</f>
        <v>44877</v>
      </c>
      <c r="AE27" s="45">
        <f>$B$1*$B$2+$B$3*692</f>
        <v>44978</v>
      </c>
      <c r="AF27" s="45">
        <f>$B$1*$B$2+$B$3*801</f>
        <v>45087</v>
      </c>
      <c r="AG27" s="45">
        <f>$B$1*$B$2+$B$3*918</f>
        <v>45204</v>
      </c>
      <c r="AH27" s="44">
        <f>$B$1*$B$2+$B$3*1043</f>
        <v>45329</v>
      </c>
      <c r="AI27" s="4"/>
      <c r="AJ27" s="4"/>
      <c r="AK27" s="4"/>
      <c r="AL27" s="4"/>
    </row>
    <row r="28" spans="1:38" ht="54" customHeight="1">
      <c r="A28" s="4"/>
      <c r="B28" s="44">
        <f>$B$1*$B$2+$B$3*972</f>
        <v>45258</v>
      </c>
      <c r="C28" s="44">
        <f>$B$1*$B$2+$B$3*851</f>
        <v>45137</v>
      </c>
      <c r="D28" s="46">
        <f>$B$1*$B$2+$B$3*738</f>
        <v>45024</v>
      </c>
      <c r="E28" s="46">
        <f>$B$1*$B$2+$B$3*633</f>
        <v>44919</v>
      </c>
      <c r="F28" s="46">
        <f>$B$1*$B$2+$B$3*536</f>
        <v>44822</v>
      </c>
      <c r="G28" s="46">
        <f>$B$1*$B$2+$B$3*447</f>
        <v>44733</v>
      </c>
      <c r="H28" s="46">
        <f>$B$1*$B$2+$B$3*366</f>
        <v>44652</v>
      </c>
      <c r="I28" s="46">
        <f>$B$1*$B$2+$B$3*293</f>
        <v>44579</v>
      </c>
      <c r="J28" s="46">
        <f>$B$1*$B$2+$B$3*228</f>
        <v>44514</v>
      </c>
      <c r="K28" s="46">
        <f>$B$1*$B$2+$B$3*171</f>
        <v>44457</v>
      </c>
      <c r="L28" s="46">
        <f>$B$1*$B$2+$B$3*122</f>
        <v>44408</v>
      </c>
      <c r="M28" s="52">
        <f>$B$1*$B$2+$B$3*81</f>
        <v>44367</v>
      </c>
      <c r="N28" s="56">
        <f>$B$1*$B$2+$B$3*80</f>
        <v>44366</v>
      </c>
      <c r="O28" s="57">
        <f>$B$1*$B$2+$B$3*79</f>
        <v>44365</v>
      </c>
      <c r="P28" s="57">
        <f>$B$1*$B$2+$B$3*78</f>
        <v>44364</v>
      </c>
      <c r="Q28" s="57">
        <f>$B$1*$B$2+$B$3*77</f>
        <v>44363</v>
      </c>
      <c r="R28" s="54">
        <f>$B$1*$B$2+$B$3*76</f>
        <v>44362</v>
      </c>
      <c r="S28" s="57">
        <f>$B$1*$B$2+$B$3*75</f>
        <v>44361</v>
      </c>
      <c r="T28" s="57">
        <f>$B$1*$B$2+$B$3*74</f>
        <v>44360</v>
      </c>
      <c r="U28" s="57">
        <f>$B$1*$B$2+$B$3*73</f>
        <v>44359</v>
      </c>
      <c r="V28" s="55">
        <f>$B$1*$B$2+$B$3*72</f>
        <v>44358</v>
      </c>
      <c r="W28" s="45">
        <f>$B$1*$B$2+$B$3*109</f>
        <v>44395</v>
      </c>
      <c r="X28" s="45">
        <f>$B$1*$B$2+$B$3*154</f>
        <v>44440</v>
      </c>
      <c r="Y28" s="45">
        <f>$B$1*$B$2+$B$3*207</f>
        <v>44493</v>
      </c>
      <c r="Z28" s="45">
        <f>$B$1*$B$2+$B$3*268</f>
        <v>44554</v>
      </c>
      <c r="AA28" s="45">
        <f>$B$1*$B$2+$B$3*337</f>
        <v>44623</v>
      </c>
      <c r="AB28" s="45">
        <f>$B$1*$B$2+$B$3*414</f>
        <v>44700</v>
      </c>
      <c r="AC28" s="45">
        <f>$B$1*$B$2+$B$3*499</f>
        <v>44785</v>
      </c>
      <c r="AD28" s="45">
        <f>$B$1*$B$2+$B$3*592</f>
        <v>44878</v>
      </c>
      <c r="AE28" s="45">
        <f>$B$1*$B$2+$B$3*693</f>
        <v>44979</v>
      </c>
      <c r="AF28" s="45">
        <f>$B$1*$B$2+$B$3*802</f>
        <v>45088</v>
      </c>
      <c r="AG28" s="45">
        <f>$B$1*$B$2+$B$3*919</f>
        <v>45205</v>
      </c>
      <c r="AH28" s="44">
        <f>$B$1*$B$2+$B$3*1044</f>
        <v>45330</v>
      </c>
      <c r="AI28" s="4"/>
      <c r="AJ28" s="4"/>
      <c r="AK28" s="4"/>
      <c r="AL28" s="4"/>
    </row>
    <row r="29" spans="1:38" ht="54" customHeight="1">
      <c r="A29" s="4"/>
      <c r="B29" s="44">
        <f>$B$1*$B$2+$B$3*971</f>
        <v>45257</v>
      </c>
      <c r="C29" s="44">
        <f>$B$1*$B$2+$B$3*850</f>
        <v>45136</v>
      </c>
      <c r="D29" s="46">
        <f>$B$1*$B$2+$B$3*737</f>
        <v>45023</v>
      </c>
      <c r="E29" s="46">
        <f>$B$1*$B$2+$B$3*632</f>
        <v>44918</v>
      </c>
      <c r="F29" s="46">
        <f>$B$1*$B$2+$B$3*535</f>
        <v>44821</v>
      </c>
      <c r="G29" s="46">
        <f>$B$1*$B$2+$B$3*446</f>
        <v>44732</v>
      </c>
      <c r="H29" s="46">
        <f>$B$1*$B$2+$B$3*365</f>
        <v>44651</v>
      </c>
      <c r="I29" s="46">
        <f>$B$1*$B$2+$B$3*292</f>
        <v>44578</v>
      </c>
      <c r="J29" s="46">
        <f>$B$1*$B$2+$B$3*227</f>
        <v>44513</v>
      </c>
      <c r="K29" s="46">
        <f>$B$1*$B$2+$B$3*170</f>
        <v>44456</v>
      </c>
      <c r="L29" s="52">
        <f>$B$1*$B$2+$B$3*121</f>
        <v>44407</v>
      </c>
      <c r="M29" s="56">
        <f>$B$1*$B$2+$B$3*120</f>
        <v>44406</v>
      </c>
      <c r="N29" s="57">
        <f>$B$1*$B$2+$B$3*119</f>
        <v>44405</v>
      </c>
      <c r="O29" s="57">
        <f>$B$1*$B$2+$B$3*118</f>
        <v>44404</v>
      </c>
      <c r="P29" s="57">
        <f>$B$1*$B$2+$B$3*117</f>
        <v>44403</v>
      </c>
      <c r="Q29" s="57">
        <f>$B$1*$B$2+$B$3*116</f>
        <v>44402</v>
      </c>
      <c r="R29" s="54">
        <f>$B$1*$B$2+$B$3*115</f>
        <v>44401</v>
      </c>
      <c r="S29" s="57">
        <f>$B$1*$B$2+$B$3*114</f>
        <v>44400</v>
      </c>
      <c r="T29" s="57">
        <f>$B$1*$B$2+$B$3*113</f>
        <v>44399</v>
      </c>
      <c r="U29" s="57">
        <f>$B$1*$B$2+$B$3*112</f>
        <v>44398</v>
      </c>
      <c r="V29" s="57">
        <f>$B$1*$B$2+$B$3*111</f>
        <v>44397</v>
      </c>
      <c r="W29" s="55">
        <f>$B$1*$B$2+$B$3*110</f>
        <v>44396</v>
      </c>
      <c r="X29" s="45">
        <f>$B$1*$B$2+$B$3*155</f>
        <v>44441</v>
      </c>
      <c r="Y29" s="45">
        <f>$B$1*$B$2+$B$3*208</f>
        <v>44494</v>
      </c>
      <c r="Z29" s="45">
        <f>$B$1*$B$2+$B$3*269</f>
        <v>44555</v>
      </c>
      <c r="AA29" s="45">
        <f>$B$1*$B$2+$B$3*338</f>
        <v>44624</v>
      </c>
      <c r="AB29" s="45">
        <f>$B$1*$B$2+$B$3*415</f>
        <v>44701</v>
      </c>
      <c r="AC29" s="45">
        <f>$B$1*$B$2+$B$3*500</f>
        <v>44786</v>
      </c>
      <c r="AD29" s="45">
        <f>$B$1*$B$2+$B$3*593</f>
        <v>44879</v>
      </c>
      <c r="AE29" s="45">
        <f>$B$1*$B$2+$B$3*694</f>
        <v>44980</v>
      </c>
      <c r="AF29" s="45">
        <f>$B$1*$B$2+$B$3*803</f>
        <v>45089</v>
      </c>
      <c r="AG29" s="45">
        <f>$B$1*$B$2+$B$3*920</f>
        <v>45206</v>
      </c>
      <c r="AH29" s="44">
        <f>$B$1*$B$2+$B$3*1045</f>
        <v>45331</v>
      </c>
      <c r="AI29" s="4"/>
      <c r="AJ29" s="4"/>
      <c r="AK29" s="4"/>
      <c r="AL29" s="4"/>
    </row>
    <row r="30" spans="1:38" ht="54" customHeight="1">
      <c r="A30" s="4"/>
      <c r="B30" s="44">
        <f>$B$1*$B$2+$B$3*970</f>
        <v>45256</v>
      </c>
      <c r="C30" s="44">
        <f>$B$1*$B$2+$B$3*849</f>
        <v>45135</v>
      </c>
      <c r="D30" s="46">
        <f>$B$1*$B$2+$B$3*736</f>
        <v>45022</v>
      </c>
      <c r="E30" s="46">
        <f>$B$1*$B$2+$B$3*631</f>
        <v>44917</v>
      </c>
      <c r="F30" s="46">
        <f>$B$1*$B$2+$B$3*534</f>
        <v>44820</v>
      </c>
      <c r="G30" s="46">
        <f>$B$1*$B$2+$B$3*445</f>
        <v>44731</v>
      </c>
      <c r="H30" s="46">
        <f>$B$1*$B$2+$B$3*364</f>
        <v>44650</v>
      </c>
      <c r="I30" s="46">
        <f>$B$1*$B$2+$B$3*291</f>
        <v>44577</v>
      </c>
      <c r="J30" s="46">
        <f>$B$1*$B$2+$B$3*226</f>
        <v>44512</v>
      </c>
      <c r="K30" s="52">
        <f>$B$1*$B$2+$B$3*169</f>
        <v>44455</v>
      </c>
      <c r="L30" s="56">
        <f>$B$1*$B$2+$B$3*168</f>
        <v>44454</v>
      </c>
      <c r="M30" s="57">
        <f>$B$1*$B$2+$B$3*167</f>
        <v>44453</v>
      </c>
      <c r="N30" s="57">
        <f>$B$1*$B$2+$B$3*166</f>
        <v>44452</v>
      </c>
      <c r="O30" s="57">
        <f>$B$1*$B$2+$B$3*165</f>
        <v>44451</v>
      </c>
      <c r="P30" s="57">
        <f>$B$1*$B$2+$B$3*164</f>
        <v>44450</v>
      </c>
      <c r="Q30" s="57">
        <f>$B$1*$B$2+$B$3*163</f>
        <v>44449</v>
      </c>
      <c r="R30" s="54">
        <f>$B$1*$B$2+$B$3*162</f>
        <v>44448</v>
      </c>
      <c r="S30" s="57">
        <f>$B$1*$B$2+$B$3*161</f>
        <v>44447</v>
      </c>
      <c r="T30" s="57">
        <f>$B$1*$B$2+$B$3*160</f>
        <v>44446</v>
      </c>
      <c r="U30" s="57">
        <f>$B$1*$B$2+$B$3*159</f>
        <v>44445</v>
      </c>
      <c r="V30" s="57">
        <f>$B$1*$B$2+$B$3*158</f>
        <v>44444</v>
      </c>
      <c r="W30" s="57">
        <f>$B$1*$B$2+$B$3*157</f>
        <v>44443</v>
      </c>
      <c r="X30" s="55">
        <f>$B$1*$B$2+$B$3*156</f>
        <v>44442</v>
      </c>
      <c r="Y30" s="45">
        <f>$B$1*$B$2+$B$3*209</f>
        <v>44495</v>
      </c>
      <c r="Z30" s="45">
        <f>$B$1*$B$2+$B$3*270</f>
        <v>44556</v>
      </c>
      <c r="AA30" s="45">
        <f>$B$1*$B$2+$B$3*339</f>
        <v>44625</v>
      </c>
      <c r="AB30" s="45">
        <f>$B$1*$B$2+$B$3*416</f>
        <v>44702</v>
      </c>
      <c r="AC30" s="45">
        <f>$B$1*$B$2+$B$3*501</f>
        <v>44787</v>
      </c>
      <c r="AD30" s="45">
        <f>$B$1*$B$2+$B$3*594</f>
        <v>44880</v>
      </c>
      <c r="AE30" s="45">
        <f>$B$1*$B$2+$B$3*695</f>
        <v>44981</v>
      </c>
      <c r="AF30" s="45">
        <f>$B$1*$B$2+$B$3*804</f>
        <v>45090</v>
      </c>
      <c r="AG30" s="45">
        <f>$B$1*$B$2+$B$3*921</f>
        <v>45207</v>
      </c>
      <c r="AH30" s="44">
        <f>$B$1*$B$2+$B$3*1046</f>
        <v>45332</v>
      </c>
      <c r="AI30" s="4"/>
      <c r="AJ30" s="4"/>
      <c r="AK30" s="4"/>
      <c r="AL30" s="4"/>
    </row>
    <row r="31" spans="1:38" ht="54" customHeight="1">
      <c r="A31" s="4"/>
      <c r="B31" s="44">
        <f>$B$1*$B$2+$B$3*969</f>
        <v>45255</v>
      </c>
      <c r="C31" s="44">
        <f>$B$1*$B$2+$B$3*848</f>
        <v>45134</v>
      </c>
      <c r="D31" s="46">
        <f>$B$1*$B$2+$B$3*735</f>
        <v>45021</v>
      </c>
      <c r="E31" s="46">
        <f>$B$1*$B$2+$B$3*630</f>
        <v>44916</v>
      </c>
      <c r="F31" s="46">
        <f>$B$1*$B$2+$B$3*533</f>
        <v>44819</v>
      </c>
      <c r="G31" s="46">
        <f>$B$1*$B$2+$B$3*444</f>
        <v>44730</v>
      </c>
      <c r="H31" s="46">
        <f>$B$1*$B$2+$B$3*363</f>
        <v>44649</v>
      </c>
      <c r="I31" s="46">
        <f>$B$1*$B$2+$B$3*290</f>
        <v>44576</v>
      </c>
      <c r="J31" s="52">
        <f>$B$1*$B$2+$B$3*225</f>
        <v>44511</v>
      </c>
      <c r="K31" s="56">
        <f>$B$1*$B$2+$B$3*224</f>
        <v>44510</v>
      </c>
      <c r="L31" s="57">
        <f>$B$1*$B$2+$B$3*223</f>
        <v>44509</v>
      </c>
      <c r="M31" s="57">
        <f>$B$1*$B$2+$B$3*222</f>
        <v>44508</v>
      </c>
      <c r="N31" s="57">
        <f>$B$1*$B$2+$B$3*221</f>
        <v>44507</v>
      </c>
      <c r="O31" s="57">
        <f>$B$1*$B$2+$B$3*220</f>
        <v>44506</v>
      </c>
      <c r="P31" s="57">
        <f>$B$1*$B$2+$B$3*219</f>
        <v>44505</v>
      </c>
      <c r="Q31" s="57">
        <f>$B$1*$B$2+$B$3*218</f>
        <v>44504</v>
      </c>
      <c r="R31" s="54">
        <f>$B$1*$B$2+$B$3*217</f>
        <v>44503</v>
      </c>
      <c r="S31" s="57">
        <f>$B$1*$B$2+$B$3*216</f>
        <v>44502</v>
      </c>
      <c r="T31" s="57">
        <f>$B$1*$B$2+$B$3*215</f>
        <v>44501</v>
      </c>
      <c r="U31" s="57">
        <f>$B$1*$B$2+$B$3*214</f>
        <v>44500</v>
      </c>
      <c r="V31" s="57">
        <f>$B$1*$B$2+$B$3*213</f>
        <v>44499</v>
      </c>
      <c r="W31" s="57">
        <f>$B$1*$B$2+$B$3*212</f>
        <v>44498</v>
      </c>
      <c r="X31" s="57">
        <f>$B$1*$B$2+$B$3*211</f>
        <v>44497</v>
      </c>
      <c r="Y31" s="55">
        <f>$B$1*$B$2+$B$3*210</f>
        <v>44496</v>
      </c>
      <c r="Z31" s="45">
        <f>$B$1*$B$2+$B$3*271</f>
        <v>44557</v>
      </c>
      <c r="AA31" s="45">
        <f>$B$1*$B$2+$B$3*340</f>
        <v>44626</v>
      </c>
      <c r="AB31" s="45">
        <f>$B$1*$B$2+$B$3*417</f>
        <v>44703</v>
      </c>
      <c r="AC31" s="45">
        <f>$B$1*$B$2+$B$3*502</f>
        <v>44788</v>
      </c>
      <c r="AD31" s="45">
        <f>$B$1*$B$2+$B$3*595</f>
        <v>44881</v>
      </c>
      <c r="AE31" s="45">
        <f>$B$1*$B$2+$B$3*696</f>
        <v>44982</v>
      </c>
      <c r="AF31" s="45">
        <f>$B$1*$B$2+$B$3*805</f>
        <v>45091</v>
      </c>
      <c r="AG31" s="45">
        <f>$B$1*$B$2+$B$3*922</f>
        <v>45208</v>
      </c>
      <c r="AH31" s="44">
        <f>$B$1*$B$2+$B$3*1047</f>
        <v>45333</v>
      </c>
      <c r="AI31" s="4"/>
      <c r="AJ31" s="4"/>
      <c r="AK31" s="4"/>
      <c r="AL31" s="4"/>
    </row>
    <row r="32" spans="1:38" ht="54" customHeight="1">
      <c r="A32" s="74" t="s">
        <v>26</v>
      </c>
      <c r="B32" s="44">
        <f>$B$1*$B$2+$B$3*968</f>
        <v>45254</v>
      </c>
      <c r="C32" s="44">
        <f>$B$1*$B$2+$B$3*847</f>
        <v>45133</v>
      </c>
      <c r="D32" s="46">
        <f>$B$1*$B$2+$B$3*734</f>
        <v>45020</v>
      </c>
      <c r="E32" s="46">
        <f>$B$1*$B$2+$B$3*629</f>
        <v>44915</v>
      </c>
      <c r="F32" s="46">
        <f>$B$1*$B$2+$B$3*532</f>
        <v>44818</v>
      </c>
      <c r="G32" s="46">
        <f>$B$1*$B$2+$B$3*443</f>
        <v>44729</v>
      </c>
      <c r="H32" s="44">
        <f>$B$1*$B$2+$B$3*362</f>
        <v>44648</v>
      </c>
      <c r="I32" s="52">
        <f>$B$1*$B$2+$B$3*289</f>
        <v>44575</v>
      </c>
      <c r="J32" s="56">
        <f>$B$1*$B$2+$B$3*288</f>
        <v>44574</v>
      </c>
      <c r="K32" s="57">
        <f>$B$1*$B$2+$B$3*287</f>
        <v>44573</v>
      </c>
      <c r="L32" s="57">
        <f>$B$1*$B$2+$B$3*286</f>
        <v>44572</v>
      </c>
      <c r="M32" s="57">
        <f>$B$1*$B$2+$B$3*285</f>
        <v>44571</v>
      </c>
      <c r="N32" s="57">
        <f>$B$1*$B$2+$B$3*284</f>
        <v>44570</v>
      </c>
      <c r="O32" s="57">
        <f>$B$1*$B$2+$B$3*283</f>
        <v>44569</v>
      </c>
      <c r="P32" s="57">
        <f>$B$1*$B$2+$B$3*282</f>
        <v>44568</v>
      </c>
      <c r="Q32" s="57">
        <f>$B$1*$B$2+$B$3*281</f>
        <v>44567</v>
      </c>
      <c r="R32" s="54">
        <f>$B$1*$B$2+$B$3*280</f>
        <v>44566</v>
      </c>
      <c r="S32" s="57">
        <f>$B$1*$B$2+$B$3*279</f>
        <v>44565</v>
      </c>
      <c r="T32" s="57">
        <f>$B$1*$B$2+$B$3*278</f>
        <v>44564</v>
      </c>
      <c r="U32" s="57">
        <f>$B$1*$B$2+$B$3*277</f>
        <v>44563</v>
      </c>
      <c r="V32" s="57">
        <f>$B$1*$B$2+$B$3*276</f>
        <v>44562</v>
      </c>
      <c r="W32" s="57">
        <f>$B$1*$B$2+$B$3*275</f>
        <v>44561</v>
      </c>
      <c r="X32" s="57">
        <f>$B$1*$B$2+$B$3*274</f>
        <v>44560</v>
      </c>
      <c r="Y32" s="57">
        <f>$B$1*$B$2+$B$3*273</f>
        <v>44559</v>
      </c>
      <c r="Z32" s="55">
        <f>$B$1*$B$2+$B$3*272</f>
        <v>44558</v>
      </c>
      <c r="AA32" s="45">
        <f>$B$1*$B$2+$B$3*341</f>
        <v>44627</v>
      </c>
      <c r="AB32" s="45">
        <f>$B$1*$B$2+$B$3*418</f>
        <v>44704</v>
      </c>
      <c r="AC32" s="45">
        <f>$B$1*$B$2+$B$3*503</f>
        <v>44789</v>
      </c>
      <c r="AD32" s="45">
        <f>$B$1*$B$2+$B$3*596</f>
        <v>44882</v>
      </c>
      <c r="AE32" s="45">
        <f>$B$1*$B$2+$B$3*697</f>
        <v>44983</v>
      </c>
      <c r="AF32" s="45">
        <f>$B$1*$B$2+$B$3*806</f>
        <v>45092</v>
      </c>
      <c r="AG32" s="45">
        <f>$B$1*$B$2+$B$3*923</f>
        <v>45209</v>
      </c>
      <c r="AH32" s="44">
        <f>$B$1*$B$2+$B$3*1048</f>
        <v>45334</v>
      </c>
      <c r="AI32" s="76" t="s">
        <v>27</v>
      </c>
      <c r="AJ32" s="4"/>
      <c r="AK32" s="4"/>
      <c r="AL32" s="4"/>
    </row>
    <row r="33" spans="1:38" ht="54" customHeight="1">
      <c r="A33" s="75"/>
      <c r="B33" s="44">
        <f>$B$1*$B$2+$B$3*967</f>
        <v>45253</v>
      </c>
      <c r="C33" s="44">
        <f>$B$1*$B$2+$B$3*846</f>
        <v>45132</v>
      </c>
      <c r="D33" s="46">
        <f>$B$1*$B$2+$B$3*733</f>
        <v>45019</v>
      </c>
      <c r="E33" s="46">
        <f>$B$1*$B$2+$B$3*628</f>
        <v>44914</v>
      </c>
      <c r="F33" s="46">
        <f>$B$1*$B$2+$B$3*531</f>
        <v>44817</v>
      </c>
      <c r="G33" s="46">
        <f>$B$1*$B$2+$B$3*442</f>
        <v>44728</v>
      </c>
      <c r="H33" s="52">
        <f>$B$1*$B$2+$B$3*361</f>
        <v>44647</v>
      </c>
      <c r="I33" s="56">
        <f>$B$1*$B$2+$B$3*360</f>
        <v>44646</v>
      </c>
      <c r="J33" s="57">
        <f>$B$1*$B$2+$B$3*359</f>
        <v>44645</v>
      </c>
      <c r="K33" s="57">
        <f>$B$1*$B$2+$B$3*358</f>
        <v>44644</v>
      </c>
      <c r="L33" s="57">
        <f>$B$1*$B$2+$B$3*357</f>
        <v>44643</v>
      </c>
      <c r="M33" s="57">
        <f>$B$1*$B$2+$B$3*356</f>
        <v>44642</v>
      </c>
      <c r="N33" s="57">
        <f>$B$1*$B$2+$B$3*355</f>
        <v>44641</v>
      </c>
      <c r="O33" s="57">
        <f>$B$1*$B$2+$B$3*354</f>
        <v>44640</v>
      </c>
      <c r="P33" s="57">
        <f>$B$1*$B$2+$B$3*353</f>
        <v>44639</v>
      </c>
      <c r="Q33" s="57">
        <f>$B$1*$B$2+$B$3*352</f>
        <v>44638</v>
      </c>
      <c r="R33" s="54">
        <f>$B$1*$B$2+$B$3*351</f>
        <v>44637</v>
      </c>
      <c r="S33" s="57">
        <f>$B$1*$B$2+$B$3*350</f>
        <v>44636</v>
      </c>
      <c r="T33" s="57">
        <f>$B$1*$B$2+$B$3*349</f>
        <v>44635</v>
      </c>
      <c r="U33" s="57">
        <f>$B$1*$B$2+$B$3*348</f>
        <v>44634</v>
      </c>
      <c r="V33" s="57">
        <f>$B$1*$B$2+$B$3*347</f>
        <v>44633</v>
      </c>
      <c r="W33" s="57">
        <f>$B$1*$B$2+$B$3*346</f>
        <v>44632</v>
      </c>
      <c r="X33" s="57">
        <f>$B$1*$B$2+$B$3*345</f>
        <v>44631</v>
      </c>
      <c r="Y33" s="57">
        <f>$B$1*$B$2+$B$3*344</f>
        <v>44630</v>
      </c>
      <c r="Z33" s="57">
        <f>$B$1*$B$2+$B$3*343</f>
        <v>44629</v>
      </c>
      <c r="AA33" s="55">
        <f>$B$1*$B$2+$B$3*342</f>
        <v>44628</v>
      </c>
      <c r="AB33" s="45">
        <f>$B$1*$B$2+$B$3*419</f>
        <v>44705</v>
      </c>
      <c r="AC33" s="45">
        <f>$B$1*$B$2+$B$3*504</f>
        <v>44790</v>
      </c>
      <c r="AD33" s="45">
        <f>$B$1*$B$2+$B$3*597</f>
        <v>44883</v>
      </c>
      <c r="AE33" s="45">
        <f>$B$1*$B$2+$B$3*698</f>
        <v>44984</v>
      </c>
      <c r="AF33" s="45">
        <f>$B$1*$B$2+$B$3*807</f>
        <v>45093</v>
      </c>
      <c r="AG33" s="45">
        <f>$B$1*$B$2+$B$3*924</f>
        <v>45210</v>
      </c>
      <c r="AH33" s="44">
        <f>$B$1*$B$2+$B$3*1049</f>
        <v>45335</v>
      </c>
      <c r="AI33" s="77"/>
      <c r="AJ33" s="4"/>
      <c r="AK33" s="4"/>
      <c r="AL33" s="4"/>
    </row>
    <row r="34" spans="1:38" ht="54" customHeight="1">
      <c r="A34" s="4"/>
      <c r="B34" s="44">
        <f>$B$1*$B$2+$B$3*966</f>
        <v>45252</v>
      </c>
      <c r="C34" s="44">
        <f>$B$1*$B$2+$B$3*845</f>
        <v>45131</v>
      </c>
      <c r="D34" s="46">
        <f>$B$1*$B$2+$B$3*732</f>
        <v>45018</v>
      </c>
      <c r="E34" s="46">
        <f>$B$1*$B$2+$B$3*627</f>
        <v>44913</v>
      </c>
      <c r="F34" s="46">
        <f>$B$1*$B$2+$B$3*530</f>
        <v>44816</v>
      </c>
      <c r="G34" s="52">
        <f>$B$1*$B$2+$B$3*441</f>
        <v>44727</v>
      </c>
      <c r="H34" s="56">
        <f>$B$1*$B$2+$B$3*440</f>
        <v>44726</v>
      </c>
      <c r="I34" s="57">
        <f>$B$1*$B$2+$B$3*439</f>
        <v>44725</v>
      </c>
      <c r="J34" s="57">
        <f>$B$1*$B$2+$B$3*438</f>
        <v>44724</v>
      </c>
      <c r="K34" s="57">
        <f>$B$1*$B$2+$B$3*437</f>
        <v>44723</v>
      </c>
      <c r="L34" s="57">
        <f>$B$1*$B$2+$B$3*436</f>
        <v>44722</v>
      </c>
      <c r="M34" s="57">
        <f>$B$1*$B$2+$B$3*435</f>
        <v>44721</v>
      </c>
      <c r="N34" s="57">
        <f>$B$1*$B$2+$B$3*434</f>
        <v>44720</v>
      </c>
      <c r="O34" s="57">
        <f>$B$1*$B$2+$B$3*433</f>
        <v>44719</v>
      </c>
      <c r="P34" s="57">
        <f>$B$1*$B$2+$B$3*432</f>
        <v>44718</v>
      </c>
      <c r="Q34" s="57">
        <f>$B$1*$B$2+$B$3*431</f>
        <v>44717</v>
      </c>
      <c r="R34" s="54">
        <f>$B$1*$B$2+$B$3*430</f>
        <v>44716</v>
      </c>
      <c r="S34" s="57">
        <f>$B$1*$B$2+$B$3*429</f>
        <v>44715</v>
      </c>
      <c r="T34" s="57">
        <f>$B$1*$B$2+$B$3*428</f>
        <v>44714</v>
      </c>
      <c r="U34" s="57">
        <f>$B$1*$B$2+$B$3*427</f>
        <v>44713</v>
      </c>
      <c r="V34" s="57">
        <f>$B$1*$B$2+$B$3*426</f>
        <v>44712</v>
      </c>
      <c r="W34" s="57">
        <f>$B$1*$B$2+$B$3*425</f>
        <v>44711</v>
      </c>
      <c r="X34" s="57">
        <f>$B$1*$B$2+$B$3*424</f>
        <v>44710</v>
      </c>
      <c r="Y34" s="57">
        <f>$B$1*$B$2+$B$3*423</f>
        <v>44709</v>
      </c>
      <c r="Z34" s="57">
        <f>$B$1*$B$2+$B$3*422</f>
        <v>44708</v>
      </c>
      <c r="AA34" s="57">
        <f>$B$1*$B$2+$B$3*421</f>
        <v>44707</v>
      </c>
      <c r="AB34" s="55">
        <f>$B$1*$B$2+$B$3*420</f>
        <v>44706</v>
      </c>
      <c r="AC34" s="45">
        <f>$B$1*$B$2+$B$3*505</f>
        <v>44791</v>
      </c>
      <c r="AD34" s="45">
        <f>$B$1*$B$2+$B$3*598</f>
        <v>44884</v>
      </c>
      <c r="AE34" s="45">
        <f>$B$1*$B$2+$B$3*699</f>
        <v>44985</v>
      </c>
      <c r="AF34" s="45">
        <f>$B$1*$B$2+$B$3*808</f>
        <v>45094</v>
      </c>
      <c r="AG34" s="45">
        <f>$B$1*$B$2+$B$3*925</f>
        <v>45211</v>
      </c>
      <c r="AH34" s="44">
        <f>$B$1*$B$2+$B$3*1050</f>
        <v>45336</v>
      </c>
      <c r="AI34" s="4"/>
      <c r="AJ34" s="4"/>
      <c r="AK34" s="4"/>
      <c r="AL34" s="4"/>
    </row>
    <row r="35" spans="1:38" ht="54" customHeight="1">
      <c r="A35" s="4"/>
      <c r="B35" s="44">
        <f>$B$1*$B$2+$B$3*965</f>
        <v>45251</v>
      </c>
      <c r="C35" s="44">
        <f>$B$1*$B$2+$B$3*844</f>
        <v>45130</v>
      </c>
      <c r="D35" s="46">
        <f>$B$1*$B$2+$B$3*731</f>
        <v>45017</v>
      </c>
      <c r="E35" s="46">
        <f>$B$1*$B$2+$B$3*626</f>
        <v>44912</v>
      </c>
      <c r="F35" s="52">
        <f>$B$1*$B$2+$B$3*529</f>
        <v>44815</v>
      </c>
      <c r="G35" s="56">
        <f>$B$1*$B$2+$B$3*528</f>
        <v>44814</v>
      </c>
      <c r="H35" s="57">
        <f>$B$1*$B$2+$B$3*527</f>
        <v>44813</v>
      </c>
      <c r="I35" s="57">
        <f>$B$1*$B$2+$B$3*526</f>
        <v>44812</v>
      </c>
      <c r="J35" s="57">
        <f>$B$1*$B$2+$B$3*525</f>
        <v>44811</v>
      </c>
      <c r="K35" s="57">
        <f>$B$1*$B$2+$B$3*524</f>
        <v>44810</v>
      </c>
      <c r="L35" s="57">
        <f>$B$1*$B$2+$B$3*523</f>
        <v>44809</v>
      </c>
      <c r="M35" s="57">
        <f>$B$1*$B$2+$B$3*522</f>
        <v>44808</v>
      </c>
      <c r="N35" s="57">
        <f>$B$1*$B$2+$B$3*521</f>
        <v>44807</v>
      </c>
      <c r="O35" s="57">
        <f>$B$1*$B$2+$B$3*520</f>
        <v>44806</v>
      </c>
      <c r="P35" s="57">
        <f>$B$1*$B$2+$B$3*519</f>
        <v>44805</v>
      </c>
      <c r="Q35" s="57">
        <f>$B$1*$B$2+$B$3*518</f>
        <v>44804</v>
      </c>
      <c r="R35" s="54">
        <f>$B$1*$B$2+$B$3*517</f>
        <v>44803</v>
      </c>
      <c r="S35" s="57">
        <f>$B$1*$B$2+$B$3*516</f>
        <v>44802</v>
      </c>
      <c r="T35" s="57">
        <f>$B$1*$B$2+$B$3*515</f>
        <v>44801</v>
      </c>
      <c r="U35" s="57">
        <f>$B$1*$B$2+$B$3*514</f>
        <v>44800</v>
      </c>
      <c r="V35" s="57">
        <f>$B$1*$B$2+$B$3*513</f>
        <v>44799</v>
      </c>
      <c r="W35" s="57">
        <f>$B$1*$B$2+$B$3*512</f>
        <v>44798</v>
      </c>
      <c r="X35" s="57">
        <f>$B$1*$B$2+$B$3*511</f>
        <v>44797</v>
      </c>
      <c r="Y35" s="57">
        <f>$B$1*$B$2+$B$3*510</f>
        <v>44796</v>
      </c>
      <c r="Z35" s="57">
        <f>$B$1*$B$2+$B$3*509</f>
        <v>44795</v>
      </c>
      <c r="AA35" s="57">
        <f>$B$1*$B$2+$B$3*508</f>
        <v>44794</v>
      </c>
      <c r="AB35" s="57">
        <f>$B$1*$B$2+$B$3*507</f>
        <v>44793</v>
      </c>
      <c r="AC35" s="55">
        <f>$B$1*$B$2+$B$3*506</f>
        <v>44792</v>
      </c>
      <c r="AD35" s="45">
        <f>$B$1*$B$2+$B$3*599</f>
        <v>44885</v>
      </c>
      <c r="AE35" s="45">
        <f>$B$1*$B$2+$B$3*700</f>
        <v>44986</v>
      </c>
      <c r="AF35" s="45">
        <f>$B$1*$B$2+$B$3*809</f>
        <v>45095</v>
      </c>
      <c r="AG35" s="45">
        <f>$B$1*$B$2+$B$3*926</f>
        <v>45212</v>
      </c>
      <c r="AH35" s="44">
        <f>$B$1*$B$2+$B$3*1051</f>
        <v>45337</v>
      </c>
      <c r="AI35" s="4"/>
      <c r="AJ35" s="4"/>
      <c r="AK35" s="4"/>
      <c r="AL35" s="4"/>
    </row>
    <row r="36" spans="1:38" ht="54" customHeight="1">
      <c r="A36" s="4"/>
      <c r="B36" s="44">
        <f>$B$1*$B$2+$B$3*964</f>
        <v>45250</v>
      </c>
      <c r="C36" s="44">
        <f>$B$1*$B$2+$B$3*843</f>
        <v>45129</v>
      </c>
      <c r="D36" s="46">
        <f>$B$1*$B$2+$B$3*730</f>
        <v>45016</v>
      </c>
      <c r="E36" s="52">
        <f>$B$1*$B$2+$B$3*625</f>
        <v>44911</v>
      </c>
      <c r="F36" s="56">
        <f>$B$1*$B$2+$B$3*624</f>
        <v>44910</v>
      </c>
      <c r="G36" s="57">
        <f>$B$1*$B$2+$B$3*623</f>
        <v>44909</v>
      </c>
      <c r="H36" s="57">
        <f>$B$1*$B$2+$B$3*622</f>
        <v>44908</v>
      </c>
      <c r="I36" s="57">
        <f>$B$1*$B$2+$B$3*621</f>
        <v>44907</v>
      </c>
      <c r="J36" s="57">
        <f>$B$1*$B$2+$B$3*620</f>
        <v>44906</v>
      </c>
      <c r="K36" s="57">
        <f>$B$1*$B$2+$B$3*619</f>
        <v>44905</v>
      </c>
      <c r="L36" s="57">
        <f>$B$1*$B$2+$B$3*618</f>
        <v>44904</v>
      </c>
      <c r="M36" s="57">
        <f>$B$1*$B$2+$B$3*617</f>
        <v>44903</v>
      </c>
      <c r="N36" s="57">
        <f>$B$1*$B$2+$B$3*616</f>
        <v>44902</v>
      </c>
      <c r="O36" s="57">
        <f>$B$1*$B$2+$B$3*615</f>
        <v>44901</v>
      </c>
      <c r="P36" s="57">
        <f>$B$1*$B$2+$B$3*614</f>
        <v>44900</v>
      </c>
      <c r="Q36" s="57">
        <f>$B$1*$B$2+$B$3*613</f>
        <v>44899</v>
      </c>
      <c r="R36" s="54">
        <f>$B$1*$B$2+$B$3*612</f>
        <v>44898</v>
      </c>
      <c r="S36" s="57">
        <f>$B$1*$B$2+$B$3*611</f>
        <v>44897</v>
      </c>
      <c r="T36" s="57">
        <f>$B$1*$B$2+$B$3*610</f>
        <v>44896</v>
      </c>
      <c r="U36" s="57">
        <f>$B$1*$B$2+$B$3*609</f>
        <v>44895</v>
      </c>
      <c r="V36" s="57">
        <f>$B$1*$B$2+$B$3*608</f>
        <v>44894</v>
      </c>
      <c r="W36" s="57">
        <f>$B$1*$B$2+$B$3*607</f>
        <v>44893</v>
      </c>
      <c r="X36" s="57">
        <f>$B$1*$B$2+$B$3*606</f>
        <v>44892</v>
      </c>
      <c r="Y36" s="57">
        <f>$B$1*$B$2+$B$3*605</f>
        <v>44891</v>
      </c>
      <c r="Z36" s="57">
        <f>$B$1*$B$2+$B$3*604</f>
        <v>44890</v>
      </c>
      <c r="AA36" s="57">
        <f>$B$1*$B$2+$B$3*603</f>
        <v>44889</v>
      </c>
      <c r="AB36" s="57">
        <f>$B$1*$B$2+$B$3*602</f>
        <v>44888</v>
      </c>
      <c r="AC36" s="57">
        <f>$B$1*$B$2+$B$3*601</f>
        <v>44887</v>
      </c>
      <c r="AD36" s="55">
        <f>$B$1*$B$2+$B$3*600</f>
        <v>44886</v>
      </c>
      <c r="AE36" s="45">
        <f>$B$1*$B$2+$B$3*701</f>
        <v>44987</v>
      </c>
      <c r="AF36" s="45">
        <f>$B$1*$B$2+$B$3*810</f>
        <v>45096</v>
      </c>
      <c r="AG36" s="45">
        <f>$B$1*$B$2+$B$3*927</f>
        <v>45213</v>
      </c>
      <c r="AH36" s="44">
        <f>$B$1*$B$2+$B$3*1052</f>
        <v>45338</v>
      </c>
      <c r="AI36" s="4"/>
      <c r="AJ36" s="4"/>
      <c r="AK36" s="4"/>
      <c r="AL36" s="4"/>
    </row>
    <row r="37" spans="1:38" ht="54" customHeight="1">
      <c r="A37" s="4"/>
      <c r="B37" s="44">
        <f>$B$1*$B$2+$B$3*963</f>
        <v>45249</v>
      </c>
      <c r="C37" s="44">
        <f>$B$1*$B$2+$B$3*842</f>
        <v>45128</v>
      </c>
      <c r="D37" s="52">
        <f>$B$1*$B$2+$B$3*729</f>
        <v>45015</v>
      </c>
      <c r="E37" s="56">
        <f>$B$1*$B$2+$B$3*728</f>
        <v>45014</v>
      </c>
      <c r="F37" s="57">
        <f>$B$1*$B$2+$B$3*727</f>
        <v>45013</v>
      </c>
      <c r="G37" s="57">
        <f>$B$1*$B$2+$B$3*726</f>
        <v>45012</v>
      </c>
      <c r="H37" s="57">
        <f>$B$1*$B$2+$B$3*725</f>
        <v>45011</v>
      </c>
      <c r="I37" s="57">
        <f>$B$1*$B$2+$B$3*724</f>
        <v>45010</v>
      </c>
      <c r="J37" s="57">
        <f>$B$1*$B$2+$B$3*723</f>
        <v>45009</v>
      </c>
      <c r="K37" s="57">
        <f>$B$1*$B$2+$B$3*722</f>
        <v>45008</v>
      </c>
      <c r="L37" s="57">
        <f>$B$1*$B$2+$B$3*721</f>
        <v>45007</v>
      </c>
      <c r="M37" s="57">
        <f>$B$1*$B$2+$B$3*720</f>
        <v>45006</v>
      </c>
      <c r="N37" s="57">
        <f>$B$1*$B$2+$B$3*719</f>
        <v>45005</v>
      </c>
      <c r="O37" s="57">
        <f>$B$1*$B$2+$B$3*718</f>
        <v>45004</v>
      </c>
      <c r="P37" s="57">
        <f>$B$1*$B$2+$B$3*717</f>
        <v>45003</v>
      </c>
      <c r="Q37" s="57">
        <f>$B$1*$B$2+$B$3*716</f>
        <v>45002</v>
      </c>
      <c r="R37" s="54">
        <f>$B$1*$B$2+$B$3*715</f>
        <v>45001</v>
      </c>
      <c r="S37" s="57">
        <f>$B$1*$B$2+$B$3*714</f>
        <v>45000</v>
      </c>
      <c r="T37" s="57">
        <f>$B$1*$B$2+$B$3*713</f>
        <v>44999</v>
      </c>
      <c r="U37" s="57">
        <f>$B$1*$B$2+$B$3*712</f>
        <v>44998</v>
      </c>
      <c r="V37" s="57">
        <f>$B$1*$B$2+$B$3*711</f>
        <v>44997</v>
      </c>
      <c r="W37" s="57">
        <f>$B$1*$B$2+$B$3*710</f>
        <v>44996</v>
      </c>
      <c r="X37" s="57">
        <f>$B$1*$B$2+$B$3*709</f>
        <v>44995</v>
      </c>
      <c r="Y37" s="57">
        <f>$B$1*$B$2+$B$3*708</f>
        <v>44994</v>
      </c>
      <c r="Z37" s="57">
        <f>$B$1*$B$2+$B$3*707</f>
        <v>44993</v>
      </c>
      <c r="AA37" s="57">
        <f>$B$1*$B$2+$B$3*706</f>
        <v>44992</v>
      </c>
      <c r="AB37" s="57">
        <f>$B$1*$B$2+$B$3*705</f>
        <v>44991</v>
      </c>
      <c r="AC37" s="57">
        <f>$B$1*$B$2+$B$3*704</f>
        <v>44990</v>
      </c>
      <c r="AD37" s="57">
        <f>$B$1*$B$2+$B$3*703</f>
        <v>44989</v>
      </c>
      <c r="AE37" s="55">
        <f>$B$1*$B$2+$B$3*702</f>
        <v>44988</v>
      </c>
      <c r="AF37" s="45">
        <f>$B$1*$B$2+$B$3*811</f>
        <v>45097</v>
      </c>
      <c r="AG37" s="45">
        <f>$B$1*$B$2+$B$3*928</f>
        <v>45214</v>
      </c>
      <c r="AH37" s="44">
        <f>$B$1*$B$2+$B$3*1053</f>
        <v>45339</v>
      </c>
      <c r="AI37" s="4"/>
      <c r="AJ37" s="4"/>
      <c r="AK37" s="4"/>
      <c r="AL37" s="4"/>
    </row>
    <row r="38" spans="1:38" ht="54" customHeight="1">
      <c r="A38" s="4"/>
      <c r="B38" s="44">
        <f>$B$1*$B$2+$B$3*962</f>
        <v>45248</v>
      </c>
      <c r="C38" s="52">
        <f>$B$1*$B$2+$B$3*841</f>
        <v>45127</v>
      </c>
      <c r="D38" s="56">
        <f>$B$1*$B$2+$B$3*840</f>
        <v>45126</v>
      </c>
      <c r="E38" s="57">
        <f>$B$1*$B$2+$B$3*839</f>
        <v>45125</v>
      </c>
      <c r="F38" s="57">
        <f>$B$1*$B$2+$B$3*838</f>
        <v>45124</v>
      </c>
      <c r="G38" s="57">
        <f>$B$1*$B$2+$B$3*837</f>
        <v>45123</v>
      </c>
      <c r="H38" s="57">
        <f>$B$1*$B$2+$B$3*836</f>
        <v>45122</v>
      </c>
      <c r="I38" s="57">
        <f>$B$1*$B$2+$B$3*835</f>
        <v>45121</v>
      </c>
      <c r="J38" s="57">
        <f>$B$1*$B$2+$B$3*834</f>
        <v>45120</v>
      </c>
      <c r="K38" s="57">
        <f>$B$1*$B$2+$B$3*833</f>
        <v>45119</v>
      </c>
      <c r="L38" s="57">
        <f>$B$1*$B$2+$B$3*832</f>
        <v>45118</v>
      </c>
      <c r="M38" s="57">
        <f>$B$1*$B$2+$B$3*831</f>
        <v>45117</v>
      </c>
      <c r="N38" s="57">
        <f>$B$1*$B$2+$B$3*830</f>
        <v>45116</v>
      </c>
      <c r="O38" s="57">
        <f>$B$1*$B$2+$B$3*829</f>
        <v>45115</v>
      </c>
      <c r="P38" s="57">
        <f>$B$1*$B$2+$B$3*828</f>
        <v>45114</v>
      </c>
      <c r="Q38" s="57">
        <f>$B$1*$B$2+$B$3*827</f>
        <v>45113</v>
      </c>
      <c r="R38" s="54">
        <f>$B$1*$B$2+$B$3*826</f>
        <v>45112</v>
      </c>
      <c r="S38" s="57">
        <f>$B$1*$B$2+$B$3*825</f>
        <v>45111</v>
      </c>
      <c r="T38" s="57">
        <f>$B$1*$B$2+$B$3*824</f>
        <v>45110</v>
      </c>
      <c r="U38" s="57">
        <f>$B$1*$B$2+$B$3*823</f>
        <v>45109</v>
      </c>
      <c r="V38" s="57">
        <f>$B$1*$B$2+$B$3*822</f>
        <v>45108</v>
      </c>
      <c r="W38" s="57">
        <f>$B$1*$B$2+$B$3*821</f>
        <v>45107</v>
      </c>
      <c r="X38" s="57">
        <f>$B$1*$B$2+$B$3*820</f>
        <v>45106</v>
      </c>
      <c r="Y38" s="57">
        <f>$B$1*$B$2+$B$3*819</f>
        <v>45105</v>
      </c>
      <c r="Z38" s="57">
        <f>$B$1*$B$2+$B$3*818</f>
        <v>45104</v>
      </c>
      <c r="AA38" s="57">
        <f>$B$1*$B$2+$B$3*817</f>
        <v>45103</v>
      </c>
      <c r="AB38" s="57">
        <f>$B$1*$B$2+$B$3*816</f>
        <v>45102</v>
      </c>
      <c r="AC38" s="57">
        <f>$B$1*$B$2+$B$3*815</f>
        <v>45101</v>
      </c>
      <c r="AD38" s="57">
        <f>$B$1*$B$2+$B$3*814</f>
        <v>45100</v>
      </c>
      <c r="AE38" s="57">
        <f>$B$1*$B$2+$B$3*813</f>
        <v>45099</v>
      </c>
      <c r="AF38" s="55">
        <f>$B$1*$B$2+$B$3*812</f>
        <v>45098</v>
      </c>
      <c r="AG38" s="45">
        <f>$B$1*$B$2+$B$3*929</f>
        <v>45215</v>
      </c>
      <c r="AH38" s="44">
        <f>$B$1*$B$2+$B$3*1054</f>
        <v>45340</v>
      </c>
      <c r="AI38" s="4"/>
      <c r="AJ38" s="4"/>
      <c r="AK38" s="4"/>
      <c r="AL38" s="4"/>
    </row>
    <row r="39" spans="1:38" ht="54" customHeight="1">
      <c r="A39" s="4"/>
      <c r="B39" s="52">
        <f>$B$1*$B$2+$B$3*961</f>
        <v>45247</v>
      </c>
      <c r="C39" s="56">
        <f>$B$1*$B$2+$B$3*960</f>
        <v>45246</v>
      </c>
      <c r="D39" s="57">
        <f>$B$1*$B$2+$B$3*959</f>
        <v>45245</v>
      </c>
      <c r="E39" s="57">
        <f>$B$1*$B$2+$B$3*958</f>
        <v>45244</v>
      </c>
      <c r="F39" s="57">
        <f>$B$1*$B$2+$B$3*957</f>
        <v>45243</v>
      </c>
      <c r="G39" s="57">
        <f>$B$1*$B$2+$B$3*956</f>
        <v>45242</v>
      </c>
      <c r="H39" s="57">
        <f>$B$1*$B$2+$B$3*955</f>
        <v>45241</v>
      </c>
      <c r="I39" s="57">
        <f>$B$1*$B$2+$B$3*954</f>
        <v>45240</v>
      </c>
      <c r="J39" s="57">
        <f>$B$1*$B$2+$B$3*953</f>
        <v>45239</v>
      </c>
      <c r="K39" s="57">
        <f>$B$1*$B$2+$B$3*952</f>
        <v>45238</v>
      </c>
      <c r="L39" s="57">
        <f>$B$1*$B$2+$B$3*951</f>
        <v>45237</v>
      </c>
      <c r="M39" s="57">
        <f>$B$1*$B$2+$B$3*950</f>
        <v>45236</v>
      </c>
      <c r="N39" s="57">
        <f>$B$1*$B$2+$B$3*949</f>
        <v>45235</v>
      </c>
      <c r="O39" s="57">
        <f>$B$1*$B$2+$B$3*948</f>
        <v>45234</v>
      </c>
      <c r="P39" s="57">
        <f>$B$1*$B$2+$B$3*947</f>
        <v>45233</v>
      </c>
      <c r="Q39" s="57">
        <f>$B$1*$B$2+$B$3*946</f>
        <v>45232</v>
      </c>
      <c r="R39" s="54">
        <f>$B$1*$B$2+$B$3*945</f>
        <v>45231</v>
      </c>
      <c r="S39" s="57">
        <f>$B$1*$B$2+$B$3*944</f>
        <v>45230</v>
      </c>
      <c r="T39" s="57">
        <f>$B$1*$B$2+$B$3*943</f>
        <v>45229</v>
      </c>
      <c r="U39" s="57">
        <f>$B$1*$B$2+$B$3*942</f>
        <v>45228</v>
      </c>
      <c r="V39" s="57">
        <f>$B$1*$B$2+$B$3*941</f>
        <v>45227</v>
      </c>
      <c r="W39" s="57">
        <f>$B$1*$B$2+$B$3*940</f>
        <v>45226</v>
      </c>
      <c r="X39" s="57">
        <f>$B$1*$B$2+$B$3*939</f>
        <v>45225</v>
      </c>
      <c r="Y39" s="57">
        <f>$B$1*$B$2+$B$3*938</f>
        <v>45224</v>
      </c>
      <c r="Z39" s="57">
        <f>$B$1*$B$2+$B$3*937</f>
        <v>45223</v>
      </c>
      <c r="AA39" s="57">
        <f>$B$1*$B$2+$B$3*936</f>
        <v>45222</v>
      </c>
      <c r="AB39" s="57">
        <f>$B$1*$B$2+$B$3*935</f>
        <v>45221</v>
      </c>
      <c r="AC39" s="57">
        <f>$B$1*$B$2+$B$3*934</f>
        <v>45220</v>
      </c>
      <c r="AD39" s="57">
        <f>$B$1*$B$2+$B$3*933</f>
        <v>45219</v>
      </c>
      <c r="AE39" s="57">
        <f>$B$1*$B$2+$B$3*932</f>
        <v>45218</v>
      </c>
      <c r="AF39" s="57">
        <f>$B$1*$B$2+$B$3*931</f>
        <v>45217</v>
      </c>
      <c r="AG39" s="55">
        <f>$B$1*$B$2+$B$3*930</f>
        <v>45216</v>
      </c>
      <c r="AH39" s="44">
        <f>$B$1*$B$2+$B$3*1055</f>
        <v>45341</v>
      </c>
      <c r="AI39" s="4"/>
      <c r="AJ39" s="4"/>
      <c r="AK39" s="4"/>
      <c r="AL39" s="4"/>
    </row>
    <row r="40" spans="1:38" ht="54" customHeight="1">
      <c r="A40" s="35"/>
      <c r="B40" s="58">
        <f>$B$1*$B$2+$B$3*1088</f>
        <v>45374</v>
      </c>
      <c r="C40" s="41">
        <f>$B$1*$B$2+$B$3*1087</f>
        <v>45373</v>
      </c>
      <c r="D40" s="41">
        <f>$B$1*$B$2+$B$3*1086</f>
        <v>45372</v>
      </c>
      <c r="E40" s="41">
        <f>$B$1*$B$2+$B$3*1085</f>
        <v>45371</v>
      </c>
      <c r="F40" s="41">
        <f>$B$1*$B$2+$B$3*1084</f>
        <v>45370</v>
      </c>
      <c r="G40" s="41">
        <f>$B$1*$B$2+$B$3*1083</f>
        <v>45369</v>
      </c>
      <c r="H40" s="41">
        <f>$B$1*$B$2+$B$3*1082</f>
        <v>45368</v>
      </c>
      <c r="I40" s="41">
        <f>$B$1*$B$2+$B$3*1081</f>
        <v>45367</v>
      </c>
      <c r="J40" s="41">
        <f>$B$1*$B$2+$B$3*1080</f>
        <v>45366</v>
      </c>
      <c r="K40" s="41">
        <f>$B$1*$B$2+$B$3*1079</f>
        <v>45365</v>
      </c>
      <c r="L40" s="41">
        <f>$B$1*$B$2+$B$3*1078</f>
        <v>45364</v>
      </c>
      <c r="M40" s="41">
        <f>$B$1*$B$2+$B$3*1077</f>
        <v>45363</v>
      </c>
      <c r="N40" s="41">
        <f>$B$1*$B$2+$B$3*1076</f>
        <v>45362</v>
      </c>
      <c r="O40" s="41">
        <f>$B$1*$B$2+$B$3*1075</f>
        <v>45361</v>
      </c>
      <c r="P40" s="41">
        <f>$B$1*$B$2+$B$3*1074</f>
        <v>45360</v>
      </c>
      <c r="Q40" s="41">
        <f>$B$1*$B$2+$B$3*1073</f>
        <v>45359</v>
      </c>
      <c r="R40" s="42">
        <f>$B$1*$B$2+$B$3*1072</f>
        <v>45358</v>
      </c>
      <c r="S40" s="41">
        <f>$B$1*$B$2+$B$3*1071</f>
        <v>45357</v>
      </c>
      <c r="T40" s="41">
        <f>$B$1*$B$2+$B$3*1070</f>
        <v>45356</v>
      </c>
      <c r="U40" s="41">
        <f>$B$1*$B$2+$B$3*1069</f>
        <v>45355</v>
      </c>
      <c r="V40" s="41">
        <f>$B$1*$B$2+$B$3*1068</f>
        <v>45354</v>
      </c>
      <c r="W40" s="41">
        <f>$B$1*$B$2+$B$3*1067</f>
        <v>45353</v>
      </c>
      <c r="X40" s="41">
        <f>$B$1*$B$2+$B$3*1066</f>
        <v>45352</v>
      </c>
      <c r="Y40" s="41">
        <f>$B$1*$B$2+$B$3*1065</f>
        <v>45351</v>
      </c>
      <c r="Z40" s="41">
        <f>$B$1*$B$2+$B$3*1064</f>
        <v>45350</v>
      </c>
      <c r="AA40" s="41">
        <f>$B$1*$B$2+$B$3*1063</f>
        <v>45349</v>
      </c>
      <c r="AB40" s="41">
        <f>$B$1*$B$2+$B$3*1062</f>
        <v>45348</v>
      </c>
      <c r="AC40" s="41">
        <f>$B$1*$B$2+$B$3*1061</f>
        <v>45347</v>
      </c>
      <c r="AD40" s="41">
        <f>$B$1*$B$2+$B$3*1060</f>
        <v>45346</v>
      </c>
      <c r="AE40" s="41">
        <f>$B$1*$B$2+$B$3*1059</f>
        <v>45345</v>
      </c>
      <c r="AF40" s="41">
        <f>$B$1*$B$2+$B$3*1058</f>
        <v>45344</v>
      </c>
      <c r="AG40" s="41">
        <f>$B$1*$B$2+$B$3*1057</f>
        <v>45343</v>
      </c>
      <c r="AH40" s="55">
        <f>$B$1*$B$2+$B$3*1056</f>
        <v>45342</v>
      </c>
      <c r="AI40" s="4"/>
      <c r="AJ40" s="4"/>
      <c r="AK40" s="4"/>
      <c r="AL40" s="4"/>
    </row>
    <row r="41" spans="1:38" ht="24" customHeight="1">
      <c r="A41" s="78" t="s">
        <v>28</v>
      </c>
      <c r="B41" s="79"/>
      <c r="C41" s="79"/>
      <c r="D41" s="4"/>
      <c r="E41" s="4"/>
      <c r="F41" s="4"/>
      <c r="G41" s="4"/>
      <c r="H41" s="4"/>
      <c r="I41" s="80" t="s">
        <v>29</v>
      </c>
      <c r="J41" s="79"/>
      <c r="K41" s="79"/>
      <c r="L41" s="4"/>
      <c r="M41" s="4"/>
      <c r="N41" s="4"/>
      <c r="O41" s="4"/>
      <c r="P41" s="4"/>
      <c r="Q41" s="81" t="s">
        <v>30</v>
      </c>
      <c r="R41" s="79"/>
      <c r="S41" s="79"/>
      <c r="T41" s="4"/>
      <c r="U41" s="4"/>
      <c r="V41" s="4"/>
      <c r="W41" s="4"/>
      <c r="X41" s="4"/>
      <c r="Y41" s="81" t="s">
        <v>31</v>
      </c>
      <c r="Z41" s="79"/>
      <c r="AA41" s="79"/>
      <c r="AB41" s="4"/>
      <c r="AC41" s="4"/>
      <c r="AD41" s="4"/>
      <c r="AE41" s="4"/>
      <c r="AF41" s="4"/>
      <c r="AG41" s="63" t="s">
        <v>32</v>
      </c>
      <c r="AH41" s="64"/>
      <c r="AI41" s="64"/>
      <c r="AJ41" s="37"/>
      <c r="AK41" s="4"/>
      <c r="AL41" s="4"/>
    </row>
    <row r="42" spans="1:38" ht="24" customHeight="1">
      <c r="A42" s="70" t="s">
        <v>14</v>
      </c>
      <c r="B42" s="69"/>
      <c r="C42" s="69"/>
      <c r="D42" s="4"/>
      <c r="E42" s="4"/>
      <c r="F42" s="4"/>
      <c r="G42" s="4"/>
      <c r="H42" s="4"/>
      <c r="I42" s="70" t="s">
        <v>13</v>
      </c>
      <c r="J42" s="69"/>
      <c r="K42" s="69"/>
      <c r="L42" s="4"/>
      <c r="M42" s="4"/>
      <c r="N42" s="4"/>
      <c r="O42" s="4"/>
      <c r="P42" s="4"/>
      <c r="Q42" s="68">
        <v>0</v>
      </c>
      <c r="R42" s="69"/>
      <c r="S42" s="69"/>
      <c r="T42" s="4"/>
      <c r="U42" s="4"/>
      <c r="V42" s="4"/>
      <c r="W42" s="4"/>
      <c r="X42" s="4"/>
      <c r="Y42" s="68">
        <v>0.9375</v>
      </c>
      <c r="Z42" s="69"/>
      <c r="AA42" s="69"/>
      <c r="AB42" s="4"/>
      <c r="AC42" s="4"/>
      <c r="AD42" s="4"/>
      <c r="AE42" s="4"/>
      <c r="AF42" s="4"/>
      <c r="AG42" s="71" t="s">
        <v>33</v>
      </c>
      <c r="AH42" s="64"/>
      <c r="AI42" s="64"/>
      <c r="AJ42" s="38"/>
      <c r="AK42" s="4"/>
      <c r="AL42" s="4"/>
    </row>
    <row r="43" spans="1:38" ht="24" customHeight="1">
      <c r="A43" s="67" t="s">
        <v>34</v>
      </c>
      <c r="B43" s="64"/>
      <c r="C43" s="64"/>
      <c r="D43" s="4"/>
      <c r="E43" s="4"/>
      <c r="F43" s="4"/>
      <c r="G43" s="4"/>
      <c r="H43" s="4"/>
      <c r="I43" s="67" t="s">
        <v>35</v>
      </c>
      <c r="J43" s="64"/>
      <c r="K43" s="64"/>
      <c r="L43" s="4"/>
      <c r="M43" s="4"/>
      <c r="N43" s="4"/>
      <c r="O43" s="4"/>
      <c r="P43" s="4"/>
      <c r="Q43" s="67" t="s">
        <v>36</v>
      </c>
      <c r="R43" s="64"/>
      <c r="S43" s="64"/>
      <c r="T43" s="4"/>
      <c r="U43" s="4"/>
      <c r="V43" s="4"/>
      <c r="W43" s="4"/>
      <c r="X43" s="4"/>
      <c r="Y43" s="67" t="s">
        <v>37</v>
      </c>
      <c r="Z43" s="64"/>
      <c r="AA43" s="64"/>
      <c r="AB43" s="4"/>
      <c r="AC43" s="4"/>
      <c r="AD43" s="4"/>
      <c r="AE43" s="4"/>
      <c r="AF43" s="4"/>
      <c r="AG43" s="67" t="s">
        <v>38</v>
      </c>
      <c r="AH43" s="64"/>
      <c r="AI43" s="64"/>
      <c r="AJ43" s="10"/>
      <c r="AK43" s="4"/>
      <c r="AL43" s="4"/>
    </row>
    <row r="44" spans="1:38" ht="24" customHeight="1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67" t="s">
        <v>39</v>
      </c>
      <c r="R44" s="67"/>
      <c r="S44" s="67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  <c r="AE44" s="4"/>
      <c r="AF44" s="4"/>
      <c r="AG44" s="4"/>
      <c r="AH44" s="4"/>
      <c r="AI44" s="4"/>
      <c r="AJ44" s="4"/>
      <c r="AK44" s="4"/>
      <c r="AL44" s="4"/>
    </row>
    <row r="45" spans="1:38" ht="24" customHeight="1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  <c r="AD45" s="4"/>
      <c r="AE45" s="4"/>
      <c r="AF45" s="4"/>
      <c r="AG45" s="4"/>
      <c r="AH45" s="4"/>
      <c r="AI45" s="4"/>
      <c r="AJ45" s="4"/>
      <c r="AK45" s="4"/>
      <c r="AL45" s="4"/>
    </row>
    <row r="46" spans="1:38" ht="24" customHeight="1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  <c r="AF46" s="4"/>
      <c r="AG46" s="4"/>
      <c r="AH46" s="4"/>
      <c r="AI46" s="4"/>
      <c r="AJ46" s="4"/>
      <c r="AK46" s="4"/>
      <c r="AL46" s="4"/>
    </row>
    <row r="47" spans="1:38" ht="24" customHeight="1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  <c r="AB47" s="4"/>
      <c r="AC47" s="4"/>
      <c r="AD47" s="4"/>
      <c r="AE47" s="4"/>
      <c r="AF47" s="4"/>
      <c r="AG47" s="4"/>
      <c r="AH47" s="4"/>
      <c r="AI47" s="4"/>
      <c r="AJ47" s="4"/>
      <c r="AK47" s="4"/>
      <c r="AL47" s="4"/>
    </row>
    <row r="48" spans="1:38" ht="24" customHeight="1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  <c r="AC48" s="4"/>
      <c r="AD48" s="4"/>
      <c r="AE48" s="4"/>
      <c r="AF48" s="4"/>
      <c r="AG48" s="4"/>
      <c r="AH48" s="4"/>
    </row>
    <row r="49" spans="1:34" ht="24" customHeight="1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  <c r="AA49" s="4"/>
      <c r="AB49" s="4"/>
      <c r="AC49" s="4"/>
      <c r="AD49" s="4"/>
      <c r="AE49" s="4"/>
      <c r="AF49" s="4"/>
      <c r="AG49" s="4"/>
      <c r="AH49" s="4"/>
    </row>
  </sheetData>
  <mergeCells count="36">
    <mergeCell ref="AG43:AI43"/>
    <mergeCell ref="Q44:S44"/>
    <mergeCell ref="A41:C41"/>
    <mergeCell ref="I41:K41"/>
    <mergeCell ref="Q41:S41"/>
    <mergeCell ref="Y41:AA41"/>
    <mergeCell ref="A43:C43"/>
    <mergeCell ref="I43:K43"/>
    <mergeCell ref="Q43:S43"/>
    <mergeCell ref="Y43:AA43"/>
    <mergeCell ref="AG41:AI41"/>
    <mergeCell ref="A42:C42"/>
    <mergeCell ref="I42:K42"/>
    <mergeCell ref="Q42:S42"/>
    <mergeCell ref="Y42:AA42"/>
    <mergeCell ref="AG42:AI42"/>
    <mergeCell ref="A16:A17"/>
    <mergeCell ref="AI16:AI17"/>
    <mergeCell ref="A24:A25"/>
    <mergeCell ref="AI24:AI25"/>
    <mergeCell ref="A32:A33"/>
    <mergeCell ref="AI32:AI33"/>
    <mergeCell ref="I6:K6"/>
    <mergeCell ref="Q6:S6"/>
    <mergeCell ref="Y6:AA6"/>
    <mergeCell ref="AG6:AI6"/>
    <mergeCell ref="I7:K7"/>
    <mergeCell ref="Q7:S7"/>
    <mergeCell ref="Y7:AA7"/>
    <mergeCell ref="AG7:AI7"/>
    <mergeCell ref="AG5:AI5"/>
    <mergeCell ref="P1:T1"/>
    <mergeCell ref="Q4:S4"/>
    <mergeCell ref="I5:K5"/>
    <mergeCell ref="Q5:S5"/>
    <mergeCell ref="Y5:AA5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3C3653-516E-4E57-830D-67D4D7BA3C02}">
  <dimension ref="A1:AL49"/>
  <sheetViews>
    <sheetView tabSelected="1" topLeftCell="A20" zoomScaleNormal="100" workbookViewId="0">
      <selection activeCell="F33" sqref="F33"/>
    </sheetView>
  </sheetViews>
  <sheetFormatPr defaultRowHeight="24" customHeight="1"/>
  <sheetData>
    <row r="1" spans="1:38" ht="24" customHeight="1">
      <c r="A1" s="2" t="s">
        <v>0</v>
      </c>
      <c r="B1" s="3">
        <v>1704</v>
      </c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65" t="s">
        <v>1</v>
      </c>
      <c r="Q1" s="66"/>
      <c r="R1" s="66"/>
      <c r="S1" s="66"/>
      <c r="T1" s="66"/>
      <c r="U1" s="4"/>
      <c r="V1" s="4"/>
      <c r="W1" s="4"/>
      <c r="X1" s="4"/>
      <c r="Y1" s="4"/>
      <c r="Z1" s="4"/>
      <c r="AA1" s="4"/>
      <c r="AB1" s="4"/>
      <c r="AC1" s="4"/>
      <c r="AD1" s="5"/>
      <c r="AE1" s="5"/>
      <c r="AF1" s="5" t="s">
        <v>2</v>
      </c>
      <c r="AG1" s="5"/>
      <c r="AH1" s="5"/>
      <c r="AI1" s="4"/>
      <c r="AJ1" s="4"/>
      <c r="AK1" s="4"/>
      <c r="AL1" s="4"/>
    </row>
    <row r="2" spans="1:38" ht="24" customHeight="1">
      <c r="A2" s="2" t="s">
        <v>3</v>
      </c>
      <c r="B2" s="6">
        <v>1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7"/>
      <c r="Q2" s="8"/>
      <c r="R2" s="8"/>
      <c r="S2" s="8"/>
      <c r="T2" s="8"/>
      <c r="U2" s="4"/>
      <c r="V2" s="4"/>
      <c r="W2" s="4"/>
      <c r="X2" s="4"/>
      <c r="Y2" s="4"/>
      <c r="Z2" s="4"/>
      <c r="AA2" s="4"/>
      <c r="AB2" s="4"/>
      <c r="AC2" s="4"/>
      <c r="AD2" s="5"/>
      <c r="AE2" s="5"/>
      <c r="AF2" s="5" t="s">
        <v>4</v>
      </c>
      <c r="AG2" s="5"/>
      <c r="AH2" s="5"/>
      <c r="AI2" s="4"/>
      <c r="AJ2" s="4"/>
      <c r="AK2" s="4"/>
      <c r="AL2" s="4"/>
    </row>
    <row r="3" spans="1:38" ht="24" customHeight="1">
      <c r="A3" s="2" t="s">
        <v>5</v>
      </c>
      <c r="B3" s="6">
        <v>1</v>
      </c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7"/>
      <c r="Q3" s="8"/>
      <c r="R3" s="8"/>
      <c r="S3" s="8"/>
      <c r="T3" s="8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</row>
    <row r="4" spans="1:38" ht="24" customHeight="1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67" t="s">
        <v>6</v>
      </c>
      <c r="R4" s="67"/>
      <c r="S4" s="67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</row>
    <row r="5" spans="1:38" ht="24" customHeight="1">
      <c r="A5" s="9" t="s">
        <v>7</v>
      </c>
      <c r="B5" s="5"/>
      <c r="C5" s="5"/>
      <c r="D5" s="5"/>
      <c r="E5" s="5"/>
      <c r="F5" s="5"/>
      <c r="G5" s="5"/>
      <c r="H5" s="5"/>
      <c r="I5" s="63" t="s">
        <v>8</v>
      </c>
      <c r="J5" s="64"/>
      <c r="K5" s="64"/>
      <c r="L5" s="5"/>
      <c r="M5" s="5"/>
      <c r="N5" s="5"/>
      <c r="O5" s="5"/>
      <c r="P5" s="5"/>
      <c r="Q5" s="63" t="s">
        <v>9</v>
      </c>
      <c r="R5" s="64"/>
      <c r="S5" s="64"/>
      <c r="T5" s="5"/>
      <c r="U5" s="5"/>
      <c r="V5" s="5"/>
      <c r="W5" s="5"/>
      <c r="X5" s="5"/>
      <c r="Y5" s="63" t="s">
        <v>10</v>
      </c>
      <c r="Z5" s="64"/>
      <c r="AA5" s="64"/>
      <c r="AB5" s="5"/>
      <c r="AC5" s="5"/>
      <c r="AD5" s="5"/>
      <c r="AE5" s="5"/>
      <c r="AF5" s="5"/>
      <c r="AG5" s="63" t="s">
        <v>11</v>
      </c>
      <c r="AH5" s="64"/>
      <c r="AI5" s="64"/>
      <c r="AJ5" s="10"/>
      <c r="AK5" s="5"/>
      <c r="AL5" s="5"/>
    </row>
    <row r="6" spans="1:38" ht="24" customHeight="1">
      <c r="A6" s="11" t="s">
        <v>12</v>
      </c>
      <c r="B6" s="5"/>
      <c r="C6" s="5"/>
      <c r="D6" s="5"/>
      <c r="E6" s="5"/>
      <c r="F6" s="5"/>
      <c r="G6" s="5"/>
      <c r="H6" s="5"/>
      <c r="I6" s="68">
        <v>0.4375</v>
      </c>
      <c r="J6" s="69"/>
      <c r="K6" s="69"/>
      <c r="L6" s="5"/>
      <c r="M6" s="5"/>
      <c r="N6" s="5"/>
      <c r="O6" s="5"/>
      <c r="P6" s="5"/>
      <c r="Q6" s="68">
        <v>0.5</v>
      </c>
      <c r="R6" s="69"/>
      <c r="S6" s="69"/>
      <c r="T6" s="5"/>
      <c r="U6" s="5"/>
      <c r="V6" s="5"/>
      <c r="W6" s="5"/>
      <c r="X6" s="5"/>
      <c r="Y6" s="70" t="s">
        <v>13</v>
      </c>
      <c r="Z6" s="69"/>
      <c r="AA6" s="69"/>
      <c r="AB6" s="5"/>
      <c r="AC6" s="5"/>
      <c r="AD6" s="5"/>
      <c r="AE6" s="5"/>
      <c r="AF6" s="5"/>
      <c r="AG6" s="71" t="s">
        <v>14</v>
      </c>
      <c r="AH6" s="64"/>
      <c r="AI6" s="64"/>
      <c r="AJ6" s="10"/>
      <c r="AK6" s="5"/>
      <c r="AL6" s="5"/>
    </row>
    <row r="7" spans="1:38" ht="24" customHeight="1">
      <c r="A7" s="12" t="s">
        <v>15</v>
      </c>
      <c r="B7" s="5"/>
      <c r="C7" s="5"/>
      <c r="D7" s="5"/>
      <c r="E7" s="5"/>
      <c r="F7" s="5"/>
      <c r="G7" s="5"/>
      <c r="H7" s="5"/>
      <c r="I7" s="72" t="s">
        <v>16</v>
      </c>
      <c r="J7" s="73"/>
      <c r="K7" s="73"/>
      <c r="L7" s="5"/>
      <c r="M7" s="5"/>
      <c r="N7" s="5"/>
      <c r="O7" s="5"/>
      <c r="P7" s="5"/>
      <c r="Q7" s="72" t="s">
        <v>17</v>
      </c>
      <c r="R7" s="73"/>
      <c r="S7" s="73"/>
      <c r="T7" s="5"/>
      <c r="U7" s="5"/>
      <c r="V7" s="5"/>
      <c r="W7" s="5"/>
      <c r="X7" s="5"/>
      <c r="Y7" s="72" t="s">
        <v>18</v>
      </c>
      <c r="Z7" s="73"/>
      <c r="AA7" s="73"/>
      <c r="AB7" s="5"/>
      <c r="AC7" s="5"/>
      <c r="AD7" s="5"/>
      <c r="AE7" s="5"/>
      <c r="AF7" s="5"/>
      <c r="AG7" s="67" t="s">
        <v>19</v>
      </c>
      <c r="AH7" s="64"/>
      <c r="AI7" s="64"/>
      <c r="AJ7" s="10"/>
      <c r="AK7" s="5"/>
      <c r="AL7" s="5"/>
    </row>
    <row r="8" spans="1:38" ht="44.1" customHeight="1">
      <c r="A8" s="13"/>
      <c r="B8" s="14">
        <f>$B$1*$B$2+$B$3*992</f>
        <v>2696</v>
      </c>
      <c r="C8" s="15">
        <f>$B$1*$B$2+$B$3*993</f>
        <v>2697</v>
      </c>
      <c r="D8" s="15">
        <f>$B$1*$B$2+$B$3*994</f>
        <v>2698</v>
      </c>
      <c r="E8" s="15">
        <f>$B$1*$B$2+$B$3*995</f>
        <v>2699</v>
      </c>
      <c r="F8" s="15">
        <f>$B$1*$B$2+$B$3*996</f>
        <v>2700</v>
      </c>
      <c r="G8" s="15">
        <f>$B$1*$B$2+$B$3*997</f>
        <v>2701</v>
      </c>
      <c r="H8" s="15">
        <f>$B$1*$B$2+$B$3*998</f>
        <v>2702</v>
      </c>
      <c r="I8" s="15">
        <f>$B$1*$B$2+$B$3*999</f>
        <v>2703</v>
      </c>
      <c r="J8" s="15">
        <f>$B$1*$B$2+$B$3*1000</f>
        <v>2704</v>
      </c>
      <c r="K8" s="15">
        <f>$B$1*$B$2+$B$3*1001</f>
        <v>2705</v>
      </c>
      <c r="L8" s="15">
        <f>$B$1*$B$2+$B$3*1002</f>
        <v>2706</v>
      </c>
      <c r="M8" s="15">
        <f>$B$1*$B$2+$B$3*1003</f>
        <v>2707</v>
      </c>
      <c r="N8" s="15">
        <f>$B$1*$B$2+$B$3*1004</f>
        <v>2708</v>
      </c>
      <c r="O8" s="15">
        <f>$B$1*$B$2+$B$3*1005</f>
        <v>2709</v>
      </c>
      <c r="P8" s="15">
        <f>$B$1*$B$2+$B$3*1006</f>
        <v>2710</v>
      </c>
      <c r="Q8" s="15">
        <f>$B$1*$B$2+$B$3*1007</f>
        <v>2711</v>
      </c>
      <c r="R8" s="16">
        <f>$B$1*$B$2+$B$3*1008</f>
        <v>2712</v>
      </c>
      <c r="S8" s="15">
        <f>$B$1*$B$2+$B$3*1009</f>
        <v>2713</v>
      </c>
      <c r="T8" s="15">
        <f>$B$1*$B$2+$B$3*1010</f>
        <v>2714</v>
      </c>
      <c r="U8" s="15">
        <f>$B$1*$B$2+$B$3*1011</f>
        <v>2715</v>
      </c>
      <c r="V8" s="15">
        <f>$B$1*$B$2+$B$3*1012</f>
        <v>2716</v>
      </c>
      <c r="W8" s="15">
        <f>$B$1*$B$2+$B$3*1013</f>
        <v>2717</v>
      </c>
      <c r="X8" s="15">
        <f>$B$1*$B$2+$B$3*1014</f>
        <v>2718</v>
      </c>
      <c r="Y8" s="15">
        <f>$B$1*$B$2+$B$3*1015</f>
        <v>2719</v>
      </c>
      <c r="Z8" s="15">
        <f>$B$1*$B$2+$B$3*1016</f>
        <v>2720</v>
      </c>
      <c r="AA8" s="15">
        <f>$B$1*$B$2+$B$3*1017</f>
        <v>2721</v>
      </c>
      <c r="AB8" s="15">
        <f>$B$1*$B$2+$B$3*1018</f>
        <v>2722</v>
      </c>
      <c r="AC8" s="15">
        <f>$B$1*$B$2+$B$3*1019</f>
        <v>2723</v>
      </c>
      <c r="AD8" s="15">
        <f>$B$1*$B$2+$B$3*1020</f>
        <v>2724</v>
      </c>
      <c r="AE8" s="15">
        <f>$B$1*$B$2+$B$3*1021</f>
        <v>2725</v>
      </c>
      <c r="AF8" s="15">
        <f>$B$1*$B$2+$B$3*1022</f>
        <v>2726</v>
      </c>
      <c r="AG8" s="15">
        <f>$B$1*$B$2+$B$3*1023</f>
        <v>2727</v>
      </c>
      <c r="AH8" s="17">
        <f>$B$1*$B$2+$B$3*1024</f>
        <v>2728</v>
      </c>
      <c r="AI8" s="18"/>
      <c r="AJ8" s="4"/>
      <c r="AK8" s="4"/>
      <c r="AL8" s="4"/>
    </row>
    <row r="9" spans="1:38" ht="44.1" customHeight="1">
      <c r="A9" s="19"/>
      <c r="B9" s="20">
        <f>$B$1*$B$2+$B$3*991</f>
        <v>2695</v>
      </c>
      <c r="C9" s="14">
        <f>$B$1*$B$2+$B$3*870</f>
        <v>2574</v>
      </c>
      <c r="D9" s="15">
        <f>$B$1*$B$2+$B$3*871</f>
        <v>2575</v>
      </c>
      <c r="E9" s="15">
        <f>$B$1*$B$2+$B$3*872</f>
        <v>2576</v>
      </c>
      <c r="F9" s="15">
        <f>$B$1*$B$2+$B$3*873</f>
        <v>2577</v>
      </c>
      <c r="G9" s="15">
        <f>$B$1*$B$2+$B$3*874</f>
        <v>2578</v>
      </c>
      <c r="H9" s="15">
        <f>$B$1*$B$2+$B$3*875</f>
        <v>2579</v>
      </c>
      <c r="I9" s="15">
        <f>$B$1*$B$2+$B$3*876</f>
        <v>2580</v>
      </c>
      <c r="J9" s="15">
        <f>$B$1*$B$2+$B$3*877</f>
        <v>2581</v>
      </c>
      <c r="K9" s="15">
        <f>$B$1*$B$2+$B$3*878</f>
        <v>2582</v>
      </c>
      <c r="L9" s="15">
        <f>$B$1*$B$2+$B$3*879</f>
        <v>2583</v>
      </c>
      <c r="M9" s="15">
        <f>$B$1*$B$2+$B$3*880</f>
        <v>2584</v>
      </c>
      <c r="N9" s="15">
        <f>$B$1*$B$2+$B$3*881</f>
        <v>2585</v>
      </c>
      <c r="O9" s="15">
        <f>$B$1*$B$2+$B$3*882</f>
        <v>2586</v>
      </c>
      <c r="P9" s="15">
        <f>$B$1*$B$2+$B$3*883</f>
        <v>2587</v>
      </c>
      <c r="Q9" s="15">
        <f>$B$1*$B$2+$B$3*884</f>
        <v>2588</v>
      </c>
      <c r="R9" s="16">
        <f>$B$1*$B$2+$B$3*885</f>
        <v>2589</v>
      </c>
      <c r="S9" s="15">
        <f>$B$1*$B$2+$B$3*886</f>
        <v>2590</v>
      </c>
      <c r="T9" s="15">
        <f>$B$1*$B$2+$B$3*887</f>
        <v>2591</v>
      </c>
      <c r="U9" s="15">
        <f>$B$1*$B$2+$B$3*888</f>
        <v>2592</v>
      </c>
      <c r="V9" s="15">
        <f>$B$1*$B$2+$B$3*889</f>
        <v>2593</v>
      </c>
      <c r="W9" s="15">
        <f>$B$1*$B$2+$B$3*890</f>
        <v>2594</v>
      </c>
      <c r="X9" s="15">
        <f>$B$1*$B$2+$B$3*891</f>
        <v>2595</v>
      </c>
      <c r="Y9" s="15">
        <f>$B$1*$B$2+$B$3*892</f>
        <v>2596</v>
      </c>
      <c r="Z9" s="15">
        <f>$B$1*$B$2+$B$3*893</f>
        <v>2597</v>
      </c>
      <c r="AA9" s="15">
        <f>$B$1*$B$2+$B$3*894</f>
        <v>2598</v>
      </c>
      <c r="AB9" s="15">
        <f>$B$1*$B$2+$B$3*895</f>
        <v>2599</v>
      </c>
      <c r="AC9" s="15">
        <f>$B$1*$B$2+$B$3*896</f>
        <v>2600</v>
      </c>
      <c r="AD9" s="15">
        <f>$B$1*$B$2+$B$3*897</f>
        <v>2601</v>
      </c>
      <c r="AE9" s="15">
        <f>$B$1*$B$2+$B$3*898</f>
        <v>2602</v>
      </c>
      <c r="AF9" s="15">
        <f>$B$1*$B$2+$B$3*899</f>
        <v>2603</v>
      </c>
      <c r="AG9" s="17">
        <f>$B$1*$B$2+$B$3*900</f>
        <v>2604</v>
      </c>
      <c r="AH9" s="20">
        <f>$B$1*$B$2+$B$3*1025</f>
        <v>2729</v>
      </c>
      <c r="AI9" s="18"/>
      <c r="AJ9" s="4"/>
      <c r="AK9" s="4"/>
      <c r="AL9" s="4"/>
    </row>
    <row r="10" spans="1:38" ht="44.1" customHeight="1">
      <c r="A10" s="4"/>
      <c r="B10" s="20">
        <f>$B$1*$B$2+$B$3*990</f>
        <v>2694</v>
      </c>
      <c r="C10" s="20">
        <f>$B$1*$B$2+$B$3*869</f>
        <v>2573</v>
      </c>
      <c r="D10" s="14">
        <f>$B$1*$B$2+$B$3*756</f>
        <v>2460</v>
      </c>
      <c r="E10" s="15">
        <f>$B$1*$B$2+$B$3*757</f>
        <v>2461</v>
      </c>
      <c r="F10" s="15">
        <f>$B$1*$B$2+$B$3*758</f>
        <v>2462</v>
      </c>
      <c r="G10" s="15">
        <f>$B$1*$B$2+$B$3*759</f>
        <v>2463</v>
      </c>
      <c r="H10" s="15">
        <f>$B$1*$B$2+$B$3*760</f>
        <v>2464</v>
      </c>
      <c r="I10" s="15">
        <f>$B$1*$B$2+$B$3*761</f>
        <v>2465</v>
      </c>
      <c r="J10" s="15">
        <f>$B$1*$B$2+$B$3*762</f>
        <v>2466</v>
      </c>
      <c r="K10" s="15">
        <f>$B$1*$B$2+$B$3*763</f>
        <v>2467</v>
      </c>
      <c r="L10" s="15">
        <f>$B$1*$B$2+$B$3*764</f>
        <v>2468</v>
      </c>
      <c r="M10" s="15">
        <f>$B$1*$B$2+$B$3*765</f>
        <v>2469</v>
      </c>
      <c r="N10" s="15">
        <f>$B$1*$B$2+$B$3*766</f>
        <v>2470</v>
      </c>
      <c r="O10" s="15">
        <f>$B$1*$B$2+$B$3*767</f>
        <v>2471</v>
      </c>
      <c r="P10" s="15">
        <f>$B$1*$B$2+$B$3*768</f>
        <v>2472</v>
      </c>
      <c r="Q10" s="15">
        <f>$B$1*$B$2+$B$3*769</f>
        <v>2473</v>
      </c>
      <c r="R10" s="16">
        <f>$B$1*$B$2+$B$3*770</f>
        <v>2474</v>
      </c>
      <c r="S10" s="15">
        <f>$B$1*$B$2+$B$3*771</f>
        <v>2475</v>
      </c>
      <c r="T10" s="15">
        <f>$B$1*$B$2+$B$3*772</f>
        <v>2476</v>
      </c>
      <c r="U10" s="15">
        <f>$B$1*$B$2+$B$3*773</f>
        <v>2477</v>
      </c>
      <c r="V10" s="15">
        <f>$B$1*$B$2+$B$3*774</f>
        <v>2478</v>
      </c>
      <c r="W10" s="15">
        <f>$B$1*$B$2+$B$3*775</f>
        <v>2479</v>
      </c>
      <c r="X10" s="15">
        <f>$B$1*$B$2+$B$3*776</f>
        <v>2480</v>
      </c>
      <c r="Y10" s="15">
        <f>$B$1*$B$2+$B$3*777</f>
        <v>2481</v>
      </c>
      <c r="Z10" s="15">
        <f>$B$1*$B$2+$B$3*778</f>
        <v>2482</v>
      </c>
      <c r="AA10" s="15">
        <f>$B$1*$B$2+$B$3*779</f>
        <v>2483</v>
      </c>
      <c r="AB10" s="15">
        <f>$B$1*$B$2+$B$3*780</f>
        <v>2484</v>
      </c>
      <c r="AC10" s="15">
        <f>$B$1*$B$2+$B$3*781</f>
        <v>2485</v>
      </c>
      <c r="AD10" s="15">
        <f>$B$1*$B$2+$B$3*782</f>
        <v>2486</v>
      </c>
      <c r="AE10" s="15">
        <f>$B$1*$B$2+$B$3*783</f>
        <v>2487</v>
      </c>
      <c r="AF10" s="17">
        <f>$B$1*$B$2+$B$3*784</f>
        <v>2488</v>
      </c>
      <c r="AG10" s="21">
        <f>$B$1*$B$2+$B$3*901</f>
        <v>2605</v>
      </c>
      <c r="AH10" s="20">
        <f>$B$1*$B$2+$B$3*1026</f>
        <v>2730</v>
      </c>
      <c r="AI10" s="4"/>
      <c r="AJ10" s="4"/>
      <c r="AK10" s="4"/>
      <c r="AL10" s="4"/>
    </row>
    <row r="11" spans="1:38" ht="44.1" customHeight="1">
      <c r="A11" s="4"/>
      <c r="B11" s="20">
        <f>$B$1*$B$2+$B$3*989</f>
        <v>2693</v>
      </c>
      <c r="C11" s="20">
        <f>$B$1*$B$2+$B$3*868</f>
        <v>2572</v>
      </c>
      <c r="D11" s="22">
        <f>$B$1*$B$2+$B$3*755</f>
        <v>2459</v>
      </c>
      <c r="E11" s="14">
        <f>$B$1*$B$2+$B$3*650</f>
        <v>2354</v>
      </c>
      <c r="F11" s="23">
        <f>$B$1*$B$2+$B$3*651</f>
        <v>2355</v>
      </c>
      <c r="G11" s="23">
        <f>$B$1*$B$2+$B$3*652</f>
        <v>2356</v>
      </c>
      <c r="H11" s="23">
        <f>$B$1*$B$2+$B$3*653</f>
        <v>2357</v>
      </c>
      <c r="I11" s="23">
        <f>$B$1*$B$2+$B$3*654</f>
        <v>2358</v>
      </c>
      <c r="J11" s="23">
        <f>$B$1*$B$2+$B$3*655</f>
        <v>2359</v>
      </c>
      <c r="K11" s="23">
        <f>$B$1*$B$2+$B$3*656</f>
        <v>2360</v>
      </c>
      <c r="L11" s="23">
        <f>$B$1*$B$2+$B$3*657</f>
        <v>2361</v>
      </c>
      <c r="M11" s="23">
        <f>$B$1*$B$2+$B$3*658</f>
        <v>2362</v>
      </c>
      <c r="N11" s="23">
        <f>$B$1*$B$2+$B$3*659</f>
        <v>2363</v>
      </c>
      <c r="O11" s="23">
        <f>$B$1*$B$2+$B$3*660</f>
        <v>2364</v>
      </c>
      <c r="P11" s="23">
        <f>$B$1*$B$2+$B$3*661</f>
        <v>2365</v>
      </c>
      <c r="Q11" s="23">
        <f>$B$1*$B$2+$B$3*662</f>
        <v>2366</v>
      </c>
      <c r="R11" s="24">
        <f>$B$1*$B$2+$B$3*663</f>
        <v>2367</v>
      </c>
      <c r="S11" s="23">
        <f>$B$1*$B$2+$B$3*664</f>
        <v>2368</v>
      </c>
      <c r="T11" s="23">
        <f>$B$1*$B$2+$B$3*665</f>
        <v>2369</v>
      </c>
      <c r="U11" s="23">
        <f>$B$1*$B$2+$B$3*666</f>
        <v>2370</v>
      </c>
      <c r="V11" s="23">
        <f>$B$1*$B$2+$B$3*667</f>
        <v>2371</v>
      </c>
      <c r="W11" s="23">
        <f>$B$1*$B$2+$B$3*668</f>
        <v>2372</v>
      </c>
      <c r="X11" s="23">
        <f>$B$1*$B$2+$B$3*669</f>
        <v>2373</v>
      </c>
      <c r="Y11" s="23">
        <f>$B$1*$B$2+$B$3*670</f>
        <v>2374</v>
      </c>
      <c r="Z11" s="23">
        <f>$B$1*$B$2+$B$3*671</f>
        <v>2375</v>
      </c>
      <c r="AA11" s="23">
        <f>$B$1*$B$2+$B$3*672</f>
        <v>2376</v>
      </c>
      <c r="AB11" s="23">
        <f>$B$1*$B$2+$B$3*673</f>
        <v>2377</v>
      </c>
      <c r="AC11" s="23">
        <f>$B$1*$B$2+$B$3*674</f>
        <v>2378</v>
      </c>
      <c r="AD11" s="23">
        <f>$B$1*$B$2+$B$3*675</f>
        <v>2379</v>
      </c>
      <c r="AE11" s="17">
        <f>$B$1*$B$2+$B$3*676</f>
        <v>2380</v>
      </c>
      <c r="AF11" s="21">
        <f>$B$1*$B$2+$B$3*785</f>
        <v>2489</v>
      </c>
      <c r="AG11" s="21">
        <f>$B$1*$B$2+$B$3*902</f>
        <v>2606</v>
      </c>
      <c r="AH11" s="20">
        <f>$B$1*$B$2+$B$3*1027</f>
        <v>2731</v>
      </c>
      <c r="AI11" s="4"/>
      <c r="AJ11" s="4"/>
      <c r="AK11" s="4"/>
      <c r="AL11" s="4"/>
    </row>
    <row r="12" spans="1:38" ht="44.1" customHeight="1">
      <c r="A12" s="4"/>
      <c r="B12" s="20">
        <f>$B$1*$B$2+$B$3*988</f>
        <v>2692</v>
      </c>
      <c r="C12" s="20">
        <f>$B$1*$B$2+$B$3*867</f>
        <v>2571</v>
      </c>
      <c r="D12" s="22">
        <f>$B$1*$B$2+$B$3*754</f>
        <v>2458</v>
      </c>
      <c r="E12" s="22">
        <f>$B$1*$B$2+$B$3*649</f>
        <v>2353</v>
      </c>
      <c r="F12" s="14">
        <f>$B$1*$B$2+$B$3*552</f>
        <v>2256</v>
      </c>
      <c r="G12" s="23">
        <f>$B$1*$B$2+$B$3*553</f>
        <v>2257</v>
      </c>
      <c r="H12" s="23">
        <f>$B$1*$B$2+$B$3*554</f>
        <v>2258</v>
      </c>
      <c r="I12" s="23">
        <f>$B$1*$B$2+$B$3*555</f>
        <v>2259</v>
      </c>
      <c r="J12" s="23">
        <f>$B$1*$B$2+$B$3*556</f>
        <v>2260</v>
      </c>
      <c r="K12" s="23">
        <f>$B$1*$B$2+$B$3*557</f>
        <v>2261</v>
      </c>
      <c r="L12" s="23">
        <f>$B$1*$B$2+$B$3*558</f>
        <v>2262</v>
      </c>
      <c r="M12" s="23">
        <f>$B$1*$B$2+$B$3*559</f>
        <v>2263</v>
      </c>
      <c r="N12" s="23">
        <f>$B$1*$B$2+$B$3*560</f>
        <v>2264</v>
      </c>
      <c r="O12" s="23">
        <f>$B$1*$B$2+$B$3*561</f>
        <v>2265</v>
      </c>
      <c r="P12" s="23">
        <f>$B$1*$B$2+$B$3*562</f>
        <v>2266</v>
      </c>
      <c r="Q12" s="23">
        <f>$B$1*$B$2+$B$3*563</f>
        <v>2267</v>
      </c>
      <c r="R12" s="24">
        <f>$B$1*$B$2+$B$3*564</f>
        <v>2268</v>
      </c>
      <c r="S12" s="23">
        <f>$B$1*$B$2+$B$3*565</f>
        <v>2269</v>
      </c>
      <c r="T12" s="23">
        <f>$B$1*$B$2+$B$3*566</f>
        <v>2270</v>
      </c>
      <c r="U12" s="23">
        <f>$B$1*$B$2+$B$3*567</f>
        <v>2271</v>
      </c>
      <c r="V12" s="23">
        <f>$B$1*$B$2+$B$3*568</f>
        <v>2272</v>
      </c>
      <c r="W12" s="23">
        <f>$B$1*$B$2+$B$3*569</f>
        <v>2273</v>
      </c>
      <c r="X12" s="15">
        <f>$B$1*$B$2+$B$3*570</f>
        <v>2274</v>
      </c>
      <c r="Y12" s="23">
        <f>$B$1*$B$2+$B$3*571</f>
        <v>2275</v>
      </c>
      <c r="Z12" s="23">
        <f>$B$1*$B$2+$B$3*572</f>
        <v>2276</v>
      </c>
      <c r="AA12" s="23">
        <f>$B$1*$B$2+$B$3*573</f>
        <v>2277</v>
      </c>
      <c r="AB12" s="23">
        <f>$B$1*$B$2+$B$3*574</f>
        <v>2278</v>
      </c>
      <c r="AC12" s="23">
        <f>$B$1*$B$2+$B$3*575</f>
        <v>2279</v>
      </c>
      <c r="AD12" s="17">
        <f>$B$1*$B$2+$B$3*576</f>
        <v>2280</v>
      </c>
      <c r="AE12" s="21">
        <f>$B$1*$B$2+$B$3*677</f>
        <v>2381</v>
      </c>
      <c r="AF12" s="21">
        <f>$B$1*$B$2+$B$3*786</f>
        <v>2490</v>
      </c>
      <c r="AG12" s="21">
        <f>$B$1*$B$2+$B$3*903</f>
        <v>2607</v>
      </c>
      <c r="AH12" s="20">
        <f>$B$1*$B$2+$B$3*1028</f>
        <v>2732</v>
      </c>
      <c r="AI12" s="4"/>
      <c r="AJ12" s="4"/>
      <c r="AK12" s="4"/>
      <c r="AL12" s="4"/>
    </row>
    <row r="13" spans="1:38" ht="44.1" customHeight="1">
      <c r="A13" s="4"/>
      <c r="B13" s="20">
        <f>$B$1*$B$2+$B$3*987</f>
        <v>2691</v>
      </c>
      <c r="C13" s="20">
        <f>$B$1*$B$2+$B$3*866</f>
        <v>2570</v>
      </c>
      <c r="D13" s="22">
        <f>$B$1*$B$2+$B$3*753</f>
        <v>2457</v>
      </c>
      <c r="E13" s="22">
        <f>$B$1*$B$2+$B$3*648</f>
        <v>2352</v>
      </c>
      <c r="F13" s="22">
        <f>$B$1*$B$2+$B$3*551</f>
        <v>2255</v>
      </c>
      <c r="G13" s="14">
        <f>$B$1*$B$2+$B$3*462</f>
        <v>2166</v>
      </c>
      <c r="H13" s="23">
        <f>$B$1*$B$2+$B$3*463</f>
        <v>2167</v>
      </c>
      <c r="I13" s="23">
        <f>$B$1*$B$2+$B$3*464</f>
        <v>2168</v>
      </c>
      <c r="J13" s="23">
        <f>$B$1*$B$2+$B$3*465</f>
        <v>2169</v>
      </c>
      <c r="K13" s="23">
        <f>$B$1*$B$2+$B$3*466</f>
        <v>2170</v>
      </c>
      <c r="L13" s="23">
        <f>$B$1*$B$2+$B$3*467</f>
        <v>2171</v>
      </c>
      <c r="M13" s="23">
        <f>$B$1*$B$2+$B$3*468</f>
        <v>2172</v>
      </c>
      <c r="N13" s="23">
        <f>$B$1*$B$2+$B$3*469</f>
        <v>2173</v>
      </c>
      <c r="O13" s="23">
        <f>$B$1*$B$2+$B$3*470</f>
        <v>2174</v>
      </c>
      <c r="P13" s="23">
        <f>$B$1*$B$2+$B$3*471</f>
        <v>2175</v>
      </c>
      <c r="Q13" s="23">
        <f>$B$1*$B$2+$B$3*472</f>
        <v>2176</v>
      </c>
      <c r="R13" s="24">
        <f>$B$1*$B$2+$B$3*473</f>
        <v>2177</v>
      </c>
      <c r="S13" s="23">
        <f>$B$1*$B$2+$B$3*474</f>
        <v>2178</v>
      </c>
      <c r="T13" s="23">
        <f>$B$1*$B$2+$B$3*475</f>
        <v>2179</v>
      </c>
      <c r="U13" s="23">
        <f>$B$1*$B$2+$B$3*476</f>
        <v>2180</v>
      </c>
      <c r="V13" s="23">
        <f>$B$1*$B$2+$B$3*477</f>
        <v>2181</v>
      </c>
      <c r="W13" s="23">
        <f>$B$1*$B$2+$B$3*478</f>
        <v>2182</v>
      </c>
      <c r="X13" s="23">
        <f>$B$1*$B$2+$B$3*479</f>
        <v>2183</v>
      </c>
      <c r="Y13" s="23">
        <f>$B$1*$B$2+$B$3*480</f>
        <v>2184</v>
      </c>
      <c r="Z13" s="23">
        <f>$B$1*$B$2+$B$3*481</f>
        <v>2185</v>
      </c>
      <c r="AA13" s="23">
        <f>$B$1*$B$2+$B$3*482</f>
        <v>2186</v>
      </c>
      <c r="AB13" s="23">
        <f>$B$1*$B$2+$B$3*483</f>
        <v>2187</v>
      </c>
      <c r="AC13" s="17">
        <f>$B$1*$B$2+$B$3*484</f>
        <v>2188</v>
      </c>
      <c r="AD13" s="21">
        <f>$B$1*$B$2+$B$3*577</f>
        <v>2281</v>
      </c>
      <c r="AE13" s="21">
        <f>$B$1*$B$2+$B$3*678</f>
        <v>2382</v>
      </c>
      <c r="AF13" s="21">
        <f>$B$1*$B$2+$B$3*787</f>
        <v>2491</v>
      </c>
      <c r="AG13" s="21">
        <f>$B$1*$B$2+$B$3*904</f>
        <v>2608</v>
      </c>
      <c r="AH13" s="20">
        <f>$B$1*$B$2+$B$3*1029</f>
        <v>2733</v>
      </c>
      <c r="AI13" s="4"/>
      <c r="AJ13" s="4"/>
      <c r="AK13" s="4"/>
      <c r="AL13" s="4"/>
    </row>
    <row r="14" spans="1:38" ht="44.1" customHeight="1">
      <c r="A14" s="4"/>
      <c r="B14" s="20">
        <f>$B$1*$B$2+$B$3*986</f>
        <v>2690</v>
      </c>
      <c r="C14" s="20">
        <f>$B$1*$B$2+$B$3*865</f>
        <v>2569</v>
      </c>
      <c r="D14" s="22">
        <f>$B$1*$B$2+$B$3*752</f>
        <v>2456</v>
      </c>
      <c r="E14" s="22">
        <f>$B$1*$B$2+$B$3*647</f>
        <v>2351</v>
      </c>
      <c r="F14" s="22">
        <f>$B$1*$B$2+$B$3*550</f>
        <v>2254</v>
      </c>
      <c r="G14" s="22">
        <f>$B$1*$B$2+$B$3*461</f>
        <v>2165</v>
      </c>
      <c r="H14" s="14">
        <f>$B$1*$B$2+$B$3*380</f>
        <v>2084</v>
      </c>
      <c r="I14" s="23">
        <f>$B$1*$B$2+$B$3*381</f>
        <v>2085</v>
      </c>
      <c r="J14" s="23">
        <f>$B$1*$B$2+$B$3*382</f>
        <v>2086</v>
      </c>
      <c r="K14" s="23">
        <f>$B$1*$B$2+$B$3*383</f>
        <v>2087</v>
      </c>
      <c r="L14" s="23">
        <f>$B$1*$B$2+$B$3*384</f>
        <v>2088</v>
      </c>
      <c r="M14" s="23">
        <f>$B$1*$B$2+$B$3*385</f>
        <v>2089</v>
      </c>
      <c r="N14" s="23">
        <f>$B$1*$B$2+$B$3*386</f>
        <v>2090</v>
      </c>
      <c r="O14" s="23">
        <f>$B$1*$B$2+$B$3*387</f>
        <v>2091</v>
      </c>
      <c r="P14" s="23">
        <f>$B$1*$B$2+$B$3*388</f>
        <v>2092</v>
      </c>
      <c r="Q14" s="23">
        <f>$B$1*$B$2+$B$3*389</f>
        <v>2093</v>
      </c>
      <c r="R14" s="24">
        <f>$B$1*$B$2+$B$3*390</f>
        <v>2094</v>
      </c>
      <c r="S14" s="23">
        <f>$B$1*$B$2+$B$3*391</f>
        <v>2095</v>
      </c>
      <c r="T14" s="23">
        <f>$B$1*$B$2+$B$3*392</f>
        <v>2096</v>
      </c>
      <c r="U14" s="23">
        <f>$B$1*$B$2+$B$3*393</f>
        <v>2097</v>
      </c>
      <c r="V14" s="23">
        <f>$B$1*$B$2+$B$3*394</f>
        <v>2098</v>
      </c>
      <c r="W14" s="15">
        <f>$B$1*$B$2+$B$3*395</f>
        <v>2099</v>
      </c>
      <c r="X14" s="23">
        <f>$B$1*$B$2+$B$3*396</f>
        <v>2100</v>
      </c>
      <c r="Y14" s="23">
        <f>$B$1*$B$2+$B$3*397</f>
        <v>2101</v>
      </c>
      <c r="Z14" s="23">
        <f>$B$1*$B$2+$B$3*398</f>
        <v>2102</v>
      </c>
      <c r="AA14" s="23">
        <f>$B$1*$B$2+$B$3*399</f>
        <v>2103</v>
      </c>
      <c r="AB14" s="17">
        <f>$B$1*$B$2+$B$3*400</f>
        <v>2104</v>
      </c>
      <c r="AC14" s="21">
        <f>$B$1*$B$2+$B$3*485</f>
        <v>2189</v>
      </c>
      <c r="AD14" s="21">
        <f>$B$1*$B$2+$B$3*578</f>
        <v>2282</v>
      </c>
      <c r="AE14" s="21">
        <f>$B$1*$B$2+$B$3*679</f>
        <v>2383</v>
      </c>
      <c r="AF14" s="21">
        <f>$B$1*$B$2+$B$3*788</f>
        <v>2492</v>
      </c>
      <c r="AG14" s="21">
        <f>$B$1*$B$2+$B$3*905</f>
        <v>2609</v>
      </c>
      <c r="AH14" s="20">
        <f>$B$1*$B$2+$B$3*1030</f>
        <v>2734</v>
      </c>
      <c r="AI14" s="4"/>
      <c r="AJ14" s="4"/>
      <c r="AK14" s="4"/>
      <c r="AL14" s="4"/>
    </row>
    <row r="15" spans="1:38" ht="44.1" customHeight="1">
      <c r="A15" s="25"/>
      <c r="B15" s="20">
        <f>$B$1*$B$2+$B$3*985</f>
        <v>2689</v>
      </c>
      <c r="C15" s="20">
        <f>$B$1*$B$2+$B$3*864</f>
        <v>2568</v>
      </c>
      <c r="D15" s="22">
        <f>$B$1*$B$2+$B$3*751</f>
        <v>2455</v>
      </c>
      <c r="E15" s="22">
        <f>$B$1*$B$2+$B$3*646</f>
        <v>2350</v>
      </c>
      <c r="F15" s="22">
        <f>$B$1*$B$2+$B$3*549</f>
        <v>2253</v>
      </c>
      <c r="G15" s="22">
        <f>$B$1*$B$2+$B$3*460</f>
        <v>2164</v>
      </c>
      <c r="H15" s="22">
        <f>$B$1*$B$2+$B$3*379</f>
        <v>2083</v>
      </c>
      <c r="I15" s="14">
        <f>$B$1*$B$2+$B$3*306</f>
        <v>2010</v>
      </c>
      <c r="J15" s="23">
        <f>$B$1*$B$2+$B$3*307</f>
        <v>2011</v>
      </c>
      <c r="K15" s="23">
        <f>$B$1*$B$2+$B$3*308</f>
        <v>2012</v>
      </c>
      <c r="L15" s="23">
        <f>$B$1*$B$2+$B$3*309</f>
        <v>2013</v>
      </c>
      <c r="M15" s="23">
        <f>$B$1*$B$2+$B$3*310</f>
        <v>2014</v>
      </c>
      <c r="N15" s="23">
        <f>$B$1*$B$2+$B$3*311</f>
        <v>2015</v>
      </c>
      <c r="O15" s="23">
        <f>$B$1*$B$2+$B$3*312</f>
        <v>2016</v>
      </c>
      <c r="P15" s="23">
        <f>$B$1*$B$2+$B$3*313</f>
        <v>2017</v>
      </c>
      <c r="Q15" s="23">
        <f>$B$1*$B$2+$B$3*314</f>
        <v>2018</v>
      </c>
      <c r="R15" s="24">
        <f>$B$1*$B$2+$B$3*315</f>
        <v>2019</v>
      </c>
      <c r="S15" s="23">
        <f>$B$1*$B$2+$B$3*316</f>
        <v>2020</v>
      </c>
      <c r="T15" s="23">
        <f>$B$1*$B$2+$B$3*317</f>
        <v>2021</v>
      </c>
      <c r="U15" s="23">
        <f>$B$1*$B$2+$B$3*318</f>
        <v>2022</v>
      </c>
      <c r="V15" s="23">
        <f>$B$1*$B$2+$B$3*319</f>
        <v>2023</v>
      </c>
      <c r="W15" s="23">
        <f>$B$1*$B$2+$B$3*320</f>
        <v>2024</v>
      </c>
      <c r="X15" s="23">
        <f>$B$1*$B$2+$B$3*321</f>
        <v>2025</v>
      </c>
      <c r="Y15" s="23">
        <f>$B$1*$B$2+$B$3*322</f>
        <v>2026</v>
      </c>
      <c r="Z15" s="23">
        <f>$B$1*$B$2+$B$3*323</f>
        <v>2027</v>
      </c>
      <c r="AA15" s="17">
        <f>$B$1*$B$2+$B$3*324</f>
        <v>2028</v>
      </c>
      <c r="AB15" s="21">
        <f>$B$1*$B$2+$B$3*401</f>
        <v>2105</v>
      </c>
      <c r="AC15" s="21">
        <f>$B$1*$B$2+$B$3*486</f>
        <v>2190</v>
      </c>
      <c r="AD15" s="21">
        <f>$B$1*$B$2+$B$3*579</f>
        <v>2283</v>
      </c>
      <c r="AE15" s="21">
        <f>$B$1*$B$2+$B$3*680</f>
        <v>2384</v>
      </c>
      <c r="AF15" s="21">
        <f>$B$1*$B$2+$B$3*789</f>
        <v>2493</v>
      </c>
      <c r="AG15" s="21">
        <f>$B$1*$B$2+$B$3*906</f>
        <v>2610</v>
      </c>
      <c r="AH15" s="20">
        <f>$B$1*$B$2+$B$3*1031</f>
        <v>2735</v>
      </c>
      <c r="AI15" s="25"/>
      <c r="AJ15" s="4"/>
      <c r="AK15" s="4"/>
      <c r="AL15" s="4"/>
    </row>
    <row r="16" spans="1:38" ht="44.1" customHeight="1">
      <c r="A16" s="74" t="s">
        <v>20</v>
      </c>
      <c r="B16" s="20">
        <f>$B$1*$B$2+$B$3*984</f>
        <v>2688</v>
      </c>
      <c r="C16" s="20">
        <f>$B$1*$B$2+$B$3*863</f>
        <v>2567</v>
      </c>
      <c r="D16" s="22">
        <f>$B$1*$B$2+$B$3*750</f>
        <v>2454</v>
      </c>
      <c r="E16" s="22">
        <f>$B$1*$B$2+$B$3*645</f>
        <v>2349</v>
      </c>
      <c r="F16" s="22">
        <f>$B$1*$B$2+$B$3*548</f>
        <v>2252</v>
      </c>
      <c r="G16" s="22">
        <f>$B$1*$B$2+$B$3*459</f>
        <v>2163</v>
      </c>
      <c r="H16" s="22">
        <f>$B$1*$B$2+$B$3*378</f>
        <v>2082</v>
      </c>
      <c r="I16" s="22">
        <f>$B$1*$B$2+$B$3*305</f>
        <v>2009</v>
      </c>
      <c r="J16" s="14">
        <f>$B$1*$B$2+$B$3*240</f>
        <v>1944</v>
      </c>
      <c r="K16" s="23">
        <f>$B$1*$B$2+$B$3*241</f>
        <v>1945</v>
      </c>
      <c r="L16" s="23">
        <f>$B$1*$B$2+$B$3*242</f>
        <v>1946</v>
      </c>
      <c r="M16" s="23">
        <f>$B$1*$B$2+$B$3*243</f>
        <v>1947</v>
      </c>
      <c r="N16" s="23">
        <f>$B$1*$B$2+$B$3*244</f>
        <v>1948</v>
      </c>
      <c r="O16" s="23">
        <f>$B$1*$B$2+$B$3*245</f>
        <v>1949</v>
      </c>
      <c r="P16" s="23">
        <f>$B$1*$B$2+$B$3*246</f>
        <v>1950</v>
      </c>
      <c r="Q16" s="23">
        <f>$B$1*$B$2+$B$3*247</f>
        <v>1951</v>
      </c>
      <c r="R16" s="24">
        <f>$B$1*$B$2+$B$3*248</f>
        <v>1952</v>
      </c>
      <c r="S16" s="23">
        <f>$B$1*$B$2+$B$3*249</f>
        <v>1953</v>
      </c>
      <c r="T16" s="23">
        <f>$B$1*$B$2+$B$3*250</f>
        <v>1954</v>
      </c>
      <c r="U16" s="23">
        <f>$B$1*$B$2+$B$3*251</f>
        <v>1955</v>
      </c>
      <c r="V16" s="15">
        <f>$B$1*$B$2+$B$3*252</f>
        <v>1956</v>
      </c>
      <c r="W16" s="23">
        <f>$B$1*$B$2+$B$3*253</f>
        <v>1957</v>
      </c>
      <c r="X16" s="23">
        <f>$B$1*$B$2+$B$3*254</f>
        <v>1958</v>
      </c>
      <c r="Y16" s="23">
        <f>$B$1*$B$2+$B$3*255</f>
        <v>1959</v>
      </c>
      <c r="Z16" s="17">
        <f>$B$1*$B$2+$B$3*256</f>
        <v>1960</v>
      </c>
      <c r="AA16" s="21">
        <f>$B$1*$B$2+$B$3*325</f>
        <v>2029</v>
      </c>
      <c r="AB16" s="21">
        <f>$B$1*$B$2+$B$3*402</f>
        <v>2106</v>
      </c>
      <c r="AC16" s="21">
        <f>$B$1*$B$2+$B$3*487</f>
        <v>2191</v>
      </c>
      <c r="AD16" s="21">
        <f>$B$1*$B$2+$B$3*580</f>
        <v>2284</v>
      </c>
      <c r="AE16" s="21">
        <f>$B$1*$B$2+$B$3*681</f>
        <v>2385</v>
      </c>
      <c r="AF16" s="21">
        <f>$B$1*$B$2+$B$3*790</f>
        <v>2494</v>
      </c>
      <c r="AG16" s="21">
        <f>$B$1*$B$2+$B$3*907</f>
        <v>2611</v>
      </c>
      <c r="AH16" s="20">
        <f>$B$1*$B$2+$B$3*1032</f>
        <v>2736</v>
      </c>
      <c r="AI16" s="76" t="s">
        <v>21</v>
      </c>
      <c r="AJ16" s="4"/>
      <c r="AK16" s="4"/>
      <c r="AL16" s="4"/>
    </row>
    <row r="17" spans="1:38" ht="44.1" customHeight="1">
      <c r="A17" s="75"/>
      <c r="B17" s="20">
        <f>$B$1*$B$2+$B$3*983</f>
        <v>2687</v>
      </c>
      <c r="C17" s="20">
        <f>$B$1*$B$2+$B$3*862</f>
        <v>2566</v>
      </c>
      <c r="D17" s="22">
        <f>$B$1*$B$2+$B$3*749</f>
        <v>2453</v>
      </c>
      <c r="E17" s="22">
        <f>$B$1*$B$2+$B$3*644</f>
        <v>2348</v>
      </c>
      <c r="F17" s="22">
        <f>$B$1*$B$2+$B$3*547</f>
        <v>2251</v>
      </c>
      <c r="G17" s="22">
        <f>$B$1*$B$2+$B$3*458</f>
        <v>2162</v>
      </c>
      <c r="H17" s="22">
        <f>$B$1*$B$2+$B$3*377</f>
        <v>2081</v>
      </c>
      <c r="I17" s="22">
        <f>$B$1*$B$2+$B$3*304</f>
        <v>2008</v>
      </c>
      <c r="J17" s="22">
        <f>$B$1*$B$2+$B$3*239</f>
        <v>1943</v>
      </c>
      <c r="K17" s="14">
        <f>$B$1*$B$2+$B$3*182</f>
        <v>1886</v>
      </c>
      <c r="L17" s="15">
        <f>$B$1*$B$2+$B$3*183</f>
        <v>1887</v>
      </c>
      <c r="M17" s="15">
        <f>$B$1*$B$2+$B$3*184</f>
        <v>1888</v>
      </c>
      <c r="N17" s="15">
        <f>$B$1*$B$2+$B$3*185</f>
        <v>1889</v>
      </c>
      <c r="O17" s="15">
        <f>$B$1*$B$2+$B$3*186</f>
        <v>1890</v>
      </c>
      <c r="P17" s="15">
        <f>$B$1*$B$2+$B$3*187</f>
        <v>1891</v>
      </c>
      <c r="Q17" s="15">
        <f>$B$1*$B$2+$B$3*188</f>
        <v>1892</v>
      </c>
      <c r="R17" s="16">
        <f>$B$1*$B$2+$B$3*189</f>
        <v>1893</v>
      </c>
      <c r="S17" s="15">
        <f>$B$1*$B$2+$B$3*190</f>
        <v>1894</v>
      </c>
      <c r="T17" s="15">
        <f>$B$1*$B$2+$B$3*191</f>
        <v>1895</v>
      </c>
      <c r="U17" s="15">
        <f>$B$1*$B$2+$B$3*192</f>
        <v>1896</v>
      </c>
      <c r="V17" s="15">
        <f>$B$1*$B$2+$B$3*193</f>
        <v>1897</v>
      </c>
      <c r="W17" s="15">
        <f>$B$1*$B$2+$B$3*194</f>
        <v>1898</v>
      </c>
      <c r="X17" s="15">
        <f>$B$1*$B$2+$B$3*195</f>
        <v>1899</v>
      </c>
      <c r="Y17" s="17">
        <f>$B$1*$B$2+$B$3*196</f>
        <v>1900</v>
      </c>
      <c r="Z17" s="21">
        <f>$B$1*$B$2+$B$3*257</f>
        <v>1961</v>
      </c>
      <c r="AA17" s="21">
        <f>$B$1*$B$2+$B$3*326</f>
        <v>2030</v>
      </c>
      <c r="AB17" s="21">
        <f>$B$1*$B$2+$B$3*403</f>
        <v>2107</v>
      </c>
      <c r="AC17" s="21">
        <f>$B$1*$B$2+$B$3*488</f>
        <v>2192</v>
      </c>
      <c r="AD17" s="21">
        <f>$B$1*$B$2+$B$3*581</f>
        <v>2285</v>
      </c>
      <c r="AE17" s="21">
        <f>$B$1*$B$2+$B$3*682</f>
        <v>2386</v>
      </c>
      <c r="AF17" s="21">
        <f>$B$1*$B$2+$B$3*791</f>
        <v>2495</v>
      </c>
      <c r="AG17" s="21">
        <f>$B$1*$B$2+$B$3*908</f>
        <v>2612</v>
      </c>
      <c r="AH17" s="20">
        <f>$B$1*$B$2+$B$3*1033</f>
        <v>2737</v>
      </c>
      <c r="AI17" s="77"/>
      <c r="AJ17" s="4"/>
      <c r="AK17" s="4"/>
      <c r="AL17" s="4"/>
    </row>
    <row r="18" spans="1:38" ht="44.1" customHeight="1">
      <c r="A18" s="4"/>
      <c r="B18" s="20">
        <f>$B$1*$B$2+$B$3*982</f>
        <v>2686</v>
      </c>
      <c r="C18" s="20">
        <f>$B$1*$B$2+$B$3*861</f>
        <v>2565</v>
      </c>
      <c r="D18" s="22">
        <f>$B$1*$B$2+$B$3*748</f>
        <v>2452</v>
      </c>
      <c r="E18" s="22">
        <f>$B$1*$B$2+$B$3*643</f>
        <v>2347</v>
      </c>
      <c r="F18" s="22">
        <f>$B$1*$B$2+$B$3*546</f>
        <v>2250</v>
      </c>
      <c r="G18" s="22">
        <f>$B$1*$B$2+$B$3*457</f>
        <v>2161</v>
      </c>
      <c r="H18" s="22">
        <f>$B$1*$B$2+$B$3*376</f>
        <v>2080</v>
      </c>
      <c r="I18" s="22">
        <f>$B$1*$B$2+$B$3*303</f>
        <v>2007</v>
      </c>
      <c r="J18" s="22">
        <f>$B$1*$B$2+$B$3*238</f>
        <v>1942</v>
      </c>
      <c r="K18" s="22">
        <f>$B$1*$B$2+$B$3*181</f>
        <v>1885</v>
      </c>
      <c r="L18" s="14">
        <f>$B$1*$B$2+$B$3*132</f>
        <v>1836</v>
      </c>
      <c r="M18" s="23">
        <f>$B$1*$B$2+$B$3*133</f>
        <v>1837</v>
      </c>
      <c r="N18" s="23">
        <f>$B$1*$B$2+$B$3*134</f>
        <v>1838</v>
      </c>
      <c r="O18" s="23">
        <f>$B$1*$B$2+$B$3*135</f>
        <v>1839</v>
      </c>
      <c r="P18" s="23">
        <f>$B$1*$B$2+$B$3*136</f>
        <v>1840</v>
      </c>
      <c r="Q18" s="23">
        <f>$B$1*$B$2+$B$3*137</f>
        <v>1841</v>
      </c>
      <c r="R18" s="24">
        <f>$B$1*$B$2+$B$3*138</f>
        <v>1842</v>
      </c>
      <c r="S18" s="23">
        <f>$B$1*$B$2+$B$3*139</f>
        <v>1843</v>
      </c>
      <c r="T18" s="23">
        <f>$B$1*$B$2+$B$3*140</f>
        <v>1844</v>
      </c>
      <c r="U18" s="15">
        <f>$B$1*$B$2+$B$3*141</f>
        <v>1845</v>
      </c>
      <c r="V18" s="23">
        <f>$B$1*$B$2+$B$3*142</f>
        <v>1846</v>
      </c>
      <c r="W18" s="23">
        <f>$B$1*$B$2+$B$3*143</f>
        <v>1847</v>
      </c>
      <c r="X18" s="17">
        <f>$B$1*$B$2+$B$3*144</f>
        <v>1848</v>
      </c>
      <c r="Y18" s="21">
        <f>$B$1*$B$2+$B$3*197</f>
        <v>1901</v>
      </c>
      <c r="Z18" s="21">
        <f>$B$1*$B$2+$B$3*258</f>
        <v>1962</v>
      </c>
      <c r="AA18" s="21">
        <f>$B$1*$B$2+$B$3*327</f>
        <v>2031</v>
      </c>
      <c r="AB18" s="21">
        <f>$B$1*$B$2+$B$3*404</f>
        <v>2108</v>
      </c>
      <c r="AC18" s="21">
        <f>$B$1*$B$2+$B$3*489</f>
        <v>2193</v>
      </c>
      <c r="AD18" s="21">
        <f>$B$1*$B$2+$B$3*582</f>
        <v>2286</v>
      </c>
      <c r="AE18" s="21">
        <f>$B$1*$B$2+$B$3*683</f>
        <v>2387</v>
      </c>
      <c r="AF18" s="21">
        <f>$B$1*$B$2+$B$3*792</f>
        <v>2496</v>
      </c>
      <c r="AG18" s="21">
        <f>$B$1*$B$2+$B$3*909</f>
        <v>2613</v>
      </c>
      <c r="AH18" s="20">
        <f>$B$1*$B$2+$B$3*1034</f>
        <v>2738</v>
      </c>
      <c r="AI18" s="4"/>
      <c r="AJ18" s="4"/>
      <c r="AK18" s="4"/>
      <c r="AL18" s="4"/>
    </row>
    <row r="19" spans="1:38" ht="44.1" customHeight="1">
      <c r="A19" s="4"/>
      <c r="B19" s="20">
        <f>$B$1*$B$2+$B$3*981</f>
        <v>2685</v>
      </c>
      <c r="C19" s="20">
        <f>$B$1*$B$2+$B$3*860</f>
        <v>2564</v>
      </c>
      <c r="D19" s="22">
        <f>$B$1*$B$2+$B$3*747</f>
        <v>2451</v>
      </c>
      <c r="E19" s="22">
        <f>$B$1*$B$2+$B$3*642</f>
        <v>2346</v>
      </c>
      <c r="F19" s="22">
        <f>$B$1*$B$2+$B$3*545</f>
        <v>2249</v>
      </c>
      <c r="G19" s="22">
        <f>$B$1*$B$2+$B$3*456</f>
        <v>2160</v>
      </c>
      <c r="H19" s="22">
        <f>$B$1*$B$2+$B$3*375</f>
        <v>2079</v>
      </c>
      <c r="I19" s="22">
        <f>$B$1*$B$2+$B$3*302</f>
        <v>2006</v>
      </c>
      <c r="J19" s="22">
        <f>$B$1*$B$2+$B$3*237</f>
        <v>1941</v>
      </c>
      <c r="K19" s="22">
        <f>$B$1*$B$2+$B$3*180</f>
        <v>1884</v>
      </c>
      <c r="L19" s="22">
        <f>$B$1*$B$2+$B$3*131</f>
        <v>1835</v>
      </c>
      <c r="M19" s="14">
        <f>$B$1*$B$2+$B$3*90</f>
        <v>1794</v>
      </c>
      <c r="N19" s="23">
        <f>$B$1*$B$2+$B$3*91</f>
        <v>1795</v>
      </c>
      <c r="O19" s="23">
        <f>$B$1*$B$2+$B$3*92</f>
        <v>1796</v>
      </c>
      <c r="P19" s="23">
        <f>$B$1*$B$2+$B$3*93</f>
        <v>1797</v>
      </c>
      <c r="Q19" s="23">
        <f>$B$1*$B$2+$B$3*94</f>
        <v>1798</v>
      </c>
      <c r="R19" s="24">
        <f>$B$1*$B$2+$B$3*95</f>
        <v>1799</v>
      </c>
      <c r="S19" s="23">
        <f>$B$1*$B$2+$B$3*96</f>
        <v>1800</v>
      </c>
      <c r="T19" s="23">
        <f>$B$1*$B$2+$B$3*97</f>
        <v>1801</v>
      </c>
      <c r="U19" s="23">
        <f>$B$1*$B$2+$B$3*98</f>
        <v>1802</v>
      </c>
      <c r="V19" s="23">
        <f>$B$1*$B$2+$B$3*99</f>
        <v>1803</v>
      </c>
      <c r="W19" s="17">
        <f>$B$1*$B$2+$B$3*100</f>
        <v>1804</v>
      </c>
      <c r="X19" s="21">
        <f>$B$1*$B$2+$B$3*145</f>
        <v>1849</v>
      </c>
      <c r="Y19" s="21">
        <f>$B$1*$B$2+$B$3*198</f>
        <v>1902</v>
      </c>
      <c r="Z19" s="21">
        <f>$B$1*$B$2+$B$3*259</f>
        <v>1963</v>
      </c>
      <c r="AA19" s="21">
        <f>$B$1*$B$2+$B$3*328</f>
        <v>2032</v>
      </c>
      <c r="AB19" s="21">
        <f>$B$1*$B$2+$B$3*405</f>
        <v>2109</v>
      </c>
      <c r="AC19" s="21">
        <f>$B$1*$B$2+$B$3*490</f>
        <v>2194</v>
      </c>
      <c r="AD19" s="21">
        <f>$B$1*$B$2+$B$3*583</f>
        <v>2287</v>
      </c>
      <c r="AE19" s="21">
        <f>$B$1*$B$2+$B$3*684</f>
        <v>2388</v>
      </c>
      <c r="AF19" s="21">
        <f>$B$1*$B$2+$B$3*793</f>
        <v>2497</v>
      </c>
      <c r="AG19" s="21">
        <f>$B$1*$B$2+$B$3*910</f>
        <v>2614</v>
      </c>
      <c r="AH19" s="20">
        <f>$B$1*$B$2+$B$3*1035</f>
        <v>2739</v>
      </c>
      <c r="AI19" s="4"/>
      <c r="AJ19" s="4"/>
      <c r="AK19" s="4"/>
      <c r="AL19" s="4"/>
    </row>
    <row r="20" spans="1:38" ht="44.1" customHeight="1">
      <c r="A20" s="4"/>
      <c r="B20" s="20">
        <f>$B$1*$B$2+$B$3*980</f>
        <v>2684</v>
      </c>
      <c r="C20" s="20">
        <f>$B$1*$B$2+$B$3*859</f>
        <v>2563</v>
      </c>
      <c r="D20" s="22">
        <f>$B$1*$B$2+$B$3*746</f>
        <v>2450</v>
      </c>
      <c r="E20" s="22">
        <f>$B$1*$B$2+$B$3*641</f>
        <v>2345</v>
      </c>
      <c r="F20" s="22">
        <f>$B$1*$B$2+$B$3*544</f>
        <v>2248</v>
      </c>
      <c r="G20" s="22">
        <f>$B$1*$B$2+$B$3*455</f>
        <v>2159</v>
      </c>
      <c r="H20" s="22">
        <f>$B$1*$B$2+$B$3*374</f>
        <v>2078</v>
      </c>
      <c r="I20" s="22">
        <f>$B$1*$B$2+$B$3*301</f>
        <v>2005</v>
      </c>
      <c r="J20" s="22">
        <f>$B$1*$B$2+$B$3*236</f>
        <v>1940</v>
      </c>
      <c r="K20" s="22">
        <f>$B$1*$B$2+$B$3*179</f>
        <v>1883</v>
      </c>
      <c r="L20" s="22">
        <f>$B$1*$B$2+$B$3*130</f>
        <v>1834</v>
      </c>
      <c r="M20" s="22">
        <f>$B$1*$B$2+$B$3*89</f>
        <v>1793</v>
      </c>
      <c r="N20" s="14">
        <f>$B$1*$B$2+$B$3*56</f>
        <v>1760</v>
      </c>
      <c r="O20" s="23">
        <f>$B$1*$B$2+$B$3*57</f>
        <v>1761</v>
      </c>
      <c r="P20" s="23">
        <f>$B$1*$B$2+$B$3*58</f>
        <v>1762</v>
      </c>
      <c r="Q20" s="23">
        <f>$B$1*$B$2+$B$3*59</f>
        <v>1763</v>
      </c>
      <c r="R20" s="24">
        <f>$B$1*$B$2+$B$3*60</f>
        <v>1764</v>
      </c>
      <c r="S20" s="23">
        <f>$B$1*$B$2+$B$3*61</f>
        <v>1765</v>
      </c>
      <c r="T20" s="15">
        <f>$B$1*$B$2+$B$3*62</f>
        <v>1766</v>
      </c>
      <c r="U20" s="23">
        <f>$B$1*$B$2+$B$3*63</f>
        <v>1767</v>
      </c>
      <c r="V20" s="17">
        <f>$B$1*$B$2+$B$3*64</f>
        <v>1768</v>
      </c>
      <c r="W20" s="21">
        <f>$B$1*$B$2+$B$3*101</f>
        <v>1805</v>
      </c>
      <c r="X20" s="21">
        <f>$B$1*$B$2+$B$3*146</f>
        <v>1850</v>
      </c>
      <c r="Y20" s="21">
        <f>$B$1*$B$2+$B$3*199</f>
        <v>1903</v>
      </c>
      <c r="Z20" s="21">
        <f>$B$1*$B$2+$B$3*260</f>
        <v>1964</v>
      </c>
      <c r="AA20" s="21">
        <f>$B$1*$B$2+$B$3*329</f>
        <v>2033</v>
      </c>
      <c r="AB20" s="21">
        <f>$B$1*$B$2+$B$3*406</f>
        <v>2110</v>
      </c>
      <c r="AC20" s="21">
        <f>$B$1*$B$2+$B$3*491</f>
        <v>2195</v>
      </c>
      <c r="AD20" s="21">
        <f>$B$1*$B$2+$B$3*584</f>
        <v>2288</v>
      </c>
      <c r="AE20" s="21">
        <f>$B$1*$B$2+$B$3*685</f>
        <v>2389</v>
      </c>
      <c r="AF20" s="21">
        <f>$B$1*$B$2+$B$3*794</f>
        <v>2498</v>
      </c>
      <c r="AG20" s="21">
        <f>$B$1*$B$2+$B$3*911</f>
        <v>2615</v>
      </c>
      <c r="AH20" s="20">
        <f>$B$1*$B$2+$B$3*1036</f>
        <v>2740</v>
      </c>
      <c r="AI20" s="4"/>
      <c r="AJ20" s="4"/>
      <c r="AK20" s="4"/>
      <c r="AL20" s="4"/>
    </row>
    <row r="21" spans="1:38" ht="44.1" customHeight="1">
      <c r="A21" s="4"/>
      <c r="B21" s="20">
        <f>$B$1*$B$2+$B$3*979</f>
        <v>2683</v>
      </c>
      <c r="C21" s="20">
        <f>$B$1*$B$2+$B$3*858</f>
        <v>2562</v>
      </c>
      <c r="D21" s="22">
        <f>$B$1*$B$2+$B$3*745</f>
        <v>2449</v>
      </c>
      <c r="E21" s="22">
        <f>$B$1*$B$2+$B$3*640</f>
        <v>2344</v>
      </c>
      <c r="F21" s="22">
        <f>$B$1*$B$2+$B$3*543</f>
        <v>2247</v>
      </c>
      <c r="G21" s="22">
        <f>$B$1*$B$2+$B$3*454</f>
        <v>2158</v>
      </c>
      <c r="H21" s="22">
        <f>$B$1*$B$2+$B$3*373</f>
        <v>2077</v>
      </c>
      <c r="I21" s="22">
        <f>$B$1*$B$2+$B$3*300</f>
        <v>2004</v>
      </c>
      <c r="J21" s="22">
        <f>$B$1*$B$2+$B$3*235</f>
        <v>1939</v>
      </c>
      <c r="K21" s="22">
        <f>$B$1*$B$2+$B$3*178</f>
        <v>1882</v>
      </c>
      <c r="L21" s="22">
        <f>$B$1*$B$2+$B$3*129</f>
        <v>1833</v>
      </c>
      <c r="M21" s="22">
        <f>$B$1*$B$2+$B$3*88</f>
        <v>1792</v>
      </c>
      <c r="N21" s="20">
        <f>$B$1*$B$2+$B$3*55</f>
        <v>1759</v>
      </c>
      <c r="O21" s="14">
        <f>$B$1*$B$2+$B$3*30</f>
        <v>1734</v>
      </c>
      <c r="P21" s="23">
        <f>$B$1*$B$2+$B$3*31</f>
        <v>1735</v>
      </c>
      <c r="Q21" s="23">
        <f>$B$1*$B$2+$B$3*32</f>
        <v>1736</v>
      </c>
      <c r="R21" s="24">
        <f>$B$1*$B$2+$B$3*33</f>
        <v>1737</v>
      </c>
      <c r="S21" s="23">
        <f>$B$1*$B$2+$B$3*34</f>
        <v>1738</v>
      </c>
      <c r="T21" s="23">
        <f>$B$1*$B$2+$B$3*35</f>
        <v>1739</v>
      </c>
      <c r="U21" s="17">
        <f>$B$1*$B$2+$B$3*36</f>
        <v>1740</v>
      </c>
      <c r="V21" s="21">
        <f>$B$1*$B$2+$B$3*65</f>
        <v>1769</v>
      </c>
      <c r="W21" s="21">
        <f>$B$1*$B$2+$B$3*102</f>
        <v>1806</v>
      </c>
      <c r="X21" s="21">
        <f>$B$1*$B$2+$B$3*147</f>
        <v>1851</v>
      </c>
      <c r="Y21" s="21">
        <f>$B$1*$B$2+$B$3*200</f>
        <v>1904</v>
      </c>
      <c r="Z21" s="21">
        <f>$B$1*$B$2+$B$3*261</f>
        <v>1965</v>
      </c>
      <c r="AA21" s="21">
        <f>$B$1*$B$2+$B$3*330</f>
        <v>2034</v>
      </c>
      <c r="AB21" s="21">
        <f>$B$1*$B$2+$B$3*407</f>
        <v>2111</v>
      </c>
      <c r="AC21" s="21">
        <f>$B$1*$B$2+$B$3*492</f>
        <v>2196</v>
      </c>
      <c r="AD21" s="21">
        <f>$B$1*$B$2+$B$3*585</f>
        <v>2289</v>
      </c>
      <c r="AE21" s="21">
        <f>$B$1*$B$2+$B$3*686</f>
        <v>2390</v>
      </c>
      <c r="AF21" s="21">
        <f>$B$1*$B$2+$B$3*795</f>
        <v>2499</v>
      </c>
      <c r="AG21" s="21">
        <f>$B$1*$B$2+$B$3*912</f>
        <v>2616</v>
      </c>
      <c r="AH21" s="20">
        <f>$B$1*$B$2+$B$3*1037</f>
        <v>2741</v>
      </c>
      <c r="AI21" s="4"/>
      <c r="AJ21" s="4"/>
      <c r="AK21" s="4"/>
      <c r="AL21" s="4"/>
    </row>
    <row r="22" spans="1:38" ht="44.1" customHeight="1">
      <c r="A22" s="4"/>
      <c r="B22" s="20">
        <f>$B$1*$B$2+$B$3*978</f>
        <v>2682</v>
      </c>
      <c r="C22" s="20">
        <f>$B$1*$B$2+$B$3*857</f>
        <v>2561</v>
      </c>
      <c r="D22" s="22">
        <f>$B$1*$B$2+$B$3*744</f>
        <v>2448</v>
      </c>
      <c r="E22" s="22">
        <f>$B$1*$B$2+$B$3*639</f>
        <v>2343</v>
      </c>
      <c r="F22" s="22">
        <f>$B$1*$B$2+$B$3*542</f>
        <v>2246</v>
      </c>
      <c r="G22" s="22">
        <f>$B$1*$B$2+$B$3*453</f>
        <v>2157</v>
      </c>
      <c r="H22" s="22">
        <f>$B$1*$B$2+$B$3*372</f>
        <v>2076</v>
      </c>
      <c r="I22" s="22">
        <f>$B$1*$B$2+$B$3*299</f>
        <v>2003</v>
      </c>
      <c r="J22" s="22">
        <f>$B$1*$B$2+$B$3*234</f>
        <v>1938</v>
      </c>
      <c r="K22" s="22">
        <f>$B$1*$B$2+$B$3*177</f>
        <v>1881</v>
      </c>
      <c r="L22" s="22">
        <f>$B$1*$B$2+$B$3*128</f>
        <v>1832</v>
      </c>
      <c r="M22" s="22">
        <f>$B$1*$B$2+$B$3*87</f>
        <v>1791</v>
      </c>
      <c r="N22" s="22">
        <f>$B$1*$B$2+$B$3*54</f>
        <v>1758</v>
      </c>
      <c r="O22" s="22">
        <f>$B$1*$B$2+$B$3*29</f>
        <v>1733</v>
      </c>
      <c r="P22" s="14">
        <f>$B$1*$B$2+$B$3*12</f>
        <v>1716</v>
      </c>
      <c r="Q22" s="23">
        <f>$B$1*$B$2+$B$3*13</f>
        <v>1717</v>
      </c>
      <c r="R22" s="24">
        <f>$B$1*$B$2+$B$3*14</f>
        <v>1718</v>
      </c>
      <c r="S22" s="15">
        <f>$B$1*$B$2+$B$3*15</f>
        <v>1719</v>
      </c>
      <c r="T22" s="17">
        <f>$B$1*$B$2+$B$3*16</f>
        <v>1720</v>
      </c>
      <c r="U22" s="21">
        <f>$B$1*$B$2+$B$3*37</f>
        <v>1741</v>
      </c>
      <c r="V22" s="21">
        <f>$B$1*$B$2+$B$3*66</f>
        <v>1770</v>
      </c>
      <c r="W22" s="21">
        <f>$B$1*$B$2+$B$3*103</f>
        <v>1807</v>
      </c>
      <c r="X22" s="21">
        <f>$B$1*$B$2+$B$3*148</f>
        <v>1852</v>
      </c>
      <c r="Y22" s="21">
        <f>$B$1*$B$2+$B$3*201</f>
        <v>1905</v>
      </c>
      <c r="Z22" s="21">
        <f>$B$1*$B$2+$B$3*262</f>
        <v>1966</v>
      </c>
      <c r="AA22" s="21">
        <f>$B$1*$B$2+$B$3*331</f>
        <v>2035</v>
      </c>
      <c r="AB22" s="21">
        <f>$B$1*$B$2+$B$3*408</f>
        <v>2112</v>
      </c>
      <c r="AC22" s="21">
        <f>$B$1*$B$2+$B$3*493</f>
        <v>2197</v>
      </c>
      <c r="AD22" s="21">
        <f>$B$1*$B$2+$B$3*586</f>
        <v>2290</v>
      </c>
      <c r="AE22" s="21">
        <f>$B$1*$B$2+$B$3*687</f>
        <v>2391</v>
      </c>
      <c r="AF22" s="21">
        <f>$B$1*$B$2+$B$3*796</f>
        <v>2500</v>
      </c>
      <c r="AG22" s="21">
        <f>$B$1*$B$2+$B$3*913</f>
        <v>2617</v>
      </c>
      <c r="AH22" s="20">
        <f>$B$1*$B$2+$B$3*1038</f>
        <v>2742</v>
      </c>
      <c r="AI22" s="4"/>
      <c r="AJ22" s="4"/>
      <c r="AK22" s="4"/>
      <c r="AL22" s="4"/>
    </row>
    <row r="23" spans="1:38" ht="44.1" customHeight="1">
      <c r="A23" s="25" t="s">
        <v>22</v>
      </c>
      <c r="B23" s="20">
        <f>$B$1*$B$2+$B$3*977</f>
        <v>2681</v>
      </c>
      <c r="C23" s="20">
        <f>$B$1*$B$2+$B$3*856</f>
        <v>2560</v>
      </c>
      <c r="D23" s="22">
        <f>$B$1*$B$2+$B$3*743</f>
        <v>2447</v>
      </c>
      <c r="E23" s="22">
        <f>$B$1*$B$2+$B$3*638</f>
        <v>2342</v>
      </c>
      <c r="F23" s="22">
        <f>$B$1*$B$2+$B$3*541</f>
        <v>2245</v>
      </c>
      <c r="G23" s="22">
        <f>$B$1*$B$2+$B$3*452</f>
        <v>2156</v>
      </c>
      <c r="H23" s="22">
        <f>$B$1*$B$2+$B$3*371</f>
        <v>2075</v>
      </c>
      <c r="I23" s="22">
        <f>$B$1*$B$2+$B$3*298</f>
        <v>2002</v>
      </c>
      <c r="J23" s="22">
        <f>$B$1*$B$2+$B$3*233</f>
        <v>1937</v>
      </c>
      <c r="K23" s="22">
        <f>$B$1*$B$2+$B$3*176</f>
        <v>1880</v>
      </c>
      <c r="L23" s="22">
        <f>$B$1*$B$2+$B$3*127</f>
        <v>1831</v>
      </c>
      <c r="M23" s="22">
        <f>$B$1*$B$2+$B$3*86</f>
        <v>1790</v>
      </c>
      <c r="N23" s="22">
        <f>$B$1*$B$2+$B$3*53</f>
        <v>1757</v>
      </c>
      <c r="O23" s="22">
        <f>$B$1*$B$2+$B$3*28</f>
        <v>1732</v>
      </c>
      <c r="P23" s="22">
        <f>$B$1*$B$2+$B$3*11</f>
        <v>1715</v>
      </c>
      <c r="Q23" s="14">
        <f>$B$1*$B$2+$B$3*2</f>
        <v>1706</v>
      </c>
      <c r="R23" s="24">
        <f>$B$1*$B$2+$B$3*3</f>
        <v>1707</v>
      </c>
      <c r="S23" s="17">
        <f>$B$1*$B$2+$B$3*4</f>
        <v>1708</v>
      </c>
      <c r="T23" s="21">
        <f>$B$1*$B$2+$B$3*17</f>
        <v>1721</v>
      </c>
      <c r="U23" s="21">
        <f>$B$1*$B$2+$B$3*38</f>
        <v>1742</v>
      </c>
      <c r="V23" s="21">
        <f>$B$1*$B$2+$B$3*67</f>
        <v>1771</v>
      </c>
      <c r="W23" s="21">
        <f>$B$1*$B$2+$B$3*104</f>
        <v>1808</v>
      </c>
      <c r="X23" s="21">
        <f>$B$1*$B$2+$B$3*149</f>
        <v>1853</v>
      </c>
      <c r="Y23" s="21">
        <f>$B$1*$B$2+$B$3*202</f>
        <v>1906</v>
      </c>
      <c r="Z23" s="21">
        <f>$B$1*$B$2+$B$3*263</f>
        <v>1967</v>
      </c>
      <c r="AA23" s="21">
        <f>$B$1*$B$2+$B$3*332</f>
        <v>2036</v>
      </c>
      <c r="AB23" s="21">
        <f>$B$1*$B$2+$B$3*409</f>
        <v>2113</v>
      </c>
      <c r="AC23" s="21">
        <f>$B$1*$B$2+$B$3*494</f>
        <v>2198</v>
      </c>
      <c r="AD23" s="21">
        <f>$B$1*$B$2+$B$3*587</f>
        <v>2291</v>
      </c>
      <c r="AE23" s="21">
        <f>$B$1*$B$2+$B$3*688</f>
        <v>2392</v>
      </c>
      <c r="AF23" s="21">
        <f>$B$1*$B$2+$B$3*797</f>
        <v>2501</v>
      </c>
      <c r="AG23" s="21">
        <f>$B$1*$B$2+$B$3*914</f>
        <v>2618</v>
      </c>
      <c r="AH23" s="20">
        <f>$B$1*$B$2+$B$3*1039</f>
        <v>2743</v>
      </c>
      <c r="AI23" s="25" t="s">
        <v>23</v>
      </c>
      <c r="AJ23" s="4"/>
      <c r="AK23" s="4"/>
      <c r="AL23" s="4"/>
    </row>
    <row r="24" spans="1:38" ht="44.1" customHeight="1">
      <c r="A24" s="74" t="s">
        <v>24</v>
      </c>
      <c r="B24" s="16">
        <f>$B$1*$B$2+$B$3*976</f>
        <v>2680</v>
      </c>
      <c r="C24" s="16">
        <f>$B$1*$B$2+$B$3*855</f>
        <v>2559</v>
      </c>
      <c r="D24" s="26">
        <f>$B$1*$B$2+$B$3*742</f>
        <v>2446</v>
      </c>
      <c r="E24" s="26">
        <f>$B$1*$B$2+$B$3*637</f>
        <v>2341</v>
      </c>
      <c r="F24" s="26">
        <f>$B$1*$B$2+$B$3*540</f>
        <v>2244</v>
      </c>
      <c r="G24" s="26">
        <f>$B$1*$B$2+$B$3*451</f>
        <v>2155</v>
      </c>
      <c r="H24" s="26">
        <f>$B$1*$B$2+$B$3*370</f>
        <v>2074</v>
      </c>
      <c r="I24" s="26">
        <f>$B$1*$B$2+$B$3*297</f>
        <v>2001</v>
      </c>
      <c r="J24" s="26">
        <f>$B$1*$B$2+$B$3*232</f>
        <v>1936</v>
      </c>
      <c r="K24" s="26">
        <f>$B$1*$B$2+$B$3*175</f>
        <v>1879</v>
      </c>
      <c r="L24" s="26">
        <f>$B$1*$B$2+$B$3*126</f>
        <v>1830</v>
      </c>
      <c r="M24" s="26">
        <f>$B$1*$B$2+$B$3*85</f>
        <v>1789</v>
      </c>
      <c r="N24" s="26">
        <f>$B$1*$B$2+$B$3*52</f>
        <v>1756</v>
      </c>
      <c r="O24" s="26">
        <f>$B$1*$B$2+$B$3*27</f>
        <v>1731</v>
      </c>
      <c r="P24" s="26">
        <f>$B$1*$B$2+$B$3*10</f>
        <v>1714</v>
      </c>
      <c r="Q24" s="26">
        <f>$B$1*$B$2+$B$3</f>
        <v>1705</v>
      </c>
      <c r="R24" s="27">
        <f>$B$1*$B$2</f>
        <v>1704</v>
      </c>
      <c r="S24" s="28">
        <f>$B$1*$B$2+$B$3*5</f>
        <v>1709</v>
      </c>
      <c r="T24" s="28">
        <f>$B$1*$B$2+$B$3*18</f>
        <v>1722</v>
      </c>
      <c r="U24" s="28">
        <f>$B$1*$B$2+$B$3*39</f>
        <v>1743</v>
      </c>
      <c r="V24" s="28">
        <f>$B$1*$B$2+$B$3*68</f>
        <v>1772</v>
      </c>
      <c r="W24" s="28">
        <f>$B$1*$B$2+$B$3*105</f>
        <v>1809</v>
      </c>
      <c r="X24" s="28">
        <f>$B$1*$B$2+$B$3*150</f>
        <v>1854</v>
      </c>
      <c r="Y24" s="28">
        <f>$B$1*$B$2+$B$3*203</f>
        <v>1907</v>
      </c>
      <c r="Z24" s="28">
        <f>$B$1*$B$2+$B$3*264</f>
        <v>1968</v>
      </c>
      <c r="AA24" s="28">
        <f>$B$1*$B$2+$B$3*333</f>
        <v>2037</v>
      </c>
      <c r="AB24" s="28">
        <f>$B$1*$B$2+$B$3*410</f>
        <v>2114</v>
      </c>
      <c r="AC24" s="28">
        <f>$B$1*$B$2+$B$3*495</f>
        <v>2199</v>
      </c>
      <c r="AD24" s="28">
        <f>$B$1*$B$2+$B$3*588</f>
        <v>2292</v>
      </c>
      <c r="AE24" s="28">
        <f>$B$1*$B$2+$B$3*689</f>
        <v>2393</v>
      </c>
      <c r="AF24" s="28">
        <f>$B$1*$B$2+$B$3*798</f>
        <v>2502</v>
      </c>
      <c r="AG24" s="28">
        <f>$B$1*$B$2+$B$3*915</f>
        <v>2619</v>
      </c>
      <c r="AH24" s="16">
        <f>$B$1*$B$2+$B$3*1040</f>
        <v>2744</v>
      </c>
      <c r="AI24" s="76" t="s">
        <v>25</v>
      </c>
      <c r="AJ24" s="4"/>
      <c r="AK24" s="4"/>
      <c r="AL24" s="4"/>
    </row>
    <row r="25" spans="1:38" ht="44.1" customHeight="1">
      <c r="A25" s="75"/>
      <c r="B25" s="20">
        <f>$B$1*$B$2+$B$3*975</f>
        <v>2679</v>
      </c>
      <c r="C25" s="20">
        <f>$B$1*$B$2+$B$3*854</f>
        <v>2558</v>
      </c>
      <c r="D25" s="22">
        <f>$B$1*$B$2+$B$3*741</f>
        <v>2445</v>
      </c>
      <c r="E25" s="22">
        <f>$B$1*$B$2+$B$3*636</f>
        <v>2340</v>
      </c>
      <c r="F25" s="22">
        <f>$B$1*$B$2+$B$3*539</f>
        <v>2243</v>
      </c>
      <c r="G25" s="22">
        <f>$B$1*$B$2+$B$3*450</f>
        <v>2154</v>
      </c>
      <c r="H25" s="22">
        <f>$B$1*$B$2+$B$3*369</f>
        <v>2073</v>
      </c>
      <c r="I25" s="22">
        <f>$B$1*$B$2+$B$3*296</f>
        <v>2000</v>
      </c>
      <c r="J25" s="22">
        <f>$B$1*$B$2+$B$3*231</f>
        <v>1935</v>
      </c>
      <c r="K25" s="22">
        <f>$B$1*$B$2+$B$3*174</f>
        <v>1878</v>
      </c>
      <c r="L25" s="22">
        <f>$B$1*$B$2+$B$3*125</f>
        <v>1829</v>
      </c>
      <c r="M25" s="22">
        <f>$B$1*$B$2+$B$3*84</f>
        <v>1788</v>
      </c>
      <c r="N25" s="22">
        <f>$B$1*$B$2+$B$3*51</f>
        <v>1755</v>
      </c>
      <c r="O25" s="22">
        <f>$B$1*$B$2+$B$3*26</f>
        <v>1730</v>
      </c>
      <c r="P25" s="29">
        <f>$B$1*$B$2+$B$3*9</f>
        <v>1713</v>
      </c>
      <c r="Q25" s="30">
        <f>$B$1*$B$2+$B$3*8</f>
        <v>1712</v>
      </c>
      <c r="R25" s="31">
        <f>$B$1*$B$2+$B$3*7</f>
        <v>1711</v>
      </c>
      <c r="S25" s="32">
        <f>$B$1*$B$2+$B$3*6</f>
        <v>1710</v>
      </c>
      <c r="T25" s="21">
        <f>$B$1*$B$2+$B$3*19</f>
        <v>1723</v>
      </c>
      <c r="U25" s="21">
        <f>$B$1*$B$2+$B$3*40</f>
        <v>1744</v>
      </c>
      <c r="V25" s="21">
        <f>$B$1*$B$2+$B$3*69</f>
        <v>1773</v>
      </c>
      <c r="W25" s="21">
        <f>$B$1*$B$2+$B$3*106</f>
        <v>1810</v>
      </c>
      <c r="X25" s="21">
        <f>$B$1*$B$2+$B$3*151</f>
        <v>1855</v>
      </c>
      <c r="Y25" s="21">
        <f>$B$1*$B$2+$B$3*204</f>
        <v>1908</v>
      </c>
      <c r="Z25" s="21">
        <f>$B$1*$B$2+$B$3*265</f>
        <v>1969</v>
      </c>
      <c r="AA25" s="21">
        <f>$B$1*$B$2+$B$3*334</f>
        <v>2038</v>
      </c>
      <c r="AB25" s="21">
        <f>$B$1*$B$2+$B$3*411</f>
        <v>2115</v>
      </c>
      <c r="AC25" s="21">
        <f>$B$1*$B$2+$B$3*496</f>
        <v>2200</v>
      </c>
      <c r="AD25" s="21">
        <f>$B$1*$B$2+$B$3*589</f>
        <v>2293</v>
      </c>
      <c r="AE25" s="21">
        <f>$B$1*$B$2+$B$3*690</f>
        <v>2394</v>
      </c>
      <c r="AF25" s="21">
        <f>$B$1*$B$2+$B$3*799</f>
        <v>2503</v>
      </c>
      <c r="AG25" s="21">
        <f>$B$1*$B$2+$B$3*916</f>
        <v>2620</v>
      </c>
      <c r="AH25" s="20">
        <f>$B$1*$B$2+$B$3*1041</f>
        <v>2745</v>
      </c>
      <c r="AI25" s="77"/>
      <c r="AJ25" s="4"/>
      <c r="AK25" s="4"/>
      <c r="AL25" s="4"/>
    </row>
    <row r="26" spans="1:38" ht="44.1" customHeight="1">
      <c r="A26" s="4"/>
      <c r="B26" s="20">
        <f>$B$1*$B$2+$B$3*974</f>
        <v>2678</v>
      </c>
      <c r="C26" s="20">
        <f>$B$1*$B$2+$B$3*853</f>
        <v>2557</v>
      </c>
      <c r="D26" s="22">
        <f>$B$1*$B$2+$B$3*740</f>
        <v>2444</v>
      </c>
      <c r="E26" s="22">
        <f>$B$1*$B$2+$B$3*635</f>
        <v>2339</v>
      </c>
      <c r="F26" s="22">
        <f>$B$1*$B$2+$B$3*538</f>
        <v>2242</v>
      </c>
      <c r="G26" s="22">
        <f>$B$1*$B$2+$B$3*449</f>
        <v>2153</v>
      </c>
      <c r="H26" s="22">
        <f>$B$1*$B$2+$B$3*368</f>
        <v>2072</v>
      </c>
      <c r="I26" s="22">
        <f>$B$1*$B$2+$B$3*295</f>
        <v>1999</v>
      </c>
      <c r="J26" s="22">
        <f>$B$1*$B$2+$B$3*230</f>
        <v>1934</v>
      </c>
      <c r="K26" s="22">
        <f>$B$1*$B$2+$B$3*173</f>
        <v>1877</v>
      </c>
      <c r="L26" s="22">
        <f>$B$1*$B$2+$B$3*124</f>
        <v>1828</v>
      </c>
      <c r="M26" s="22">
        <f>$B$1*$B$2+$B$3*83</f>
        <v>1787</v>
      </c>
      <c r="N26" s="22">
        <f>$B$1*$B$2+$B$3*50</f>
        <v>1754</v>
      </c>
      <c r="O26" s="29">
        <f>$B$1*$B$2+$B$3*25</f>
        <v>1729</v>
      </c>
      <c r="P26" s="33">
        <f>$B$1*$B$2+$B$3*24</f>
        <v>1728</v>
      </c>
      <c r="Q26" s="34">
        <f>$B$1*$B$2+$B$3*23</f>
        <v>1727</v>
      </c>
      <c r="R26" s="31">
        <f>$B$1*$B$2+$B$3*22</f>
        <v>1726</v>
      </c>
      <c r="S26" s="34">
        <f>$B$1*$B$2+$B$3*21</f>
        <v>1725</v>
      </c>
      <c r="T26" s="32">
        <f>$B$1*$B$2+$B$3*20</f>
        <v>1724</v>
      </c>
      <c r="U26" s="21">
        <f>$B$1*$B$2+$B$3*41</f>
        <v>1745</v>
      </c>
      <c r="V26" s="21">
        <f>$B$1*$B$2+$B$3*70</f>
        <v>1774</v>
      </c>
      <c r="W26" s="21">
        <f>$B$1*$B$2+$B$3*107</f>
        <v>1811</v>
      </c>
      <c r="X26" s="21">
        <f>$B$1*$B$2+$B$3*152</f>
        <v>1856</v>
      </c>
      <c r="Y26" s="21">
        <f>$B$1*$B$2+$B$3*205</f>
        <v>1909</v>
      </c>
      <c r="Z26" s="21">
        <f>$B$1*$B$2+$B$3*266</f>
        <v>1970</v>
      </c>
      <c r="AA26" s="21">
        <f>$B$1*$B$2+$B$3*335</f>
        <v>2039</v>
      </c>
      <c r="AB26" s="21">
        <f>$B$1*$B$2+$B$3*412</f>
        <v>2116</v>
      </c>
      <c r="AC26" s="21">
        <f>$B$1*$B$2+$B$3*497</f>
        <v>2201</v>
      </c>
      <c r="AD26" s="21">
        <f>$B$1*$B$2+$B$3*590</f>
        <v>2294</v>
      </c>
      <c r="AE26" s="21">
        <f>$B$1*$B$2+$B$3*691</f>
        <v>2395</v>
      </c>
      <c r="AF26" s="21">
        <f>$B$1*$B$2+$B$3*800</f>
        <v>2504</v>
      </c>
      <c r="AG26" s="21">
        <f>$B$1*$B$2+$B$3*917</f>
        <v>2621</v>
      </c>
      <c r="AH26" s="20">
        <f>$B$1*$B$2+$B$3*1042</f>
        <v>2746</v>
      </c>
      <c r="AI26" s="4"/>
      <c r="AJ26" s="4"/>
      <c r="AK26" s="4"/>
      <c r="AL26" s="4"/>
    </row>
    <row r="27" spans="1:38" ht="44.1" customHeight="1">
      <c r="A27" s="4"/>
      <c r="B27" s="20">
        <f>$B$1*$B$2+$B$3*973</f>
        <v>2677</v>
      </c>
      <c r="C27" s="20">
        <f>$B$1*$B$2+$B$3*852</f>
        <v>2556</v>
      </c>
      <c r="D27" s="22">
        <f>$B$1*$B$2+$B$3*739</f>
        <v>2443</v>
      </c>
      <c r="E27" s="22">
        <f>$B$1*$B$2+$B$3*634</f>
        <v>2338</v>
      </c>
      <c r="F27" s="22">
        <f>$B$1*$B$2+$B$3*537</f>
        <v>2241</v>
      </c>
      <c r="G27" s="22">
        <f>$B$1*$B$2+$B$3*448</f>
        <v>2152</v>
      </c>
      <c r="H27" s="22">
        <f>$B$1*$B$2+$B$3*367</f>
        <v>2071</v>
      </c>
      <c r="I27" s="22">
        <f>$B$1*$B$2+$B$3*294</f>
        <v>1998</v>
      </c>
      <c r="J27" s="22">
        <f>$B$1*$B$2+$B$3*229</f>
        <v>1933</v>
      </c>
      <c r="K27" s="22">
        <f>$B$1*$B$2+$B$3*172</f>
        <v>1876</v>
      </c>
      <c r="L27" s="22">
        <f>$B$1*$B$2+$B$3*123</f>
        <v>1827</v>
      </c>
      <c r="M27" s="22">
        <f>$B$1*$B$2+$B$3*82</f>
        <v>1786</v>
      </c>
      <c r="N27" s="29">
        <f>$B$1*$B$2+$B$3*49</f>
        <v>1753</v>
      </c>
      <c r="O27" s="33">
        <f>$B$1*$B$2+$B$3*48</f>
        <v>1752</v>
      </c>
      <c r="P27" s="34">
        <f>$B$1*$B$2+$B$3*47</f>
        <v>1751</v>
      </c>
      <c r="Q27" s="34">
        <f>$B$1*$B$2+$B$3*46</f>
        <v>1750</v>
      </c>
      <c r="R27" s="31">
        <f>$B$1*$B$2+$B$3*45</f>
        <v>1749</v>
      </c>
      <c r="S27" s="34">
        <f>$B$1*$B$2+$B$3*44</f>
        <v>1748</v>
      </c>
      <c r="T27" s="34">
        <f>$B$1*$B$2+$B$3*43</f>
        <v>1747</v>
      </c>
      <c r="U27" s="32">
        <f>$B$1*$B$2+$B$3*42</f>
        <v>1746</v>
      </c>
      <c r="V27" s="21">
        <f>$B$1*$B$2+$B$3*71</f>
        <v>1775</v>
      </c>
      <c r="W27" s="21">
        <f>$B$1*$B$2+$B$3*108</f>
        <v>1812</v>
      </c>
      <c r="X27" s="21">
        <f>$B$1*$B$2+$B$3*153</f>
        <v>1857</v>
      </c>
      <c r="Y27" s="21">
        <f>$B$1*$B$2+$B$3*206</f>
        <v>1910</v>
      </c>
      <c r="Z27" s="21">
        <f>$B$1*$B$2+$B$3*267</f>
        <v>1971</v>
      </c>
      <c r="AA27" s="21">
        <f>$B$1*$B$2+$B$3*336</f>
        <v>2040</v>
      </c>
      <c r="AB27" s="21">
        <f>$B$1*$B$2+$B$3*413</f>
        <v>2117</v>
      </c>
      <c r="AC27" s="21">
        <f>$B$1*$B$2+$B$3*498</f>
        <v>2202</v>
      </c>
      <c r="AD27" s="21">
        <f>$B$1*$B$2+$B$3*591</f>
        <v>2295</v>
      </c>
      <c r="AE27" s="21">
        <f>$B$1*$B$2+$B$3*692</f>
        <v>2396</v>
      </c>
      <c r="AF27" s="21">
        <f>$B$1*$B$2+$B$3*801</f>
        <v>2505</v>
      </c>
      <c r="AG27" s="21">
        <f>$B$1*$B$2+$B$3*918</f>
        <v>2622</v>
      </c>
      <c r="AH27" s="20">
        <f>$B$1*$B$2+$B$3*1043</f>
        <v>2747</v>
      </c>
      <c r="AI27" s="4"/>
      <c r="AJ27" s="4"/>
      <c r="AK27" s="4"/>
      <c r="AL27" s="4"/>
    </row>
    <row r="28" spans="1:38" ht="44.1" customHeight="1">
      <c r="A28" s="4"/>
      <c r="B28" s="20">
        <f>$B$1*$B$2+$B$3*972</f>
        <v>2676</v>
      </c>
      <c r="C28" s="20">
        <f>$B$1*$B$2+$B$3*851</f>
        <v>2555</v>
      </c>
      <c r="D28" s="22">
        <f>$B$1*$B$2+$B$3*738</f>
        <v>2442</v>
      </c>
      <c r="E28" s="22">
        <f>$B$1*$B$2+$B$3*633</f>
        <v>2337</v>
      </c>
      <c r="F28" s="22">
        <f>$B$1*$B$2+$B$3*536</f>
        <v>2240</v>
      </c>
      <c r="G28" s="22">
        <f>$B$1*$B$2+$B$3*447</f>
        <v>2151</v>
      </c>
      <c r="H28" s="22">
        <f>$B$1*$B$2+$B$3*366</f>
        <v>2070</v>
      </c>
      <c r="I28" s="22">
        <f>$B$1*$B$2+$B$3*293</f>
        <v>1997</v>
      </c>
      <c r="J28" s="22">
        <f>$B$1*$B$2+$B$3*228</f>
        <v>1932</v>
      </c>
      <c r="K28" s="22">
        <f>$B$1*$B$2+$B$3*171</f>
        <v>1875</v>
      </c>
      <c r="L28" s="22">
        <f>$B$1*$B$2+$B$3*122</f>
        <v>1826</v>
      </c>
      <c r="M28" s="29">
        <f>$B$1*$B$2+$B$3*81</f>
        <v>1785</v>
      </c>
      <c r="N28" s="33">
        <f>$B$1*$B$2+$B$3*80</f>
        <v>1784</v>
      </c>
      <c r="O28" s="34">
        <f>$B$1*$B$2+$B$3*79</f>
        <v>1783</v>
      </c>
      <c r="P28" s="34">
        <f>$B$1*$B$2+$B$3*78</f>
        <v>1782</v>
      </c>
      <c r="Q28" s="34">
        <f>$B$1*$B$2+$B$3*77</f>
        <v>1781</v>
      </c>
      <c r="R28" s="31">
        <f>$B$1*$B$2+$B$3*76</f>
        <v>1780</v>
      </c>
      <c r="S28" s="34">
        <f>$B$1*$B$2+$B$3*75</f>
        <v>1779</v>
      </c>
      <c r="T28" s="34">
        <f>$B$1*$B$2+$B$3*74</f>
        <v>1778</v>
      </c>
      <c r="U28" s="34">
        <f>$B$1*$B$2+$B$3*73</f>
        <v>1777</v>
      </c>
      <c r="V28" s="32">
        <f>$B$1*$B$2+$B$3*72</f>
        <v>1776</v>
      </c>
      <c r="W28" s="21">
        <f>$B$1*$B$2+$B$3*109</f>
        <v>1813</v>
      </c>
      <c r="X28" s="21">
        <f>$B$1*$B$2+$B$3*154</f>
        <v>1858</v>
      </c>
      <c r="Y28" s="21">
        <f>$B$1*$B$2+$B$3*207</f>
        <v>1911</v>
      </c>
      <c r="Z28" s="21">
        <f>$B$1*$B$2+$B$3*268</f>
        <v>1972</v>
      </c>
      <c r="AA28" s="21">
        <f>$B$1*$B$2+$B$3*337</f>
        <v>2041</v>
      </c>
      <c r="AB28" s="21">
        <f>$B$1*$B$2+$B$3*414</f>
        <v>2118</v>
      </c>
      <c r="AC28" s="21">
        <f>$B$1*$B$2+$B$3*499</f>
        <v>2203</v>
      </c>
      <c r="AD28" s="21">
        <f>$B$1*$B$2+$B$3*592</f>
        <v>2296</v>
      </c>
      <c r="AE28" s="21">
        <f>$B$1*$B$2+$B$3*693</f>
        <v>2397</v>
      </c>
      <c r="AF28" s="21">
        <f>$B$1*$B$2+$B$3*802</f>
        <v>2506</v>
      </c>
      <c r="AG28" s="21">
        <f>$B$1*$B$2+$B$3*919</f>
        <v>2623</v>
      </c>
      <c r="AH28" s="20">
        <f>$B$1*$B$2+$B$3*1044</f>
        <v>2748</v>
      </c>
      <c r="AI28" s="4"/>
      <c r="AJ28" s="4"/>
      <c r="AK28" s="4"/>
      <c r="AL28" s="4"/>
    </row>
    <row r="29" spans="1:38" ht="44.1" customHeight="1">
      <c r="A29" s="4"/>
      <c r="B29" s="20">
        <f>$B$1*$B$2+$B$3*971</f>
        <v>2675</v>
      </c>
      <c r="C29" s="20">
        <f>$B$1*$B$2+$B$3*850</f>
        <v>2554</v>
      </c>
      <c r="D29" s="22">
        <f>$B$1*$B$2+$B$3*737</f>
        <v>2441</v>
      </c>
      <c r="E29" s="22">
        <f>$B$1*$B$2+$B$3*632</f>
        <v>2336</v>
      </c>
      <c r="F29" s="22">
        <f>$B$1*$B$2+$B$3*535</f>
        <v>2239</v>
      </c>
      <c r="G29" s="22">
        <f>$B$1*$B$2+$B$3*446</f>
        <v>2150</v>
      </c>
      <c r="H29" s="22">
        <f>$B$1*$B$2+$B$3*365</f>
        <v>2069</v>
      </c>
      <c r="I29" s="22">
        <f>$B$1*$B$2+$B$3*292</f>
        <v>1996</v>
      </c>
      <c r="J29" s="22">
        <f>$B$1*$B$2+$B$3*227</f>
        <v>1931</v>
      </c>
      <c r="K29" s="22">
        <f>$B$1*$B$2+$B$3*170</f>
        <v>1874</v>
      </c>
      <c r="L29" s="29">
        <f>$B$1*$B$2+$B$3*121</f>
        <v>1825</v>
      </c>
      <c r="M29" s="33">
        <f>$B$1*$B$2+$B$3*120</f>
        <v>1824</v>
      </c>
      <c r="N29" s="34">
        <f>$B$1*$B$2+$B$3*119</f>
        <v>1823</v>
      </c>
      <c r="O29" s="34">
        <f>$B$1*$B$2+$B$3*118</f>
        <v>1822</v>
      </c>
      <c r="P29" s="34">
        <f>$B$1*$B$2+$B$3*117</f>
        <v>1821</v>
      </c>
      <c r="Q29" s="34">
        <f>$B$1*$B$2+$B$3*116</f>
        <v>1820</v>
      </c>
      <c r="R29" s="31">
        <f>$B$1*$B$2+$B$3*115</f>
        <v>1819</v>
      </c>
      <c r="S29" s="34">
        <f>$B$1*$B$2+$B$3*114</f>
        <v>1818</v>
      </c>
      <c r="T29" s="34">
        <f>$B$1*$B$2+$B$3*113</f>
        <v>1817</v>
      </c>
      <c r="U29" s="34">
        <f>$B$1*$B$2+$B$3*112</f>
        <v>1816</v>
      </c>
      <c r="V29" s="34">
        <f>$B$1*$B$2+$B$3*111</f>
        <v>1815</v>
      </c>
      <c r="W29" s="32">
        <f>$B$1*$B$2+$B$3*110</f>
        <v>1814</v>
      </c>
      <c r="X29" s="21">
        <f>$B$1*$B$2+$B$3*155</f>
        <v>1859</v>
      </c>
      <c r="Y29" s="21">
        <f>$B$1*$B$2+$B$3*208</f>
        <v>1912</v>
      </c>
      <c r="Z29" s="21">
        <f>$B$1*$B$2+$B$3*269</f>
        <v>1973</v>
      </c>
      <c r="AA29" s="21">
        <f>$B$1*$B$2+$B$3*338</f>
        <v>2042</v>
      </c>
      <c r="AB29" s="21">
        <f>$B$1*$B$2+$B$3*415</f>
        <v>2119</v>
      </c>
      <c r="AC29" s="21">
        <f>$B$1*$B$2+$B$3*500</f>
        <v>2204</v>
      </c>
      <c r="AD29" s="21">
        <f>$B$1*$B$2+$B$3*593</f>
        <v>2297</v>
      </c>
      <c r="AE29" s="21">
        <f>$B$1*$B$2+$B$3*694</f>
        <v>2398</v>
      </c>
      <c r="AF29" s="21">
        <f>$B$1*$B$2+$B$3*803</f>
        <v>2507</v>
      </c>
      <c r="AG29" s="21">
        <f>$B$1*$B$2+$B$3*920</f>
        <v>2624</v>
      </c>
      <c r="AH29" s="20">
        <f>$B$1*$B$2+$B$3*1045</f>
        <v>2749</v>
      </c>
      <c r="AI29" s="4"/>
      <c r="AJ29" s="4"/>
      <c r="AK29" s="4"/>
      <c r="AL29" s="4"/>
    </row>
    <row r="30" spans="1:38" ht="44.1" customHeight="1">
      <c r="A30" s="4"/>
      <c r="B30" s="20">
        <f>$B$1*$B$2+$B$3*970</f>
        <v>2674</v>
      </c>
      <c r="C30" s="20">
        <f>$B$1*$B$2+$B$3*849</f>
        <v>2553</v>
      </c>
      <c r="D30" s="22">
        <f>$B$1*$B$2+$B$3*736</f>
        <v>2440</v>
      </c>
      <c r="E30" s="22">
        <f>$B$1*$B$2+$B$3*631</f>
        <v>2335</v>
      </c>
      <c r="F30" s="22">
        <f>$B$1*$B$2+$B$3*534</f>
        <v>2238</v>
      </c>
      <c r="G30" s="22">
        <f>$B$1*$B$2+$B$3*445</f>
        <v>2149</v>
      </c>
      <c r="H30" s="22">
        <f>$B$1*$B$2+$B$3*364</f>
        <v>2068</v>
      </c>
      <c r="I30" s="22">
        <f>$B$1*$B$2+$B$3*291</f>
        <v>1995</v>
      </c>
      <c r="J30" s="22">
        <f>$B$1*$B$2+$B$3*226</f>
        <v>1930</v>
      </c>
      <c r="K30" s="29">
        <f>$B$1*$B$2+$B$3*169</f>
        <v>1873</v>
      </c>
      <c r="L30" s="33">
        <f>$B$1*$B$2+$B$3*168</f>
        <v>1872</v>
      </c>
      <c r="M30" s="34">
        <f>$B$1*$B$2+$B$3*167</f>
        <v>1871</v>
      </c>
      <c r="N30" s="34">
        <f>$B$1*$B$2+$B$3*166</f>
        <v>1870</v>
      </c>
      <c r="O30" s="34">
        <f>$B$1*$B$2+$B$3*165</f>
        <v>1869</v>
      </c>
      <c r="P30" s="34">
        <f>$B$1*$B$2+$B$3*164</f>
        <v>1868</v>
      </c>
      <c r="Q30" s="34">
        <f>$B$1*$B$2+$B$3*163</f>
        <v>1867</v>
      </c>
      <c r="R30" s="31">
        <f>$B$1*$B$2+$B$3*162</f>
        <v>1866</v>
      </c>
      <c r="S30" s="34">
        <f>$B$1*$B$2+$B$3*161</f>
        <v>1865</v>
      </c>
      <c r="T30" s="34">
        <f>$B$1*$B$2+$B$3*160</f>
        <v>1864</v>
      </c>
      <c r="U30" s="34">
        <f>$B$1*$B$2+$B$3*159</f>
        <v>1863</v>
      </c>
      <c r="V30" s="34">
        <f>$B$1*$B$2+$B$3*158</f>
        <v>1862</v>
      </c>
      <c r="W30" s="34">
        <f>$B$1*$B$2+$B$3*157</f>
        <v>1861</v>
      </c>
      <c r="X30" s="32">
        <f>$B$1*$B$2+$B$3*156</f>
        <v>1860</v>
      </c>
      <c r="Y30" s="21">
        <f>$B$1*$B$2+$B$3*209</f>
        <v>1913</v>
      </c>
      <c r="Z30" s="21">
        <f>$B$1*$B$2+$B$3*270</f>
        <v>1974</v>
      </c>
      <c r="AA30" s="21">
        <f>$B$1*$B$2+$B$3*339</f>
        <v>2043</v>
      </c>
      <c r="AB30" s="21">
        <f>$B$1*$B$2+$B$3*416</f>
        <v>2120</v>
      </c>
      <c r="AC30" s="21">
        <f>$B$1*$B$2+$B$3*501</f>
        <v>2205</v>
      </c>
      <c r="AD30" s="21">
        <f>$B$1*$B$2+$B$3*594</f>
        <v>2298</v>
      </c>
      <c r="AE30" s="21">
        <f>$B$1*$B$2+$B$3*695</f>
        <v>2399</v>
      </c>
      <c r="AF30" s="21">
        <f>$B$1*$B$2+$B$3*804</f>
        <v>2508</v>
      </c>
      <c r="AG30" s="21">
        <f>$B$1*$B$2+$B$3*921</f>
        <v>2625</v>
      </c>
      <c r="AH30" s="20">
        <f>$B$1*$B$2+$B$3*1046</f>
        <v>2750</v>
      </c>
      <c r="AI30" s="4"/>
      <c r="AJ30" s="4"/>
      <c r="AK30" s="4"/>
      <c r="AL30" s="4"/>
    </row>
    <row r="31" spans="1:38" ht="44.1" customHeight="1">
      <c r="A31" s="4"/>
      <c r="B31" s="20">
        <f>$B$1*$B$2+$B$3*969</f>
        <v>2673</v>
      </c>
      <c r="C31" s="20">
        <f>$B$1*$B$2+$B$3*848</f>
        <v>2552</v>
      </c>
      <c r="D31" s="22">
        <f>$B$1*$B$2+$B$3*735</f>
        <v>2439</v>
      </c>
      <c r="E31" s="22">
        <f>$B$1*$B$2+$B$3*630</f>
        <v>2334</v>
      </c>
      <c r="F31" s="22">
        <f>$B$1*$B$2+$B$3*533</f>
        <v>2237</v>
      </c>
      <c r="G31" s="22">
        <f>$B$1*$B$2+$B$3*444</f>
        <v>2148</v>
      </c>
      <c r="H31" s="22">
        <f>$B$1*$B$2+$B$3*363</f>
        <v>2067</v>
      </c>
      <c r="I31" s="22">
        <f>$B$1*$B$2+$B$3*290</f>
        <v>1994</v>
      </c>
      <c r="J31" s="29">
        <f>$B$1*$B$2+$B$3*225</f>
        <v>1929</v>
      </c>
      <c r="K31" s="33">
        <f>$B$1*$B$2+$B$3*224</f>
        <v>1928</v>
      </c>
      <c r="L31" s="34">
        <f>$B$1*$B$2+$B$3*223</f>
        <v>1927</v>
      </c>
      <c r="M31" s="34">
        <f>$B$1*$B$2+$B$3*222</f>
        <v>1926</v>
      </c>
      <c r="N31" s="34">
        <f>$B$1*$B$2+$B$3*221</f>
        <v>1925</v>
      </c>
      <c r="O31" s="34">
        <f>$B$1*$B$2+$B$3*220</f>
        <v>1924</v>
      </c>
      <c r="P31" s="34">
        <f>$B$1*$B$2+$B$3*219</f>
        <v>1923</v>
      </c>
      <c r="Q31" s="34">
        <f>$B$1*$B$2+$B$3*218</f>
        <v>1922</v>
      </c>
      <c r="R31" s="31">
        <f>$B$1*$B$2+$B$3*217</f>
        <v>1921</v>
      </c>
      <c r="S31" s="34">
        <f>$B$1*$B$2+$B$3*216</f>
        <v>1920</v>
      </c>
      <c r="T31" s="34">
        <f>$B$1*$B$2+$B$3*215</f>
        <v>1919</v>
      </c>
      <c r="U31" s="34">
        <f>$B$1*$B$2+$B$3*214</f>
        <v>1918</v>
      </c>
      <c r="V31" s="34">
        <f>$B$1*$B$2+$B$3*213</f>
        <v>1917</v>
      </c>
      <c r="W31" s="34">
        <f>$B$1*$B$2+$B$3*212</f>
        <v>1916</v>
      </c>
      <c r="X31" s="34">
        <f>$B$1*$B$2+$B$3*211</f>
        <v>1915</v>
      </c>
      <c r="Y31" s="32">
        <f>$B$1*$B$2+$B$3*210</f>
        <v>1914</v>
      </c>
      <c r="Z31" s="21">
        <f>$B$1*$B$2+$B$3*271</f>
        <v>1975</v>
      </c>
      <c r="AA31" s="21">
        <f>$B$1*$B$2+$B$3*340</f>
        <v>2044</v>
      </c>
      <c r="AB31" s="21">
        <f>$B$1*$B$2+$B$3*417</f>
        <v>2121</v>
      </c>
      <c r="AC31" s="21">
        <f>$B$1*$B$2+$B$3*502</f>
        <v>2206</v>
      </c>
      <c r="AD31" s="21">
        <f>$B$1*$B$2+$B$3*595</f>
        <v>2299</v>
      </c>
      <c r="AE31" s="21">
        <f>$B$1*$B$2+$B$3*696</f>
        <v>2400</v>
      </c>
      <c r="AF31" s="21">
        <f>$B$1*$B$2+$B$3*805</f>
        <v>2509</v>
      </c>
      <c r="AG31" s="21">
        <f>$B$1*$B$2+$B$3*922</f>
        <v>2626</v>
      </c>
      <c r="AH31" s="20">
        <f>$B$1*$B$2+$B$3*1047</f>
        <v>2751</v>
      </c>
      <c r="AI31" s="4"/>
      <c r="AJ31" s="4"/>
      <c r="AK31" s="4"/>
      <c r="AL31" s="4"/>
    </row>
    <row r="32" spans="1:38" ht="44.1" customHeight="1">
      <c r="A32" s="74" t="s">
        <v>26</v>
      </c>
      <c r="B32" s="20">
        <f>$B$1*$B$2+$B$3*968</f>
        <v>2672</v>
      </c>
      <c r="C32" s="20">
        <f>$B$1*$B$2+$B$3*847</f>
        <v>2551</v>
      </c>
      <c r="D32" s="22">
        <f>$B$1*$B$2+$B$3*734</f>
        <v>2438</v>
      </c>
      <c r="E32" s="22">
        <f>$B$1*$B$2+$B$3*629</f>
        <v>2333</v>
      </c>
      <c r="F32" s="22">
        <f>$B$1*$B$2+$B$3*532</f>
        <v>2236</v>
      </c>
      <c r="G32" s="22">
        <f>$B$1*$B$2+$B$3*443</f>
        <v>2147</v>
      </c>
      <c r="H32" s="20">
        <f>$B$1*$B$2+$B$3*362</f>
        <v>2066</v>
      </c>
      <c r="I32" s="29">
        <f>$B$1*$B$2+$B$3*289</f>
        <v>1993</v>
      </c>
      <c r="J32" s="33">
        <f>$B$1*$B$2+$B$3*288</f>
        <v>1992</v>
      </c>
      <c r="K32" s="34">
        <f>$B$1*$B$2+$B$3*287</f>
        <v>1991</v>
      </c>
      <c r="L32" s="34">
        <f>$B$1*$B$2+$B$3*286</f>
        <v>1990</v>
      </c>
      <c r="M32" s="34">
        <f>$B$1*$B$2+$B$3*285</f>
        <v>1989</v>
      </c>
      <c r="N32" s="34">
        <f>$B$1*$B$2+$B$3*284</f>
        <v>1988</v>
      </c>
      <c r="O32" s="34">
        <f>$B$1*$B$2+$B$3*283</f>
        <v>1987</v>
      </c>
      <c r="P32" s="34">
        <f>$B$1*$B$2+$B$3*282</f>
        <v>1986</v>
      </c>
      <c r="Q32" s="34">
        <f>$B$1*$B$2+$B$3*281</f>
        <v>1985</v>
      </c>
      <c r="R32" s="31">
        <f>$B$1*$B$2+$B$3*280</f>
        <v>1984</v>
      </c>
      <c r="S32" s="34">
        <f>$B$1*$B$2+$B$3*279</f>
        <v>1983</v>
      </c>
      <c r="T32" s="34">
        <f>$B$1*$B$2+$B$3*278</f>
        <v>1982</v>
      </c>
      <c r="U32" s="34">
        <f>$B$1*$B$2+$B$3*277</f>
        <v>1981</v>
      </c>
      <c r="V32" s="34">
        <f>$B$1*$B$2+$B$3*276</f>
        <v>1980</v>
      </c>
      <c r="W32" s="34">
        <f>$B$1*$B$2+$B$3*275</f>
        <v>1979</v>
      </c>
      <c r="X32" s="34">
        <f>$B$1*$B$2+$B$3*274</f>
        <v>1978</v>
      </c>
      <c r="Y32" s="34">
        <f>$B$1*$B$2+$B$3*273</f>
        <v>1977</v>
      </c>
      <c r="Z32" s="32">
        <f>$B$1*$B$2+$B$3*272</f>
        <v>1976</v>
      </c>
      <c r="AA32" s="21">
        <f>$B$1*$B$2+$B$3*341</f>
        <v>2045</v>
      </c>
      <c r="AB32" s="21">
        <f>$B$1*$B$2+$B$3*418</f>
        <v>2122</v>
      </c>
      <c r="AC32" s="21">
        <f>$B$1*$B$2+$B$3*503</f>
        <v>2207</v>
      </c>
      <c r="AD32" s="21">
        <f>$B$1*$B$2+$B$3*596</f>
        <v>2300</v>
      </c>
      <c r="AE32" s="21">
        <f>$B$1*$B$2+$B$3*697</f>
        <v>2401</v>
      </c>
      <c r="AF32" s="21">
        <f>$B$1*$B$2+$B$3*806</f>
        <v>2510</v>
      </c>
      <c r="AG32" s="21">
        <f>$B$1*$B$2+$B$3*923</f>
        <v>2627</v>
      </c>
      <c r="AH32" s="20">
        <f>$B$1*$B$2+$B$3*1048</f>
        <v>2752</v>
      </c>
      <c r="AI32" s="76" t="s">
        <v>27</v>
      </c>
      <c r="AJ32" s="4"/>
      <c r="AK32" s="4"/>
      <c r="AL32" s="4"/>
    </row>
    <row r="33" spans="1:38" ht="44.1" customHeight="1">
      <c r="A33" s="75"/>
      <c r="B33" s="20">
        <f>$B$1*$B$2+$B$3*967</f>
        <v>2671</v>
      </c>
      <c r="C33" s="20">
        <f>$B$1*$B$2+$B$3*846</f>
        <v>2550</v>
      </c>
      <c r="D33" s="22">
        <f>$B$1*$B$2+$B$3*733</f>
        <v>2437</v>
      </c>
      <c r="E33" s="22">
        <f>$B$1*$B$2+$B$3*628</f>
        <v>2332</v>
      </c>
      <c r="F33" s="22">
        <f>$B$1*$B$2+$B$3*531</f>
        <v>2235</v>
      </c>
      <c r="G33" s="22">
        <f>$B$1*$B$2+$B$3*442</f>
        <v>2146</v>
      </c>
      <c r="H33" s="29">
        <f>$B$1*$B$2+$B$3*361</f>
        <v>2065</v>
      </c>
      <c r="I33" s="33">
        <f>$B$1*$B$2+$B$3*360</f>
        <v>2064</v>
      </c>
      <c r="J33" s="34">
        <f>$B$1*$B$2+$B$3*359</f>
        <v>2063</v>
      </c>
      <c r="K33" s="34">
        <f>$B$1*$B$2+$B$3*358</f>
        <v>2062</v>
      </c>
      <c r="L33" s="34">
        <f>$B$1*$B$2+$B$3*357</f>
        <v>2061</v>
      </c>
      <c r="M33" s="34">
        <f>$B$1*$B$2+$B$3*356</f>
        <v>2060</v>
      </c>
      <c r="N33" s="34">
        <f>$B$1*$B$2+$B$3*355</f>
        <v>2059</v>
      </c>
      <c r="O33" s="34">
        <f>$B$1*$B$2+$B$3*354</f>
        <v>2058</v>
      </c>
      <c r="P33" s="34">
        <f>$B$1*$B$2+$B$3*353</f>
        <v>2057</v>
      </c>
      <c r="Q33" s="34">
        <f>$B$1*$B$2+$B$3*352</f>
        <v>2056</v>
      </c>
      <c r="R33" s="31">
        <f>$B$1*$B$2+$B$3*351</f>
        <v>2055</v>
      </c>
      <c r="S33" s="34">
        <f>$B$1*$B$2+$B$3*350</f>
        <v>2054</v>
      </c>
      <c r="T33" s="34">
        <f>$B$1*$B$2+$B$3*349</f>
        <v>2053</v>
      </c>
      <c r="U33" s="34">
        <f>$B$1*$B$2+$B$3*348</f>
        <v>2052</v>
      </c>
      <c r="V33" s="34">
        <f>$B$1*$B$2+$B$3*347</f>
        <v>2051</v>
      </c>
      <c r="W33" s="34">
        <f>$B$1*$B$2+$B$3*346</f>
        <v>2050</v>
      </c>
      <c r="X33" s="34">
        <f>$B$1*$B$2+$B$3*345</f>
        <v>2049</v>
      </c>
      <c r="Y33" s="34">
        <f>$B$1*$B$2+$B$3*344</f>
        <v>2048</v>
      </c>
      <c r="Z33" s="34">
        <f>$B$1*$B$2+$B$3*343</f>
        <v>2047</v>
      </c>
      <c r="AA33" s="32">
        <f>$B$1*$B$2+$B$3*342</f>
        <v>2046</v>
      </c>
      <c r="AB33" s="21">
        <f>$B$1*$B$2+$B$3*419</f>
        <v>2123</v>
      </c>
      <c r="AC33" s="21">
        <f>$B$1*$B$2+$B$3*504</f>
        <v>2208</v>
      </c>
      <c r="AD33" s="21">
        <f>$B$1*$B$2+$B$3*597</f>
        <v>2301</v>
      </c>
      <c r="AE33" s="21">
        <f>$B$1*$B$2+$B$3*698</f>
        <v>2402</v>
      </c>
      <c r="AF33" s="21">
        <f>$B$1*$B$2+$B$3*807</f>
        <v>2511</v>
      </c>
      <c r="AG33" s="21">
        <f>$B$1*$B$2+$B$3*924</f>
        <v>2628</v>
      </c>
      <c r="AH33" s="20">
        <f>$B$1*$B$2+$B$3*1049</f>
        <v>2753</v>
      </c>
      <c r="AI33" s="77"/>
      <c r="AJ33" s="4"/>
      <c r="AK33" s="4"/>
      <c r="AL33" s="4"/>
    </row>
    <row r="34" spans="1:38" ht="44.1" customHeight="1">
      <c r="A34" s="4"/>
      <c r="B34" s="20">
        <f>$B$1*$B$2+$B$3*966</f>
        <v>2670</v>
      </c>
      <c r="C34" s="20">
        <f>$B$1*$B$2+$B$3*845</f>
        <v>2549</v>
      </c>
      <c r="D34" s="22">
        <f>$B$1*$B$2+$B$3*732</f>
        <v>2436</v>
      </c>
      <c r="E34" s="22">
        <f>$B$1*$B$2+$B$3*627</f>
        <v>2331</v>
      </c>
      <c r="F34" s="22">
        <f>$B$1*$B$2+$B$3*530</f>
        <v>2234</v>
      </c>
      <c r="G34" s="29">
        <f>$B$1*$B$2+$B$3*441</f>
        <v>2145</v>
      </c>
      <c r="H34" s="33">
        <f>$B$1*$B$2+$B$3*440</f>
        <v>2144</v>
      </c>
      <c r="I34" s="34">
        <f>$B$1*$B$2+$B$3*439</f>
        <v>2143</v>
      </c>
      <c r="J34" s="34">
        <f>$B$1*$B$2+$B$3*438</f>
        <v>2142</v>
      </c>
      <c r="K34" s="34">
        <f>$B$1*$B$2+$B$3*437</f>
        <v>2141</v>
      </c>
      <c r="L34" s="34">
        <f>$B$1*$B$2+$B$3*436</f>
        <v>2140</v>
      </c>
      <c r="M34" s="34">
        <f>$B$1*$B$2+$B$3*435</f>
        <v>2139</v>
      </c>
      <c r="N34" s="34">
        <f>$B$1*$B$2+$B$3*434</f>
        <v>2138</v>
      </c>
      <c r="O34" s="34">
        <f>$B$1*$B$2+$B$3*433</f>
        <v>2137</v>
      </c>
      <c r="P34" s="34">
        <f>$B$1*$B$2+$B$3*432</f>
        <v>2136</v>
      </c>
      <c r="Q34" s="34">
        <f>$B$1*$B$2+$B$3*431</f>
        <v>2135</v>
      </c>
      <c r="R34" s="31">
        <f>$B$1*$B$2+$B$3*430</f>
        <v>2134</v>
      </c>
      <c r="S34" s="34">
        <f>$B$1*$B$2+$B$3*429</f>
        <v>2133</v>
      </c>
      <c r="T34" s="34">
        <f>$B$1*$B$2+$B$3*428</f>
        <v>2132</v>
      </c>
      <c r="U34" s="34">
        <f>$B$1*$B$2+$B$3*427</f>
        <v>2131</v>
      </c>
      <c r="V34" s="34">
        <f>$B$1*$B$2+$B$3*426</f>
        <v>2130</v>
      </c>
      <c r="W34" s="34">
        <f>$B$1*$B$2+$B$3*425</f>
        <v>2129</v>
      </c>
      <c r="X34" s="34">
        <f>$B$1*$B$2+$B$3*424</f>
        <v>2128</v>
      </c>
      <c r="Y34" s="34">
        <f>$B$1*$B$2+$B$3*423</f>
        <v>2127</v>
      </c>
      <c r="Z34" s="34">
        <f>$B$1*$B$2+$B$3*422</f>
        <v>2126</v>
      </c>
      <c r="AA34" s="34">
        <f>$B$1*$B$2+$B$3*421</f>
        <v>2125</v>
      </c>
      <c r="AB34" s="32">
        <f>$B$1*$B$2+$B$3*420</f>
        <v>2124</v>
      </c>
      <c r="AC34" s="21">
        <f>$B$1*$B$2+$B$3*505</f>
        <v>2209</v>
      </c>
      <c r="AD34" s="21">
        <f>$B$1*$B$2+$B$3*598</f>
        <v>2302</v>
      </c>
      <c r="AE34" s="21">
        <f>$B$1*$B$2+$B$3*699</f>
        <v>2403</v>
      </c>
      <c r="AF34" s="21">
        <f>$B$1*$B$2+$B$3*808</f>
        <v>2512</v>
      </c>
      <c r="AG34" s="21">
        <f>$B$1*$B$2+$B$3*925</f>
        <v>2629</v>
      </c>
      <c r="AH34" s="20">
        <f>$B$1*$B$2+$B$3*1050</f>
        <v>2754</v>
      </c>
      <c r="AI34" s="4"/>
      <c r="AJ34" s="4"/>
      <c r="AK34" s="4"/>
      <c r="AL34" s="4"/>
    </row>
    <row r="35" spans="1:38" ht="44.1" customHeight="1">
      <c r="A35" s="4"/>
      <c r="B35" s="20">
        <f>$B$1*$B$2+$B$3*965</f>
        <v>2669</v>
      </c>
      <c r="C35" s="20">
        <f>$B$1*$B$2+$B$3*844</f>
        <v>2548</v>
      </c>
      <c r="D35" s="22">
        <f>$B$1*$B$2+$B$3*731</f>
        <v>2435</v>
      </c>
      <c r="E35" s="22">
        <f>$B$1*$B$2+$B$3*626</f>
        <v>2330</v>
      </c>
      <c r="F35" s="29">
        <f>$B$1*$B$2+$B$3*529</f>
        <v>2233</v>
      </c>
      <c r="G35" s="33">
        <f>$B$1*$B$2+$B$3*528</f>
        <v>2232</v>
      </c>
      <c r="H35" s="34">
        <f>$B$1*$B$2+$B$3*527</f>
        <v>2231</v>
      </c>
      <c r="I35" s="34">
        <f>$B$1*$B$2+$B$3*526</f>
        <v>2230</v>
      </c>
      <c r="J35" s="34">
        <f>$B$1*$B$2+$B$3*525</f>
        <v>2229</v>
      </c>
      <c r="K35" s="34">
        <f>$B$1*$B$2+$B$3*524</f>
        <v>2228</v>
      </c>
      <c r="L35" s="34">
        <f>$B$1*$B$2+$B$3*523</f>
        <v>2227</v>
      </c>
      <c r="M35" s="34">
        <f>$B$1*$B$2+$B$3*522</f>
        <v>2226</v>
      </c>
      <c r="N35" s="34">
        <f>$B$1*$B$2+$B$3*521</f>
        <v>2225</v>
      </c>
      <c r="O35" s="34">
        <f>$B$1*$B$2+$B$3*520</f>
        <v>2224</v>
      </c>
      <c r="P35" s="34">
        <f>$B$1*$B$2+$B$3*519</f>
        <v>2223</v>
      </c>
      <c r="Q35" s="34">
        <f>$B$1*$B$2+$B$3*518</f>
        <v>2222</v>
      </c>
      <c r="R35" s="31">
        <f>$B$1*$B$2+$B$3*517</f>
        <v>2221</v>
      </c>
      <c r="S35" s="34">
        <f>$B$1*$B$2+$B$3*516</f>
        <v>2220</v>
      </c>
      <c r="T35" s="34">
        <f>$B$1*$B$2+$B$3*515</f>
        <v>2219</v>
      </c>
      <c r="U35" s="34">
        <f>$B$1*$B$2+$B$3*514</f>
        <v>2218</v>
      </c>
      <c r="V35" s="34">
        <f>$B$1*$B$2+$B$3*513</f>
        <v>2217</v>
      </c>
      <c r="W35" s="34">
        <f>$B$1*$B$2+$B$3*512</f>
        <v>2216</v>
      </c>
      <c r="X35" s="34">
        <f>$B$1*$B$2+$B$3*511</f>
        <v>2215</v>
      </c>
      <c r="Y35" s="34">
        <f>$B$1*$B$2+$B$3*510</f>
        <v>2214</v>
      </c>
      <c r="Z35" s="34">
        <f>$B$1*$B$2+$B$3*509</f>
        <v>2213</v>
      </c>
      <c r="AA35" s="34">
        <f>$B$1*$B$2+$B$3*508</f>
        <v>2212</v>
      </c>
      <c r="AB35" s="34">
        <f>$B$1*$B$2+$B$3*507</f>
        <v>2211</v>
      </c>
      <c r="AC35" s="32">
        <f>$B$1*$B$2+$B$3*506</f>
        <v>2210</v>
      </c>
      <c r="AD35" s="21">
        <f>$B$1*$B$2+$B$3*599</f>
        <v>2303</v>
      </c>
      <c r="AE35" s="21">
        <f>$B$1*$B$2+$B$3*700</f>
        <v>2404</v>
      </c>
      <c r="AF35" s="21">
        <f>$B$1*$B$2+$B$3*809</f>
        <v>2513</v>
      </c>
      <c r="AG35" s="21">
        <f>$B$1*$B$2+$B$3*926</f>
        <v>2630</v>
      </c>
      <c r="AH35" s="20">
        <f>$B$1*$B$2+$B$3*1051</f>
        <v>2755</v>
      </c>
      <c r="AI35" s="4"/>
      <c r="AJ35" s="4"/>
      <c r="AK35" s="4"/>
      <c r="AL35" s="4"/>
    </row>
    <row r="36" spans="1:38" ht="44.1" customHeight="1">
      <c r="A36" s="4"/>
      <c r="B36" s="20">
        <f>$B$1*$B$2+$B$3*964</f>
        <v>2668</v>
      </c>
      <c r="C36" s="20">
        <f>$B$1*$B$2+$B$3*843</f>
        <v>2547</v>
      </c>
      <c r="D36" s="22">
        <f>$B$1*$B$2+$B$3*730</f>
        <v>2434</v>
      </c>
      <c r="E36" s="29">
        <f>$B$1*$B$2+$B$3*625</f>
        <v>2329</v>
      </c>
      <c r="F36" s="33">
        <f>$B$1*$B$2+$B$3*624</f>
        <v>2328</v>
      </c>
      <c r="G36" s="34">
        <f>$B$1*$B$2+$B$3*623</f>
        <v>2327</v>
      </c>
      <c r="H36" s="34">
        <f>$B$1*$B$2+$B$3*622</f>
        <v>2326</v>
      </c>
      <c r="I36" s="34">
        <f>$B$1*$B$2+$B$3*621</f>
        <v>2325</v>
      </c>
      <c r="J36" s="34">
        <f>$B$1*$B$2+$B$3*620</f>
        <v>2324</v>
      </c>
      <c r="K36" s="34">
        <f>$B$1*$B$2+$B$3*619</f>
        <v>2323</v>
      </c>
      <c r="L36" s="34">
        <f>$B$1*$B$2+$B$3*618</f>
        <v>2322</v>
      </c>
      <c r="M36" s="34">
        <f>$B$1*$B$2+$B$3*617</f>
        <v>2321</v>
      </c>
      <c r="N36" s="34">
        <f>$B$1*$B$2+$B$3*616</f>
        <v>2320</v>
      </c>
      <c r="O36" s="34">
        <f>$B$1*$B$2+$B$3*615</f>
        <v>2319</v>
      </c>
      <c r="P36" s="34">
        <f>$B$1*$B$2+$B$3*614</f>
        <v>2318</v>
      </c>
      <c r="Q36" s="34">
        <f>$B$1*$B$2+$B$3*613</f>
        <v>2317</v>
      </c>
      <c r="R36" s="31">
        <f>$B$1*$B$2+$B$3*612</f>
        <v>2316</v>
      </c>
      <c r="S36" s="34">
        <f>$B$1*$B$2+$B$3*611</f>
        <v>2315</v>
      </c>
      <c r="T36" s="34">
        <f>$B$1*$B$2+$B$3*610</f>
        <v>2314</v>
      </c>
      <c r="U36" s="34">
        <f>$B$1*$B$2+$B$3*609</f>
        <v>2313</v>
      </c>
      <c r="V36" s="34">
        <f>$B$1*$B$2+$B$3*608</f>
        <v>2312</v>
      </c>
      <c r="W36" s="34">
        <f>$B$1*$B$2+$B$3*607</f>
        <v>2311</v>
      </c>
      <c r="X36" s="34">
        <f>$B$1*$B$2+$B$3*606</f>
        <v>2310</v>
      </c>
      <c r="Y36" s="34">
        <f>$B$1*$B$2+$B$3*605</f>
        <v>2309</v>
      </c>
      <c r="Z36" s="34">
        <f>$B$1*$B$2+$B$3*604</f>
        <v>2308</v>
      </c>
      <c r="AA36" s="34">
        <f>$B$1*$B$2+$B$3*603</f>
        <v>2307</v>
      </c>
      <c r="AB36" s="34">
        <f>$B$1*$B$2+$B$3*602</f>
        <v>2306</v>
      </c>
      <c r="AC36" s="34">
        <f>$B$1*$B$2+$B$3*601</f>
        <v>2305</v>
      </c>
      <c r="AD36" s="32">
        <f>$B$1*$B$2+$B$3*600</f>
        <v>2304</v>
      </c>
      <c r="AE36" s="21">
        <f>$B$1*$B$2+$B$3*701</f>
        <v>2405</v>
      </c>
      <c r="AF36" s="21">
        <f>$B$1*$B$2+$B$3*810</f>
        <v>2514</v>
      </c>
      <c r="AG36" s="21">
        <f>$B$1*$B$2+$B$3*927</f>
        <v>2631</v>
      </c>
      <c r="AH36" s="20">
        <f>$B$1*$B$2+$B$3*1052</f>
        <v>2756</v>
      </c>
      <c r="AI36" s="4"/>
      <c r="AJ36" s="4"/>
      <c r="AK36" s="4"/>
      <c r="AL36" s="4"/>
    </row>
    <row r="37" spans="1:38" ht="44.1" customHeight="1">
      <c r="A37" s="4"/>
      <c r="B37" s="20">
        <f>$B$1*$B$2+$B$3*963</f>
        <v>2667</v>
      </c>
      <c r="C37" s="20">
        <f>$B$1*$B$2+$B$3*842</f>
        <v>2546</v>
      </c>
      <c r="D37" s="29">
        <f>$B$1*$B$2+$B$3*729</f>
        <v>2433</v>
      </c>
      <c r="E37" s="33">
        <f>$B$1*$B$2+$B$3*728</f>
        <v>2432</v>
      </c>
      <c r="F37" s="34">
        <f>$B$1*$B$2+$B$3*727</f>
        <v>2431</v>
      </c>
      <c r="G37" s="34">
        <f>$B$1*$B$2+$B$3*726</f>
        <v>2430</v>
      </c>
      <c r="H37" s="34">
        <f>$B$1*$B$2+$B$3*725</f>
        <v>2429</v>
      </c>
      <c r="I37" s="34">
        <f>$B$1*$B$2+$B$3*724</f>
        <v>2428</v>
      </c>
      <c r="J37" s="34">
        <f>$B$1*$B$2+$B$3*723</f>
        <v>2427</v>
      </c>
      <c r="K37" s="34">
        <f>$B$1*$B$2+$B$3*722</f>
        <v>2426</v>
      </c>
      <c r="L37" s="34">
        <f>$B$1*$B$2+$B$3*721</f>
        <v>2425</v>
      </c>
      <c r="M37" s="34">
        <f>$B$1*$B$2+$B$3*720</f>
        <v>2424</v>
      </c>
      <c r="N37" s="34">
        <f>$B$1*$B$2+$B$3*719</f>
        <v>2423</v>
      </c>
      <c r="O37" s="34">
        <f>$B$1*$B$2+$B$3*718</f>
        <v>2422</v>
      </c>
      <c r="P37" s="34">
        <f>$B$1*$B$2+$B$3*717</f>
        <v>2421</v>
      </c>
      <c r="Q37" s="34">
        <f>$B$1*$B$2+$B$3*716</f>
        <v>2420</v>
      </c>
      <c r="R37" s="31">
        <f>$B$1*$B$2+$B$3*715</f>
        <v>2419</v>
      </c>
      <c r="S37" s="34">
        <f>$B$1*$B$2+$B$3*714</f>
        <v>2418</v>
      </c>
      <c r="T37" s="34">
        <f>$B$1*$B$2+$B$3*713</f>
        <v>2417</v>
      </c>
      <c r="U37" s="34">
        <f>$B$1*$B$2+$B$3*712</f>
        <v>2416</v>
      </c>
      <c r="V37" s="34">
        <f>$B$1*$B$2+$B$3*711</f>
        <v>2415</v>
      </c>
      <c r="W37" s="34">
        <f>$B$1*$B$2+$B$3*710</f>
        <v>2414</v>
      </c>
      <c r="X37" s="34">
        <f>$B$1*$B$2+$B$3*709</f>
        <v>2413</v>
      </c>
      <c r="Y37" s="34">
        <f>$B$1*$B$2+$B$3*708</f>
        <v>2412</v>
      </c>
      <c r="Z37" s="34">
        <f>$B$1*$B$2+$B$3*707</f>
        <v>2411</v>
      </c>
      <c r="AA37" s="34">
        <f>$B$1*$B$2+$B$3*706</f>
        <v>2410</v>
      </c>
      <c r="AB37" s="34">
        <f>$B$1*$B$2+$B$3*705</f>
        <v>2409</v>
      </c>
      <c r="AC37" s="34">
        <f>$B$1*$B$2+$B$3*704</f>
        <v>2408</v>
      </c>
      <c r="AD37" s="34">
        <f>$B$1*$B$2+$B$3*703</f>
        <v>2407</v>
      </c>
      <c r="AE37" s="32">
        <f>$B$1*$B$2+$B$3*702</f>
        <v>2406</v>
      </c>
      <c r="AF37" s="21">
        <f>$B$1*$B$2+$B$3*811</f>
        <v>2515</v>
      </c>
      <c r="AG37" s="21">
        <f>$B$1*$B$2+$B$3*928</f>
        <v>2632</v>
      </c>
      <c r="AH37" s="20">
        <f>$B$1*$B$2+$B$3*1053</f>
        <v>2757</v>
      </c>
      <c r="AI37" s="4"/>
      <c r="AJ37" s="4"/>
      <c r="AK37" s="4"/>
      <c r="AL37" s="4"/>
    </row>
    <row r="38" spans="1:38" ht="44.1" customHeight="1">
      <c r="A38" s="4"/>
      <c r="B38" s="20">
        <f>$B$1*$B$2+$B$3*962</f>
        <v>2666</v>
      </c>
      <c r="C38" s="29">
        <f>$B$1*$B$2+$B$3*841</f>
        <v>2545</v>
      </c>
      <c r="D38" s="33">
        <f>$B$1*$B$2+$B$3*840</f>
        <v>2544</v>
      </c>
      <c r="E38" s="34">
        <f>$B$1*$B$2+$B$3*839</f>
        <v>2543</v>
      </c>
      <c r="F38" s="34">
        <f>$B$1*$B$2+$B$3*838</f>
        <v>2542</v>
      </c>
      <c r="G38" s="34">
        <f>$B$1*$B$2+$B$3*837</f>
        <v>2541</v>
      </c>
      <c r="H38" s="34">
        <f>$B$1*$B$2+$B$3*836</f>
        <v>2540</v>
      </c>
      <c r="I38" s="34">
        <f>$B$1*$B$2+$B$3*835</f>
        <v>2539</v>
      </c>
      <c r="J38" s="34">
        <f>$B$1*$B$2+$B$3*834</f>
        <v>2538</v>
      </c>
      <c r="K38" s="34">
        <f>$B$1*$B$2+$B$3*833</f>
        <v>2537</v>
      </c>
      <c r="L38" s="34">
        <f>$B$1*$B$2+$B$3*832</f>
        <v>2536</v>
      </c>
      <c r="M38" s="34">
        <f>$B$1*$B$2+$B$3*831</f>
        <v>2535</v>
      </c>
      <c r="N38" s="34">
        <f>$B$1*$B$2+$B$3*830</f>
        <v>2534</v>
      </c>
      <c r="O38" s="34">
        <f>$B$1*$B$2+$B$3*829</f>
        <v>2533</v>
      </c>
      <c r="P38" s="34">
        <f>$B$1*$B$2+$B$3*828</f>
        <v>2532</v>
      </c>
      <c r="Q38" s="34">
        <f>$B$1*$B$2+$B$3*827</f>
        <v>2531</v>
      </c>
      <c r="R38" s="31">
        <f>$B$1*$B$2+$B$3*826</f>
        <v>2530</v>
      </c>
      <c r="S38" s="34">
        <f>$B$1*$B$2+$B$3*825</f>
        <v>2529</v>
      </c>
      <c r="T38" s="34">
        <f>$B$1*$B$2+$B$3*824</f>
        <v>2528</v>
      </c>
      <c r="U38" s="34">
        <f>$B$1*$B$2+$B$3*823</f>
        <v>2527</v>
      </c>
      <c r="V38" s="34">
        <f>$B$1*$B$2+$B$3*822</f>
        <v>2526</v>
      </c>
      <c r="W38" s="34">
        <f>$B$1*$B$2+$B$3*821</f>
        <v>2525</v>
      </c>
      <c r="X38" s="34">
        <f>$B$1*$B$2+$B$3*820</f>
        <v>2524</v>
      </c>
      <c r="Y38" s="34">
        <f>$B$1*$B$2+$B$3*819</f>
        <v>2523</v>
      </c>
      <c r="Z38" s="34">
        <f>$B$1*$B$2+$B$3*818</f>
        <v>2522</v>
      </c>
      <c r="AA38" s="34">
        <f>$B$1*$B$2+$B$3*817</f>
        <v>2521</v>
      </c>
      <c r="AB38" s="34">
        <f>$B$1*$B$2+$B$3*816</f>
        <v>2520</v>
      </c>
      <c r="AC38" s="34">
        <f>$B$1*$B$2+$B$3*815</f>
        <v>2519</v>
      </c>
      <c r="AD38" s="34">
        <f>$B$1*$B$2+$B$3*814</f>
        <v>2518</v>
      </c>
      <c r="AE38" s="34">
        <f>$B$1*$B$2+$B$3*813</f>
        <v>2517</v>
      </c>
      <c r="AF38" s="32">
        <f>$B$1*$B$2+$B$3*812</f>
        <v>2516</v>
      </c>
      <c r="AG38" s="21">
        <f>$B$1*$B$2+$B$3*929</f>
        <v>2633</v>
      </c>
      <c r="AH38" s="20">
        <f>$B$1*$B$2+$B$3*1054</f>
        <v>2758</v>
      </c>
      <c r="AI38" s="4"/>
      <c r="AJ38" s="4"/>
      <c r="AK38" s="4"/>
      <c r="AL38" s="4"/>
    </row>
    <row r="39" spans="1:38" ht="44.1" customHeight="1">
      <c r="A39" s="4"/>
      <c r="B39" s="29">
        <f>$B$1*$B$2+$B$3*961</f>
        <v>2665</v>
      </c>
      <c r="C39" s="33">
        <f>$B$1*$B$2+$B$3*960</f>
        <v>2664</v>
      </c>
      <c r="D39" s="34">
        <f>$B$1*$B$2+$B$3*959</f>
        <v>2663</v>
      </c>
      <c r="E39" s="34">
        <f>$B$1*$B$2+$B$3*958</f>
        <v>2662</v>
      </c>
      <c r="F39" s="34">
        <f>$B$1*$B$2+$B$3*957</f>
        <v>2661</v>
      </c>
      <c r="G39" s="34">
        <f>$B$1*$B$2+$B$3*956</f>
        <v>2660</v>
      </c>
      <c r="H39" s="34">
        <f>$B$1*$B$2+$B$3*955</f>
        <v>2659</v>
      </c>
      <c r="I39" s="34">
        <f>$B$1*$B$2+$B$3*954</f>
        <v>2658</v>
      </c>
      <c r="J39" s="34">
        <f>$B$1*$B$2+$B$3*953</f>
        <v>2657</v>
      </c>
      <c r="K39" s="34">
        <f>$B$1*$B$2+$B$3*952</f>
        <v>2656</v>
      </c>
      <c r="L39" s="34">
        <f>$B$1*$B$2+$B$3*951</f>
        <v>2655</v>
      </c>
      <c r="M39" s="34">
        <f>$B$1*$B$2+$B$3*950</f>
        <v>2654</v>
      </c>
      <c r="N39" s="34">
        <f>$B$1*$B$2+$B$3*949</f>
        <v>2653</v>
      </c>
      <c r="O39" s="34">
        <f>$B$1*$B$2+$B$3*948</f>
        <v>2652</v>
      </c>
      <c r="P39" s="34">
        <f>$B$1*$B$2+$B$3*947</f>
        <v>2651</v>
      </c>
      <c r="Q39" s="34">
        <f>$B$1*$B$2+$B$3*946</f>
        <v>2650</v>
      </c>
      <c r="R39" s="31">
        <f>$B$1*$B$2+$B$3*945</f>
        <v>2649</v>
      </c>
      <c r="S39" s="34">
        <f>$B$1*$B$2+$B$3*944</f>
        <v>2648</v>
      </c>
      <c r="T39" s="34">
        <f>$B$1*$B$2+$B$3*943</f>
        <v>2647</v>
      </c>
      <c r="U39" s="34">
        <f>$B$1*$B$2+$B$3*942</f>
        <v>2646</v>
      </c>
      <c r="V39" s="34">
        <f>$B$1*$B$2+$B$3*941</f>
        <v>2645</v>
      </c>
      <c r="W39" s="34">
        <f>$B$1*$B$2+$B$3*940</f>
        <v>2644</v>
      </c>
      <c r="X39" s="34">
        <f>$B$1*$B$2+$B$3*939</f>
        <v>2643</v>
      </c>
      <c r="Y39" s="34">
        <f>$B$1*$B$2+$B$3*938</f>
        <v>2642</v>
      </c>
      <c r="Z39" s="34">
        <f>$B$1*$B$2+$B$3*937</f>
        <v>2641</v>
      </c>
      <c r="AA39" s="34">
        <f>$B$1*$B$2+$B$3*936</f>
        <v>2640</v>
      </c>
      <c r="AB39" s="34">
        <f>$B$1*$B$2+$B$3*935</f>
        <v>2639</v>
      </c>
      <c r="AC39" s="34">
        <f>$B$1*$B$2+$B$3*934</f>
        <v>2638</v>
      </c>
      <c r="AD39" s="34">
        <f>$B$1*$B$2+$B$3*933</f>
        <v>2637</v>
      </c>
      <c r="AE39" s="34">
        <f>$B$1*$B$2+$B$3*932</f>
        <v>2636</v>
      </c>
      <c r="AF39" s="34">
        <f>$B$1*$B$2+$B$3*931</f>
        <v>2635</v>
      </c>
      <c r="AG39" s="32">
        <f>$B$1*$B$2+$B$3*930</f>
        <v>2634</v>
      </c>
      <c r="AH39" s="20">
        <f>$B$1*$B$2+$B$3*1055</f>
        <v>2759</v>
      </c>
      <c r="AI39" s="4"/>
      <c r="AJ39" s="4"/>
      <c r="AK39" s="4"/>
      <c r="AL39" s="4"/>
    </row>
    <row r="40" spans="1:38" ht="44.1" customHeight="1">
      <c r="A40" s="35"/>
      <c r="B40" s="36">
        <f>$B$1*$B$2+$B$3*1088</f>
        <v>2792</v>
      </c>
      <c r="C40" s="15">
        <f>$B$1*$B$2+$B$3*1087</f>
        <v>2791</v>
      </c>
      <c r="D40" s="15">
        <f>$B$1*$B$2+$B$3*1086</f>
        <v>2790</v>
      </c>
      <c r="E40" s="15">
        <f>$B$1*$B$2+$B$3*1085</f>
        <v>2789</v>
      </c>
      <c r="F40" s="15">
        <f>$B$1*$B$2+$B$3*1084</f>
        <v>2788</v>
      </c>
      <c r="G40" s="15">
        <f>$B$1*$B$2+$B$3*1083</f>
        <v>2787</v>
      </c>
      <c r="H40" s="15">
        <f>$B$1*$B$2+$B$3*1082</f>
        <v>2786</v>
      </c>
      <c r="I40" s="15">
        <f>$B$1*$B$2+$B$3*1081</f>
        <v>2785</v>
      </c>
      <c r="J40" s="15">
        <f>$B$1*$B$2+$B$3*1080</f>
        <v>2784</v>
      </c>
      <c r="K40" s="15">
        <f>$B$1*$B$2+$B$3*1079</f>
        <v>2783</v>
      </c>
      <c r="L40" s="15">
        <f>$B$1*$B$2+$B$3*1078</f>
        <v>2782</v>
      </c>
      <c r="M40" s="15">
        <f>$B$1*$B$2+$B$3*1077</f>
        <v>2781</v>
      </c>
      <c r="N40" s="15">
        <f>$B$1*$B$2+$B$3*1076</f>
        <v>2780</v>
      </c>
      <c r="O40" s="15">
        <f>$B$1*$B$2+$B$3*1075</f>
        <v>2779</v>
      </c>
      <c r="P40" s="15">
        <f>$B$1*$B$2+$B$3*1074</f>
        <v>2778</v>
      </c>
      <c r="Q40" s="15">
        <f>$B$1*$B$2+$B$3*1073</f>
        <v>2777</v>
      </c>
      <c r="R40" s="16">
        <f>$B$1*$B$2+$B$3*1072</f>
        <v>2776</v>
      </c>
      <c r="S40" s="15">
        <f>$B$1*$B$2+$B$3*1071</f>
        <v>2775</v>
      </c>
      <c r="T40" s="15">
        <f>$B$1*$B$2+$B$3*1070</f>
        <v>2774</v>
      </c>
      <c r="U40" s="15">
        <f>$B$1*$B$2+$B$3*1069</f>
        <v>2773</v>
      </c>
      <c r="V40" s="15">
        <f>$B$1*$B$2+$B$3*1068</f>
        <v>2772</v>
      </c>
      <c r="W40" s="15">
        <f>$B$1*$B$2+$B$3*1067</f>
        <v>2771</v>
      </c>
      <c r="X40" s="15">
        <f>$B$1*$B$2+$B$3*1066</f>
        <v>2770</v>
      </c>
      <c r="Y40" s="15">
        <f>$B$1*$B$2+$B$3*1065</f>
        <v>2769</v>
      </c>
      <c r="Z40" s="15">
        <f>$B$1*$B$2+$B$3*1064</f>
        <v>2768</v>
      </c>
      <c r="AA40" s="15">
        <f>$B$1*$B$2+$B$3*1063</f>
        <v>2767</v>
      </c>
      <c r="AB40" s="15">
        <f>$B$1*$B$2+$B$3*1062</f>
        <v>2766</v>
      </c>
      <c r="AC40" s="15">
        <f>$B$1*$B$2+$B$3*1061</f>
        <v>2765</v>
      </c>
      <c r="AD40" s="15">
        <f>$B$1*$B$2+$B$3*1060</f>
        <v>2764</v>
      </c>
      <c r="AE40" s="15">
        <f>$B$1*$B$2+$B$3*1059</f>
        <v>2763</v>
      </c>
      <c r="AF40" s="15">
        <f>$B$1*$B$2+$B$3*1058</f>
        <v>2762</v>
      </c>
      <c r="AG40" s="15">
        <f>$B$1*$B$2+$B$3*1057</f>
        <v>2761</v>
      </c>
      <c r="AH40" s="32">
        <f>$B$1*$B$2+$B$3*1056</f>
        <v>2760</v>
      </c>
      <c r="AI40" s="4"/>
      <c r="AJ40" s="4"/>
      <c r="AK40" s="4"/>
      <c r="AL40" s="4"/>
    </row>
    <row r="41" spans="1:38" ht="24" customHeight="1">
      <c r="A41" s="78" t="s">
        <v>28</v>
      </c>
      <c r="B41" s="79"/>
      <c r="C41" s="79"/>
      <c r="D41" s="4"/>
      <c r="E41" s="4"/>
      <c r="F41" s="4"/>
      <c r="G41" s="4"/>
      <c r="H41" s="4"/>
      <c r="I41" s="80" t="s">
        <v>29</v>
      </c>
      <c r="J41" s="79"/>
      <c r="K41" s="79"/>
      <c r="L41" s="4"/>
      <c r="M41" s="4"/>
      <c r="N41" s="4"/>
      <c r="O41" s="4"/>
      <c r="P41" s="4"/>
      <c r="Q41" s="81" t="s">
        <v>30</v>
      </c>
      <c r="R41" s="79"/>
      <c r="S41" s="79"/>
      <c r="T41" s="4"/>
      <c r="U41" s="4"/>
      <c r="V41" s="4"/>
      <c r="W41" s="4"/>
      <c r="X41" s="4"/>
      <c r="Y41" s="81" t="s">
        <v>31</v>
      </c>
      <c r="Z41" s="79"/>
      <c r="AA41" s="79"/>
      <c r="AB41" s="4"/>
      <c r="AC41" s="4"/>
      <c r="AD41" s="4"/>
      <c r="AE41" s="4"/>
      <c r="AF41" s="4"/>
      <c r="AG41" s="63" t="s">
        <v>32</v>
      </c>
      <c r="AH41" s="64"/>
      <c r="AI41" s="64"/>
      <c r="AJ41" s="37"/>
      <c r="AK41" s="4"/>
      <c r="AL41" s="4"/>
    </row>
    <row r="42" spans="1:38" ht="24" customHeight="1">
      <c r="A42" s="70" t="s">
        <v>14</v>
      </c>
      <c r="B42" s="69"/>
      <c r="C42" s="69"/>
      <c r="D42" s="4"/>
      <c r="E42" s="4"/>
      <c r="F42" s="4"/>
      <c r="G42" s="4"/>
      <c r="H42" s="4"/>
      <c r="I42" s="70" t="s">
        <v>13</v>
      </c>
      <c r="J42" s="69"/>
      <c r="K42" s="69"/>
      <c r="L42" s="4"/>
      <c r="M42" s="4"/>
      <c r="N42" s="4"/>
      <c r="O42" s="4"/>
      <c r="P42" s="4"/>
      <c r="Q42" s="68">
        <v>0</v>
      </c>
      <c r="R42" s="69"/>
      <c r="S42" s="69"/>
      <c r="T42" s="4"/>
      <c r="U42" s="4"/>
      <c r="V42" s="4"/>
      <c r="W42" s="4"/>
      <c r="X42" s="4"/>
      <c r="Y42" s="68">
        <v>0.9375</v>
      </c>
      <c r="Z42" s="69"/>
      <c r="AA42" s="69"/>
      <c r="AB42" s="4"/>
      <c r="AC42" s="4"/>
      <c r="AD42" s="4"/>
      <c r="AE42" s="4"/>
      <c r="AF42" s="4"/>
      <c r="AG42" s="71" t="s">
        <v>33</v>
      </c>
      <c r="AH42" s="64"/>
      <c r="AI42" s="64"/>
      <c r="AJ42" s="38"/>
      <c r="AK42" s="4"/>
      <c r="AL42" s="4"/>
    </row>
    <row r="43" spans="1:38" ht="24" customHeight="1">
      <c r="A43" s="67" t="s">
        <v>34</v>
      </c>
      <c r="B43" s="64"/>
      <c r="C43" s="64"/>
      <c r="D43" s="4"/>
      <c r="E43" s="4"/>
      <c r="F43" s="4"/>
      <c r="G43" s="4"/>
      <c r="H43" s="4"/>
      <c r="I43" s="67" t="s">
        <v>35</v>
      </c>
      <c r="J43" s="64"/>
      <c r="K43" s="64"/>
      <c r="L43" s="4"/>
      <c r="M43" s="4"/>
      <c r="N43" s="4"/>
      <c r="O43" s="4"/>
      <c r="P43" s="4"/>
      <c r="Q43" s="67" t="s">
        <v>36</v>
      </c>
      <c r="R43" s="64"/>
      <c r="S43" s="64"/>
      <c r="T43" s="4"/>
      <c r="U43" s="4"/>
      <c r="V43" s="4"/>
      <c r="W43" s="4"/>
      <c r="X43" s="4"/>
      <c r="Y43" s="67" t="s">
        <v>37</v>
      </c>
      <c r="Z43" s="64"/>
      <c r="AA43" s="64"/>
      <c r="AB43" s="4"/>
      <c r="AC43" s="4"/>
      <c r="AD43" s="4"/>
      <c r="AE43" s="4"/>
      <c r="AF43" s="4"/>
      <c r="AG43" s="67" t="s">
        <v>38</v>
      </c>
      <c r="AH43" s="64"/>
      <c r="AI43" s="64"/>
      <c r="AJ43" s="10"/>
      <c r="AK43" s="4"/>
      <c r="AL43" s="4"/>
    </row>
    <row r="44" spans="1:38" ht="24" customHeight="1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67" t="s">
        <v>39</v>
      </c>
      <c r="R44" s="67"/>
      <c r="S44" s="67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  <c r="AE44" s="4"/>
      <c r="AF44" s="4"/>
      <c r="AG44" s="4"/>
      <c r="AH44" s="4"/>
      <c r="AI44" s="4"/>
      <c r="AJ44" s="4"/>
      <c r="AK44" s="4"/>
      <c r="AL44" s="4"/>
    </row>
    <row r="45" spans="1:38" ht="24" customHeight="1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  <c r="AD45" s="4"/>
      <c r="AE45" s="4"/>
      <c r="AF45" s="4"/>
      <c r="AG45" s="4"/>
      <c r="AH45" s="4"/>
      <c r="AI45" s="4"/>
      <c r="AJ45" s="4"/>
      <c r="AK45" s="4"/>
      <c r="AL45" s="4"/>
    </row>
    <row r="46" spans="1:38" ht="24" customHeight="1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  <c r="AF46" s="4"/>
      <c r="AG46" s="4"/>
      <c r="AH46" s="4"/>
      <c r="AI46" s="4"/>
      <c r="AJ46" s="4"/>
      <c r="AK46" s="4"/>
      <c r="AL46" s="4"/>
    </row>
    <row r="47" spans="1:38" ht="24" customHeight="1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  <c r="AB47" s="4"/>
      <c r="AC47" s="4"/>
      <c r="AD47" s="4"/>
      <c r="AE47" s="4"/>
      <c r="AF47" s="4"/>
      <c r="AG47" s="4"/>
      <c r="AH47" s="4"/>
      <c r="AI47" s="4"/>
      <c r="AJ47" s="4"/>
      <c r="AK47" s="4"/>
      <c r="AL47" s="4"/>
    </row>
    <row r="48" spans="1:38" ht="24" customHeight="1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  <c r="AC48" s="4"/>
      <c r="AD48" s="4"/>
      <c r="AE48" s="4"/>
      <c r="AF48" s="4"/>
      <c r="AG48" s="4"/>
      <c r="AH48" s="4"/>
    </row>
    <row r="49" spans="1:34" ht="24" customHeight="1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  <c r="AA49" s="4"/>
      <c r="AB49" s="4"/>
      <c r="AC49" s="4"/>
      <c r="AD49" s="4"/>
      <c r="AE49" s="4"/>
      <c r="AF49" s="4"/>
      <c r="AG49" s="4"/>
      <c r="AH49" s="4"/>
    </row>
  </sheetData>
  <mergeCells count="36">
    <mergeCell ref="AG43:AI43"/>
    <mergeCell ref="Q44:S44"/>
    <mergeCell ref="A41:C41"/>
    <mergeCell ref="I41:K41"/>
    <mergeCell ref="Q41:S41"/>
    <mergeCell ref="Y41:AA41"/>
    <mergeCell ref="A43:C43"/>
    <mergeCell ref="I43:K43"/>
    <mergeCell ref="Q43:S43"/>
    <mergeCell ref="Y43:AA43"/>
    <mergeCell ref="AG41:AI41"/>
    <mergeCell ref="A42:C42"/>
    <mergeCell ref="I42:K42"/>
    <mergeCell ref="Q42:S42"/>
    <mergeCell ref="Y42:AA42"/>
    <mergeCell ref="AG42:AI42"/>
    <mergeCell ref="A16:A17"/>
    <mergeCell ref="AI16:AI17"/>
    <mergeCell ref="A24:A25"/>
    <mergeCell ref="AI24:AI25"/>
    <mergeCell ref="A32:A33"/>
    <mergeCell ref="AI32:AI33"/>
    <mergeCell ref="I6:K6"/>
    <mergeCell ref="Q6:S6"/>
    <mergeCell ref="Y6:AA6"/>
    <mergeCell ref="AG6:AI6"/>
    <mergeCell ref="I7:K7"/>
    <mergeCell ref="Q7:S7"/>
    <mergeCell ref="Y7:AA7"/>
    <mergeCell ref="AG7:AI7"/>
    <mergeCell ref="AG5:AI5"/>
    <mergeCell ref="P1:T1"/>
    <mergeCell ref="Q4:S4"/>
    <mergeCell ref="I5:K5"/>
    <mergeCell ref="Q5:S5"/>
    <mergeCell ref="Y5:AA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Square of 12</vt:lpstr>
      <vt:lpstr>Master Circle Chart</vt:lpstr>
      <vt:lpstr>Gann Wheel Date</vt:lpstr>
      <vt:lpstr>Gann Wheel</vt:lpstr>
    </vt:vector>
  </TitlesOfParts>
  <Company>DWPS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Fawzi Alhamed</dc:creator>
  <cp:lastModifiedBy>Ron Goodman</cp:lastModifiedBy>
  <dcterms:created xsi:type="dcterms:W3CDTF">2010-10-03T06:45:11Z</dcterms:created>
  <dcterms:modified xsi:type="dcterms:W3CDTF">2021-04-29T18:55:19Z</dcterms:modified>
</cp:coreProperties>
</file>