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5125" windowHeight="14310"/>
  </bookViews>
  <sheets>
    <sheet name="Sheet1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M179" i="1"/>
  <c r="CM177"/>
  <c r="CK177"/>
  <c r="CM176"/>
  <c r="CK176"/>
  <c r="CM175"/>
  <c r="CK175"/>
  <c r="CM173"/>
  <c r="CK173"/>
  <c r="CK172"/>
  <c r="CM171"/>
  <c r="CK171"/>
  <c r="CM170"/>
  <c r="CK170"/>
  <c r="CM169"/>
  <c r="CM168"/>
  <c r="CM167"/>
  <c r="CR166"/>
  <c r="CR165"/>
  <c r="CN163"/>
  <c r="CM163"/>
  <c r="CN162"/>
  <c r="CM162"/>
  <c r="CP162" s="1"/>
  <c r="CQ162" s="1"/>
  <c r="CR168" s="1"/>
  <c r="CN161"/>
  <c r="CM161"/>
  <c r="CP161" s="1"/>
  <c r="CQ161" s="1"/>
  <c r="CR167" s="1"/>
  <c r="CN159"/>
  <c r="CM159"/>
  <c r="CP159" s="1"/>
  <c r="CQ159" s="1"/>
  <c r="CU157" s="1"/>
  <c r="CP158"/>
  <c r="CQ158" s="1"/>
  <c r="CU156" s="1"/>
  <c r="CN158"/>
  <c r="CM158"/>
  <c r="CT157"/>
  <c r="CN157"/>
  <c r="CM157"/>
  <c r="CP157" s="1"/>
  <c r="CQ157" s="1"/>
  <c r="CU155" s="1"/>
  <c r="CT156"/>
  <c r="CP156"/>
  <c r="CQ156" s="1"/>
  <c r="CU154" s="1"/>
  <c r="CN156"/>
  <c r="CM156"/>
  <c r="CT155"/>
  <c r="CN155"/>
  <c r="CM155"/>
  <c r="CP155" s="1"/>
  <c r="CQ155" s="1"/>
  <c r="CU153" s="1"/>
  <c r="CT154"/>
  <c r="CN154"/>
  <c r="CM154"/>
  <c r="CP154" s="1"/>
  <c r="CQ154" s="1"/>
  <c r="CU152" s="1"/>
  <c r="CT153"/>
  <c r="CN153"/>
  <c r="CM153"/>
  <c r="CP153" s="1"/>
  <c r="CQ153" s="1"/>
  <c r="CU151" s="1"/>
  <c r="CT152"/>
  <c r="CT151"/>
  <c r="CL143"/>
  <c r="CK143"/>
  <c r="CJ143"/>
  <c r="CI143"/>
  <c r="CL142"/>
  <c r="CK142"/>
  <c r="CJ142"/>
  <c r="CI142"/>
  <c r="CL141"/>
  <c r="CK141"/>
  <c r="CJ141"/>
  <c r="CI141"/>
  <c r="CL140"/>
  <c r="CK140"/>
  <c r="CJ140"/>
  <c r="CI140"/>
  <c r="CL139"/>
  <c r="CK139"/>
  <c r="CJ139"/>
  <c r="CI139"/>
  <c r="CL138"/>
  <c r="CK138"/>
  <c r="CJ138"/>
  <c r="CI138"/>
  <c r="CU137"/>
  <c r="CR137"/>
  <c r="CL137"/>
  <c r="CK137"/>
  <c r="CJ137"/>
  <c r="CI137"/>
  <c r="CU136"/>
  <c r="CR136"/>
  <c r="CL136"/>
  <c r="CK136"/>
  <c r="CJ136"/>
  <c r="CI136"/>
  <c r="CU135"/>
  <c r="CR135"/>
  <c r="CU134"/>
  <c r="CR134"/>
  <c r="CR133"/>
  <c r="CL133"/>
  <c r="CK133"/>
  <c r="CJ133"/>
  <c r="CI133"/>
  <c r="CR132"/>
  <c r="CL132"/>
  <c r="CK132"/>
  <c r="CJ132"/>
  <c r="CI132"/>
  <c r="CR131"/>
  <c r="CL131"/>
  <c r="CK131"/>
  <c r="CJ131"/>
  <c r="CI131"/>
  <c r="CR130"/>
  <c r="CL130"/>
  <c r="CK130"/>
  <c r="CJ130"/>
  <c r="CI130"/>
  <c r="CR129"/>
  <c r="CL129"/>
  <c r="CK129"/>
  <c r="CJ129"/>
  <c r="CI129"/>
  <c r="CR128"/>
  <c r="CL128"/>
  <c r="CK128"/>
  <c r="CJ128"/>
  <c r="CI128"/>
  <c r="CR127"/>
  <c r="CL127"/>
  <c r="CK127"/>
  <c r="CJ127"/>
  <c r="CI127"/>
  <c r="CR126"/>
  <c r="CR125"/>
  <c r="CR124"/>
  <c r="CL124"/>
  <c r="CK124"/>
  <c r="CJ124"/>
  <c r="CI124"/>
  <c r="CR123"/>
  <c r="CL123"/>
  <c r="CK123"/>
  <c r="CJ123"/>
  <c r="CI123"/>
  <c r="CR122"/>
  <c r="CL122"/>
  <c r="CK122"/>
  <c r="CJ122"/>
  <c r="CI122"/>
  <c r="CR121"/>
  <c r="CL121"/>
  <c r="CK121"/>
  <c r="CJ121"/>
  <c r="CI121"/>
  <c r="CR120"/>
  <c r="CL120"/>
  <c r="CK120"/>
  <c r="CJ120"/>
  <c r="CI120"/>
  <c r="CR119"/>
  <c r="CL119"/>
  <c r="CK119"/>
  <c r="CJ119"/>
  <c r="CI119"/>
  <c r="CR118"/>
  <c r="CL118"/>
  <c r="CK118"/>
  <c r="CJ118"/>
  <c r="CI118"/>
  <c r="CR117"/>
  <c r="CL117"/>
  <c r="CK117"/>
  <c r="CJ117"/>
  <c r="CI117"/>
  <c r="CR116"/>
  <c r="CL116"/>
  <c r="CK116"/>
  <c r="CJ116"/>
  <c r="CI116"/>
  <c r="CR115"/>
  <c r="CL115"/>
  <c r="CK115"/>
  <c r="CJ115"/>
  <c r="CI115"/>
  <c r="CR114"/>
  <c r="CL114"/>
  <c r="CK114"/>
  <c r="CJ114"/>
  <c r="CI114"/>
  <c r="CR113"/>
  <c r="CN113"/>
  <c r="CH100" s="1"/>
  <c r="CR112"/>
  <c r="CR111"/>
  <c r="CL111"/>
  <c r="CK111"/>
  <c r="CJ111"/>
  <c r="CI111"/>
  <c r="CR110"/>
  <c r="CL110"/>
  <c r="CK110"/>
  <c r="CJ110"/>
  <c r="CI110"/>
  <c r="CR109"/>
  <c r="CL109"/>
  <c r="CK109"/>
  <c r="CJ109"/>
  <c r="CI109"/>
  <c r="CR108"/>
  <c r="CL108"/>
  <c r="CK108"/>
  <c r="CJ108"/>
  <c r="CI108"/>
  <c r="CR107"/>
  <c r="CL107"/>
  <c r="CK107"/>
  <c r="CJ107"/>
  <c r="CI107"/>
  <c r="CR106"/>
  <c r="CL106"/>
  <c r="CK106"/>
  <c r="CJ106"/>
  <c r="CI106"/>
  <c r="CR105"/>
  <c r="CL105"/>
  <c r="CK105"/>
  <c r="CJ105"/>
  <c r="CI105"/>
  <c r="CR104"/>
  <c r="CL104"/>
  <c r="CK104"/>
  <c r="CJ104"/>
  <c r="CI104"/>
  <c r="CR103"/>
  <c r="CL103"/>
  <c r="CK103"/>
  <c r="CJ103"/>
  <c r="CI103"/>
  <c r="CL99"/>
  <c r="CK99"/>
  <c r="CJ99"/>
  <c r="CI99"/>
  <c r="CN98"/>
  <c r="CM98"/>
  <c r="CP98" s="1"/>
  <c r="CQ98" s="1"/>
  <c r="CL97"/>
  <c r="CK97"/>
  <c r="CJ97"/>
  <c r="CI97"/>
  <c r="CL96"/>
  <c r="CK96"/>
  <c r="CJ96"/>
  <c r="CI96"/>
  <c r="CL95"/>
  <c r="CK95"/>
  <c r="CJ95"/>
  <c r="CI95"/>
  <c r="CL94"/>
  <c r="CK94"/>
  <c r="CJ94"/>
  <c r="CI94"/>
  <c r="CL93"/>
  <c r="CK93"/>
  <c r="CJ93"/>
  <c r="CI93"/>
  <c r="CL91"/>
  <c r="CK91"/>
  <c r="CJ91"/>
  <c r="CI91"/>
  <c r="CL90"/>
  <c r="CK90"/>
  <c r="CJ90"/>
  <c r="CI90"/>
  <c r="CL89"/>
  <c r="CK89"/>
  <c r="CJ89"/>
  <c r="CI89"/>
  <c r="CL88"/>
  <c r="CK88"/>
  <c r="CJ88"/>
  <c r="CI88"/>
  <c r="CL87"/>
  <c r="CK87"/>
  <c r="CJ87"/>
  <c r="CI87"/>
  <c r="CL86"/>
  <c r="CK86"/>
  <c r="CJ86"/>
  <c r="CI86"/>
  <c r="CL85"/>
  <c r="CK85"/>
  <c r="CJ85"/>
  <c r="CI85"/>
  <c r="CL84"/>
  <c r="CK84"/>
  <c r="CJ84"/>
  <c r="CI84"/>
  <c r="CL83"/>
  <c r="CK83"/>
  <c r="CJ83"/>
  <c r="CI83"/>
  <c r="CL81"/>
  <c r="CK81"/>
  <c r="CJ81"/>
  <c r="CI81"/>
  <c r="CL80"/>
  <c r="CK80"/>
  <c r="CJ80"/>
  <c r="CI80"/>
  <c r="CL79"/>
  <c r="CK79"/>
  <c r="CJ79"/>
  <c r="CI79"/>
  <c r="CL78"/>
  <c r="CK78"/>
  <c r="CJ78"/>
  <c r="CI78"/>
  <c r="CL77"/>
  <c r="CK77"/>
  <c r="CJ77"/>
  <c r="CI77"/>
  <c r="CL75"/>
  <c r="CK75"/>
  <c r="CJ75"/>
  <c r="CI75"/>
  <c r="CL74"/>
  <c r="CK74"/>
  <c r="CJ74"/>
  <c r="CI74"/>
  <c r="CL73"/>
  <c r="CK73"/>
  <c r="CJ73"/>
  <c r="CI73"/>
  <c r="CL72"/>
  <c r="CK72"/>
  <c r="CJ72"/>
  <c r="CI72"/>
  <c r="CW68"/>
  <c r="CL68"/>
  <c r="CK68"/>
  <c r="CJ68"/>
  <c r="CI68"/>
  <c r="CX67"/>
  <c r="CW67"/>
  <c r="CL67"/>
  <c r="CK67"/>
  <c r="CJ67"/>
  <c r="CI67"/>
  <c r="CX66"/>
  <c r="CW66"/>
  <c r="CL66"/>
  <c r="CK66"/>
  <c r="CJ66"/>
  <c r="CI66"/>
  <c r="CX65"/>
  <c r="CW65"/>
  <c r="CL65"/>
  <c r="CK65"/>
  <c r="CJ65"/>
  <c r="CI65"/>
  <c r="CX64"/>
  <c r="CW64"/>
  <c r="CL64"/>
  <c r="CK64"/>
  <c r="CJ64"/>
  <c r="CI64"/>
  <c r="CX63"/>
  <c r="CW63"/>
  <c r="CL63"/>
  <c r="CK63"/>
  <c r="CJ63"/>
  <c r="CI63"/>
  <c r="CX62"/>
  <c r="CW62"/>
  <c r="CL62"/>
  <c r="CK62"/>
  <c r="CJ62"/>
  <c r="CI62"/>
  <c r="CX61"/>
  <c r="CW61"/>
  <c r="CL61"/>
  <c r="CK61"/>
  <c r="CJ61"/>
  <c r="CI61"/>
  <c r="CX60"/>
  <c r="CW60"/>
  <c r="CL60"/>
  <c r="CK60"/>
  <c r="CJ60"/>
  <c r="CI60"/>
  <c r="CX59"/>
  <c r="CW59"/>
  <c r="CL56"/>
  <c r="CK56"/>
  <c r="CJ56"/>
  <c r="CI56"/>
  <c r="CF56"/>
  <c r="DB55"/>
  <c r="DA55"/>
  <c r="CZ55"/>
  <c r="CL55"/>
  <c r="CK55"/>
  <c r="CJ55"/>
  <c r="CI55"/>
  <c r="CF55"/>
  <c r="DB54"/>
  <c r="DA54"/>
  <c r="CZ54"/>
  <c r="CL54"/>
  <c r="CK54"/>
  <c r="CJ54"/>
  <c r="CI54"/>
  <c r="CF54"/>
  <c r="DB53"/>
  <c r="DA53"/>
  <c r="CZ53"/>
  <c r="CL53"/>
  <c r="CK53"/>
  <c r="CJ53"/>
  <c r="CI53"/>
  <c r="CF53"/>
  <c r="DB52"/>
  <c r="DA52"/>
  <c r="CZ52"/>
  <c r="CL52"/>
  <c r="CK52"/>
  <c r="CJ52"/>
  <c r="CI52"/>
  <c r="CF52"/>
  <c r="DB51"/>
  <c r="DA51"/>
  <c r="CZ51"/>
  <c r="CL51"/>
  <c r="CK51"/>
  <c r="CJ51"/>
  <c r="CI51"/>
  <c r="CF51"/>
  <c r="DB50"/>
  <c r="DA50"/>
  <c r="CZ50"/>
  <c r="CL50"/>
  <c r="CK50"/>
  <c r="DF50" s="1"/>
  <c r="DN75" s="1"/>
  <c r="CJ50"/>
  <c r="CI50"/>
  <c r="CF50"/>
  <c r="DB49"/>
  <c r="DA49"/>
  <c r="CZ49"/>
  <c r="CL49"/>
  <c r="CK49"/>
  <c r="CJ49"/>
  <c r="CI49"/>
  <c r="CF49"/>
  <c r="DB48"/>
  <c r="DA48"/>
  <c r="CZ48"/>
  <c r="CL48"/>
  <c r="CK48"/>
  <c r="CJ48"/>
  <c r="CI48"/>
  <c r="CF48"/>
  <c r="DB47"/>
  <c r="DA47"/>
  <c r="CZ47"/>
  <c r="CL47"/>
  <c r="CK47"/>
  <c r="CJ47"/>
  <c r="CI47"/>
  <c r="CF47"/>
  <c r="CB47"/>
  <c r="DB46"/>
  <c r="DA46"/>
  <c r="CZ46"/>
  <c r="CL46"/>
  <c r="CK46"/>
  <c r="CJ46"/>
  <c r="CI46"/>
  <c r="CF46"/>
  <c r="CB46"/>
  <c r="DB45"/>
  <c r="DA45"/>
  <c r="CZ45"/>
  <c r="CL45"/>
  <c r="CK45"/>
  <c r="CJ45"/>
  <c r="CI45"/>
  <c r="CF45"/>
  <c r="CB45"/>
  <c r="DB44"/>
  <c r="DA44"/>
  <c r="CZ44"/>
  <c r="CL44"/>
  <c r="CK44"/>
  <c r="CJ44"/>
  <c r="CI44"/>
  <c r="CF44"/>
  <c r="CB44"/>
  <c r="DB43"/>
  <c r="DA43"/>
  <c r="CZ43"/>
  <c r="CL43"/>
  <c r="CK43"/>
  <c r="CJ43"/>
  <c r="CI43"/>
  <c r="CF43"/>
  <c r="CB43"/>
  <c r="DB42"/>
  <c r="DA42"/>
  <c r="CZ42"/>
  <c r="CL42"/>
  <c r="CK42"/>
  <c r="DF42" s="1"/>
  <c r="CJ42"/>
  <c r="CI42"/>
  <c r="CF42"/>
  <c r="CB42"/>
  <c r="AD42"/>
  <c r="AC42"/>
  <c r="AB42"/>
  <c r="AA42"/>
  <c r="Z42"/>
  <c r="Y42"/>
  <c r="X42"/>
  <c r="W42"/>
  <c r="V42"/>
  <c r="U42"/>
  <c r="T42"/>
  <c r="S42"/>
  <c r="R42"/>
  <c r="Q42"/>
  <c r="P42"/>
  <c r="O42"/>
  <c r="N42"/>
  <c r="M42"/>
  <c r="L42"/>
  <c r="K42"/>
  <c r="J42"/>
  <c r="I42"/>
  <c r="H42"/>
  <c r="G42"/>
  <c r="F42"/>
  <c r="E42"/>
  <c r="D42"/>
  <c r="C42"/>
  <c r="DB41"/>
  <c r="DA41"/>
  <c r="CZ41"/>
  <c r="CL41"/>
  <c r="CK41"/>
  <c r="CJ41"/>
  <c r="CI41"/>
  <c r="CF41"/>
  <c r="CB41"/>
  <c r="DB40"/>
  <c r="DA40"/>
  <c r="CZ40"/>
  <c r="CL40"/>
  <c r="CK40"/>
  <c r="CJ40"/>
  <c r="CI40"/>
  <c r="CF40"/>
  <c r="CB40"/>
  <c r="AD40"/>
  <c r="AC40"/>
  <c r="AB40"/>
  <c r="AA40"/>
  <c r="Z40"/>
  <c r="Y40"/>
  <c r="X40"/>
  <c r="W40"/>
  <c r="V40"/>
  <c r="U40"/>
  <c r="T40"/>
  <c r="S40"/>
  <c r="R40"/>
  <c r="Q40"/>
  <c r="P40"/>
  <c r="O40"/>
  <c r="N40"/>
  <c r="M40"/>
  <c r="L40"/>
  <c r="K40"/>
  <c r="J40"/>
  <c r="I40"/>
  <c r="H40"/>
  <c r="G40"/>
  <c r="F40"/>
  <c r="E40"/>
  <c r="D40"/>
  <c r="C40"/>
  <c r="DB39"/>
  <c r="DA39"/>
  <c r="CZ39"/>
  <c r="CL39"/>
  <c r="CK39"/>
  <c r="CJ39"/>
  <c r="CI39"/>
  <c r="CF39"/>
  <c r="CB39"/>
  <c r="DB38"/>
  <c r="DA38"/>
  <c r="CZ38"/>
  <c r="CL38"/>
  <c r="CK38"/>
  <c r="DE38" s="1"/>
  <c r="DM43" s="1"/>
  <c r="DM89" s="1"/>
  <c r="CJ38"/>
  <c r="CI38"/>
  <c r="CF38"/>
  <c r="DB37"/>
  <c r="DA37"/>
  <c r="CZ37"/>
  <c r="CL37"/>
  <c r="CK37"/>
  <c r="CJ37"/>
  <c r="CI37"/>
  <c r="CF37"/>
  <c r="DB36"/>
  <c r="DA36"/>
  <c r="CZ36"/>
  <c r="CL36"/>
  <c r="CK36"/>
  <c r="CJ36"/>
  <c r="CI36"/>
  <c r="CF36"/>
  <c r="DB35"/>
  <c r="DA35"/>
  <c r="CZ35"/>
  <c r="CL35"/>
  <c r="CK35"/>
  <c r="CJ35"/>
  <c r="CI35"/>
  <c r="CF35"/>
  <c r="DB34"/>
  <c r="DA34"/>
  <c r="CZ34"/>
  <c r="CL34"/>
  <c r="CK34"/>
  <c r="CJ34"/>
  <c r="CI34"/>
  <c r="CF34"/>
  <c r="AF34"/>
  <c r="AD34"/>
  <c r="AC34"/>
  <c r="AB34"/>
  <c r="AA34"/>
  <c r="Z34"/>
  <c r="Y34"/>
  <c r="X34"/>
  <c r="W34"/>
  <c r="V34"/>
  <c r="U34"/>
  <c r="T34"/>
  <c r="S34"/>
  <c r="R34"/>
  <c r="Q34"/>
  <c r="P34"/>
  <c r="O34"/>
  <c r="N34"/>
  <c r="M34"/>
  <c r="L34"/>
  <c r="K34"/>
  <c r="J34"/>
  <c r="I34"/>
  <c r="H34"/>
  <c r="G34"/>
  <c r="F34"/>
  <c r="E34"/>
  <c r="D34"/>
  <c r="C34"/>
  <c r="DB33"/>
  <c r="DA33"/>
  <c r="CZ33"/>
  <c r="CL33"/>
  <c r="CK33"/>
  <c r="CJ33"/>
  <c r="CI33"/>
  <c r="CF33"/>
  <c r="AF33"/>
  <c r="AD33"/>
  <c r="AC33"/>
  <c r="AB33"/>
  <c r="AA33"/>
  <c r="Z33"/>
  <c r="Y33"/>
  <c r="X33"/>
  <c r="W33"/>
  <c r="V33"/>
  <c r="U33"/>
  <c r="T33"/>
  <c r="S33"/>
  <c r="R33"/>
  <c r="Q33"/>
  <c r="P33"/>
  <c r="O33"/>
  <c r="N33"/>
  <c r="M33"/>
  <c r="L33"/>
  <c r="K33"/>
  <c r="J33"/>
  <c r="I33"/>
  <c r="H33"/>
  <c r="G33"/>
  <c r="F33"/>
  <c r="E33"/>
  <c r="D33"/>
  <c r="C33"/>
  <c r="DB32"/>
  <c r="DA32"/>
  <c r="CZ32"/>
  <c r="CL32"/>
  <c r="CK32"/>
  <c r="CJ32"/>
  <c r="CI32"/>
  <c r="CF32"/>
  <c r="AF32"/>
  <c r="AD32"/>
  <c r="AC32"/>
  <c r="AB32"/>
  <c r="AA32"/>
  <c r="Z32"/>
  <c r="Y32"/>
  <c r="X32"/>
  <c r="W32"/>
  <c r="V32"/>
  <c r="U32"/>
  <c r="T32"/>
  <c r="S32"/>
  <c r="R32"/>
  <c r="Q32"/>
  <c r="P32"/>
  <c r="O32"/>
  <c r="N32"/>
  <c r="M32"/>
  <c r="L32"/>
  <c r="K32"/>
  <c r="J32"/>
  <c r="I32"/>
  <c r="H32"/>
  <c r="G32"/>
  <c r="F32"/>
  <c r="E32"/>
  <c r="D32"/>
  <c r="C32"/>
  <c r="DB31"/>
  <c r="DA31"/>
  <c r="CZ31"/>
  <c r="CL31"/>
  <c r="CK31"/>
  <c r="CJ31"/>
  <c r="CI31"/>
  <c r="CF31"/>
  <c r="AF31"/>
  <c r="AD31"/>
  <c r="AC31"/>
  <c r="AB31"/>
  <c r="AA31"/>
  <c r="Z31"/>
  <c r="Y31"/>
  <c r="X31"/>
  <c r="W31"/>
  <c r="V31"/>
  <c r="U31"/>
  <c r="T31"/>
  <c r="S31"/>
  <c r="R31"/>
  <c r="Q31"/>
  <c r="P31"/>
  <c r="O31"/>
  <c r="N31"/>
  <c r="M31"/>
  <c r="L31"/>
  <c r="K31"/>
  <c r="J31"/>
  <c r="I31"/>
  <c r="H31"/>
  <c r="G31"/>
  <c r="F31"/>
  <c r="E31"/>
  <c r="D31"/>
  <c r="C31"/>
  <c r="DB30"/>
  <c r="DA30"/>
  <c r="CZ30"/>
  <c r="CL30"/>
  <c r="CK30"/>
  <c r="DF30" s="1"/>
  <c r="DN29" s="1"/>
  <c r="DN67" s="1"/>
  <c r="CJ30"/>
  <c r="CI30"/>
  <c r="CF30"/>
  <c r="AF30"/>
  <c r="DB29"/>
  <c r="DA29"/>
  <c r="CZ29"/>
  <c r="CL29"/>
  <c r="CK29"/>
  <c r="CJ29"/>
  <c r="CI29"/>
  <c r="CF29"/>
  <c r="DB28"/>
  <c r="DA28"/>
  <c r="CZ28"/>
  <c r="CL28"/>
  <c r="CK28"/>
  <c r="DF28" s="1"/>
  <c r="CJ28"/>
  <c r="CI28"/>
  <c r="CF28"/>
  <c r="DH33" l="1"/>
  <c r="DP32" s="1"/>
  <c r="DP102" s="1"/>
  <c r="DH41"/>
  <c r="DP51" s="1"/>
  <c r="DP69" s="1"/>
  <c r="DD47"/>
  <c r="DL64" s="1"/>
  <c r="DL91" s="1"/>
  <c r="DD48"/>
  <c r="DL65" s="1"/>
  <c r="DL105" s="1"/>
  <c r="DE46"/>
  <c r="DM63" s="1"/>
  <c r="DM80" s="1"/>
  <c r="DD39"/>
  <c r="DL44" s="1"/>
  <c r="DL103" s="1"/>
  <c r="DD31"/>
  <c r="DL30" s="1"/>
  <c r="DL77" s="1"/>
  <c r="CN108"/>
  <c r="CM133"/>
  <c r="CP133" s="1"/>
  <c r="CQ133" s="1"/>
  <c r="CU125" s="1"/>
  <c r="CN104"/>
  <c r="CN119"/>
  <c r="CN84"/>
  <c r="DH32"/>
  <c r="DP31" s="1"/>
  <c r="DP88" s="1"/>
  <c r="DD34"/>
  <c r="DL33" s="1"/>
  <c r="DL111" s="1"/>
  <c r="DD35"/>
  <c r="DL40" s="1"/>
  <c r="DL57" s="1"/>
  <c r="DD36"/>
  <c r="DL41" s="1"/>
  <c r="DL68" s="1"/>
  <c r="DD37"/>
  <c r="DL42" s="1"/>
  <c r="DL78" s="1"/>
  <c r="DH40"/>
  <c r="DP45" s="1"/>
  <c r="DP112" s="1"/>
  <c r="DH44"/>
  <c r="DP54" s="1"/>
  <c r="DP104" s="1"/>
  <c r="CN68"/>
  <c r="CM68"/>
  <c r="CP68" s="1"/>
  <c r="CQ68" s="1"/>
  <c r="CU68" s="1"/>
  <c r="DE43"/>
  <c r="DM53" s="1"/>
  <c r="DM90" s="1"/>
  <c r="DE49"/>
  <c r="DM66" s="1"/>
  <c r="DM114" s="1"/>
  <c r="DE51"/>
  <c r="DM76" s="1"/>
  <c r="DM115" s="1"/>
  <c r="DE52"/>
  <c r="DM87" s="1"/>
  <c r="DE53"/>
  <c r="DM81" s="1"/>
  <c r="DM99" s="1"/>
  <c r="DE54"/>
  <c r="DM100" s="1"/>
  <c r="DE55"/>
  <c r="DM117" s="1"/>
  <c r="DH35"/>
  <c r="DP40" s="1"/>
  <c r="DP57" s="1"/>
  <c r="DH37"/>
  <c r="DP42" s="1"/>
  <c r="DP78" s="1"/>
  <c r="DH38"/>
  <c r="DP43" s="1"/>
  <c r="DP89" s="1"/>
  <c r="DD40"/>
  <c r="DL45" s="1"/>
  <c r="DL112" s="1"/>
  <c r="DH42"/>
  <c r="DP52" s="1"/>
  <c r="DP79" s="1"/>
  <c r="DD44"/>
  <c r="DL54" s="1"/>
  <c r="DL104" s="1"/>
  <c r="DH46"/>
  <c r="DP63" s="1"/>
  <c r="DP80" s="1"/>
  <c r="DI30"/>
  <c r="DQ29" s="1"/>
  <c r="DQ67" s="1"/>
  <c r="DI46"/>
  <c r="DQ63" s="1"/>
  <c r="DQ80" s="1"/>
  <c r="N35"/>
  <c r="C61" s="1"/>
  <c r="R35"/>
  <c r="C65" s="1"/>
  <c r="AD35"/>
  <c r="C77" s="1"/>
  <c r="CM73"/>
  <c r="CP73" s="1"/>
  <c r="CQ73" s="1"/>
  <c r="CU73" s="1"/>
  <c r="CN97"/>
  <c r="CM105"/>
  <c r="CP105" s="1"/>
  <c r="CQ105" s="1"/>
  <c r="CU105" s="1"/>
  <c r="CN111"/>
  <c r="CN117"/>
  <c r="CM123"/>
  <c r="CM72"/>
  <c r="CP72" s="1"/>
  <c r="CQ72" s="1"/>
  <c r="CU72" s="1"/>
  <c r="CM81"/>
  <c r="CP81" s="1"/>
  <c r="CQ81" s="1"/>
  <c r="CU80" s="1"/>
  <c r="CM114"/>
  <c r="CP114" s="1"/>
  <c r="CQ114" s="1"/>
  <c r="CU112" s="1"/>
  <c r="CM122"/>
  <c r="CM130"/>
  <c r="CP130" s="1"/>
  <c r="CQ130" s="1"/>
  <c r="CU122" s="1"/>
  <c r="CN72"/>
  <c r="CN73"/>
  <c r="CN75"/>
  <c r="CN79"/>
  <c r="CN93"/>
  <c r="CN96"/>
  <c r="CM99"/>
  <c r="CP99" s="1"/>
  <c r="CQ99" s="1"/>
  <c r="CN107"/>
  <c r="CM109"/>
  <c r="CP109" s="1"/>
  <c r="CQ109" s="1"/>
  <c r="CU109" s="1"/>
  <c r="CN114"/>
  <c r="CM116"/>
  <c r="CP116" s="1"/>
  <c r="CQ116" s="1"/>
  <c r="CU114" s="1"/>
  <c r="CM137"/>
  <c r="CP137" s="1"/>
  <c r="CQ137" s="1"/>
  <c r="CU127" s="1"/>
  <c r="CQ46"/>
  <c r="AA37"/>
  <c r="AA38" s="1"/>
  <c r="H35"/>
  <c r="C55" s="1"/>
  <c r="DI28"/>
  <c r="DQ27" s="1"/>
  <c r="DQ39" s="1"/>
  <c r="DD32"/>
  <c r="DL31" s="1"/>
  <c r="DL88" s="1"/>
  <c r="CM74"/>
  <c r="CP74" s="1"/>
  <c r="CQ74" s="1"/>
  <c r="CU74" s="1"/>
  <c r="CN77"/>
  <c r="CN78"/>
  <c r="CM84"/>
  <c r="CP84" s="1"/>
  <c r="CQ84" s="1"/>
  <c r="CU82" s="1"/>
  <c r="CN87"/>
  <c r="CN88"/>
  <c r="CN89"/>
  <c r="CN90"/>
  <c r="CN91"/>
  <c r="CM96"/>
  <c r="CP96" s="1"/>
  <c r="CQ96" s="1"/>
  <c r="CU93" s="1"/>
  <c r="CM104"/>
  <c r="CP104" s="1"/>
  <c r="CQ104" s="1"/>
  <c r="CU104" s="1"/>
  <c r="CN109"/>
  <c r="CN115"/>
  <c r="CN118"/>
  <c r="CN122"/>
  <c r="CM124"/>
  <c r="CN132"/>
  <c r="CN133"/>
  <c r="CN137"/>
  <c r="DD29"/>
  <c r="DL28" s="1"/>
  <c r="DL56" s="1"/>
  <c r="DH31"/>
  <c r="DP30" s="1"/>
  <c r="DP77" s="1"/>
  <c r="DE33"/>
  <c r="DM32" s="1"/>
  <c r="DM102" s="1"/>
  <c r="DI34"/>
  <c r="DQ33" s="1"/>
  <c r="DQ111" s="1"/>
  <c r="DI36"/>
  <c r="DQ41" s="1"/>
  <c r="DQ68" s="1"/>
  <c r="DD45"/>
  <c r="DL55" s="1"/>
  <c r="DL113" s="1"/>
  <c r="DH47"/>
  <c r="DP64" s="1"/>
  <c r="DP91" s="1"/>
  <c r="DH49"/>
  <c r="DP66" s="1"/>
  <c r="DP114" s="1"/>
  <c r="DH51"/>
  <c r="DP76" s="1"/>
  <c r="DP115" s="1"/>
  <c r="DH54"/>
  <c r="DP93" s="1"/>
  <c r="DP100" s="1"/>
  <c r="DH55"/>
  <c r="DP101" s="1"/>
  <c r="DP117" s="1"/>
  <c r="CN74"/>
  <c r="CM77"/>
  <c r="CP77" s="1"/>
  <c r="CQ77" s="1"/>
  <c r="CU76" s="1"/>
  <c r="CM86"/>
  <c r="CP78" s="1"/>
  <c r="CQ78" s="1"/>
  <c r="CU77" s="1"/>
  <c r="CM87"/>
  <c r="CP87" s="1"/>
  <c r="CQ87" s="1"/>
  <c r="CU85" s="1"/>
  <c r="CM88"/>
  <c r="CP88" s="1"/>
  <c r="CQ88" s="1"/>
  <c r="CU86" s="1"/>
  <c r="CM89"/>
  <c r="CP89" s="1"/>
  <c r="CQ89" s="1"/>
  <c r="CU87" s="1"/>
  <c r="CM90"/>
  <c r="CP90" s="1"/>
  <c r="CQ90" s="1"/>
  <c r="CU88" s="1"/>
  <c r="CM91"/>
  <c r="CP91" s="1"/>
  <c r="CQ91" s="1"/>
  <c r="CU89" s="1"/>
  <c r="CM93"/>
  <c r="CP93" s="1"/>
  <c r="CQ93" s="1"/>
  <c r="CU90" s="1"/>
  <c r="CM94"/>
  <c r="CP94" s="1"/>
  <c r="CQ94" s="1"/>
  <c r="CU91" s="1"/>
  <c r="CM95"/>
  <c r="CP95" s="1"/>
  <c r="CQ95" s="1"/>
  <c r="CU92" s="1"/>
  <c r="CM108"/>
  <c r="CP108" s="1"/>
  <c r="CQ108" s="1"/>
  <c r="CU108" s="1"/>
  <c r="CM115"/>
  <c r="CP115" s="1"/>
  <c r="CQ115" s="1"/>
  <c r="CU113" s="1"/>
  <c r="CM121"/>
  <c r="CN123"/>
  <c r="CM129"/>
  <c r="CP129" s="1"/>
  <c r="CQ129" s="1"/>
  <c r="CU121" s="1"/>
  <c r="CN130"/>
  <c r="DI39"/>
  <c r="DQ44" s="1"/>
  <c r="DQ103" s="1"/>
  <c r="DI43"/>
  <c r="DQ53" s="1"/>
  <c r="DQ90" s="1"/>
  <c r="DI50"/>
  <c r="DQ75" s="1"/>
  <c r="DQ92" s="1"/>
  <c r="CM78"/>
  <c r="CP86" s="1"/>
  <c r="CQ86" s="1"/>
  <c r="CU84" s="1"/>
  <c r="CN81"/>
  <c r="CN83"/>
  <c r="CN94"/>
  <c r="CN95"/>
  <c r="CM97"/>
  <c r="CP97" s="1"/>
  <c r="CQ97" s="1"/>
  <c r="CU94" s="1"/>
  <c r="CM103"/>
  <c r="CP103" s="1"/>
  <c r="CQ103" s="1"/>
  <c r="CU103" s="1"/>
  <c r="CM107"/>
  <c r="CP107" s="1"/>
  <c r="CQ107" s="1"/>
  <c r="CU107" s="1"/>
  <c r="CM111"/>
  <c r="CP111" s="1"/>
  <c r="CQ111" s="1"/>
  <c r="CU111" s="1"/>
  <c r="CN116"/>
  <c r="CN121"/>
  <c r="CN124"/>
  <c r="CN128"/>
  <c r="CN136"/>
  <c r="CN138"/>
  <c r="CN139"/>
  <c r="CN140"/>
  <c r="CN141"/>
  <c r="CN142"/>
  <c r="CN143"/>
  <c r="DG52"/>
  <c r="DO87" s="1"/>
  <c r="DO116" s="1"/>
  <c r="J37"/>
  <c r="J38" s="1"/>
  <c r="I37"/>
  <c r="I38" s="1"/>
  <c r="V37"/>
  <c r="V38" s="1"/>
  <c r="DG43"/>
  <c r="DO53" s="1"/>
  <c r="DO90" s="1"/>
  <c r="U37"/>
  <c r="U38" s="1"/>
  <c r="CQ32"/>
  <c r="F37"/>
  <c r="F38" s="1"/>
  <c r="N37"/>
  <c r="N38" s="1"/>
  <c r="R37"/>
  <c r="R38" s="1"/>
  <c r="Z37"/>
  <c r="Z38" s="1"/>
  <c r="H37"/>
  <c r="H38" s="1"/>
  <c r="X37"/>
  <c r="X38" s="1"/>
  <c r="M35"/>
  <c r="C60" s="1"/>
  <c r="I35"/>
  <c r="C56" s="1"/>
  <c r="L37"/>
  <c r="L38" s="1"/>
  <c r="D37"/>
  <c r="D38" s="1"/>
  <c r="T37"/>
  <c r="T38" s="1"/>
  <c r="E37"/>
  <c r="E38" s="1"/>
  <c r="AC37"/>
  <c r="AC38" s="1"/>
  <c r="Q28"/>
  <c r="AC35"/>
  <c r="C76" s="1"/>
  <c r="CN33"/>
  <c r="CI198" s="1"/>
  <c r="CN43"/>
  <c r="CI220" s="1"/>
  <c r="DD43"/>
  <c r="DL53" s="1"/>
  <c r="DL90" s="1"/>
  <c r="C37"/>
  <c r="C38" s="1"/>
  <c r="G37"/>
  <c r="G38" s="1"/>
  <c r="DG40"/>
  <c r="DO45" s="1"/>
  <c r="DO112" s="1"/>
  <c r="CM54"/>
  <c r="CZ94" s="1"/>
  <c r="DF54"/>
  <c r="DN93" s="1"/>
  <c r="DN100" s="1"/>
  <c r="D35"/>
  <c r="C51" s="1"/>
  <c r="CQ43"/>
  <c r="DH43"/>
  <c r="DP53" s="1"/>
  <c r="DP90" s="1"/>
  <c r="CQ54"/>
  <c r="DD54"/>
  <c r="DL93" s="1"/>
  <c r="AD37"/>
  <c r="AD38" s="1"/>
  <c r="CQ51"/>
  <c r="DD51"/>
  <c r="DL76" s="1"/>
  <c r="DL115" s="1"/>
  <c r="DG51"/>
  <c r="DO76" s="1"/>
  <c r="DO115" s="1"/>
  <c r="CN51"/>
  <c r="CY97" s="1"/>
  <c r="CM35"/>
  <c r="CP35" s="1"/>
  <c r="DE35"/>
  <c r="DM40" s="1"/>
  <c r="DM57" s="1"/>
  <c r="CQ35"/>
  <c r="CN35"/>
  <c r="CI211" s="1"/>
  <c r="P37"/>
  <c r="P38" s="1"/>
  <c r="AB37"/>
  <c r="AB38" s="1"/>
  <c r="S37"/>
  <c r="S38" s="1"/>
  <c r="W37"/>
  <c r="W38" s="1"/>
  <c r="CQ38"/>
  <c r="T35"/>
  <c r="C67" s="1"/>
  <c r="CN29"/>
  <c r="CI204" s="1"/>
  <c r="DE29"/>
  <c r="DM28" s="1"/>
  <c r="DM56" s="1"/>
  <c r="K37"/>
  <c r="K38" s="1"/>
  <c r="O37"/>
  <c r="O38" s="1"/>
  <c r="CQ28"/>
  <c r="CQ31"/>
  <c r="L35"/>
  <c r="C59" s="1"/>
  <c r="CM31"/>
  <c r="CC41" s="1"/>
  <c r="DE31"/>
  <c r="DM30" s="1"/>
  <c r="DM77" s="1"/>
  <c r="DE28"/>
  <c r="DM27" s="1"/>
  <c r="DM39" s="1"/>
  <c r="E35"/>
  <c r="C52" s="1"/>
  <c r="DI45"/>
  <c r="DQ55" s="1"/>
  <c r="DQ113" s="1"/>
  <c r="DG33"/>
  <c r="DO32" s="1"/>
  <c r="DO102" s="1"/>
  <c r="Q35"/>
  <c r="C64" s="1"/>
  <c r="DI33"/>
  <c r="DQ32" s="1"/>
  <c r="DQ102" s="1"/>
  <c r="CQ33"/>
  <c r="CQ30"/>
  <c r="CQ48"/>
  <c r="DE30"/>
  <c r="DM29" s="1"/>
  <c r="DM67" s="1"/>
  <c r="DF48"/>
  <c r="CK169" s="1"/>
  <c r="DG47"/>
  <c r="DO64" s="1"/>
  <c r="DO91" s="1"/>
  <c r="S35"/>
  <c r="C66" s="1"/>
  <c r="CQ34"/>
  <c r="DG37"/>
  <c r="DO42" s="1"/>
  <c r="DO78" s="1"/>
  <c r="X35"/>
  <c r="C71" s="1"/>
  <c r="DG46"/>
  <c r="DO63" s="1"/>
  <c r="DO80" s="1"/>
  <c r="CN46"/>
  <c r="CI221" s="1"/>
  <c r="DG49"/>
  <c r="DO66" s="1"/>
  <c r="DO114" s="1"/>
  <c r="P35"/>
  <c r="C63" s="1"/>
  <c r="AB35"/>
  <c r="C75" s="1"/>
  <c r="CQ39"/>
  <c r="CQ45"/>
  <c r="DE45"/>
  <c r="DM55" s="1"/>
  <c r="DM113" s="1"/>
  <c r="O35"/>
  <c r="C62" s="1"/>
  <c r="CQ53"/>
  <c r="DI29"/>
  <c r="DQ28" s="1"/>
  <c r="DQ56" s="1"/>
  <c r="CQ55"/>
  <c r="CQ29"/>
  <c r="DF29"/>
  <c r="CO175" s="1"/>
  <c r="C35"/>
  <c r="C50" s="1"/>
  <c r="K35"/>
  <c r="C58" s="1"/>
  <c r="AA35"/>
  <c r="C74" s="1"/>
  <c r="CM55"/>
  <c r="CZ89" s="1"/>
  <c r="DG38"/>
  <c r="DO43" s="1"/>
  <c r="DO89" s="1"/>
  <c r="DI40"/>
  <c r="DQ45" s="1"/>
  <c r="DQ112" s="1"/>
  <c r="CN52"/>
  <c r="CI186" s="1"/>
  <c r="DF55"/>
  <c r="DN101" s="1"/>
  <c r="DN117" s="1"/>
  <c r="U35"/>
  <c r="C68" s="1"/>
  <c r="Y35"/>
  <c r="C72" s="1"/>
  <c r="DI38"/>
  <c r="DQ43" s="1"/>
  <c r="DQ89" s="1"/>
  <c r="DE39"/>
  <c r="DM44" s="1"/>
  <c r="DM103" s="1"/>
  <c r="CN40"/>
  <c r="CY87" s="1"/>
  <c r="CN48"/>
  <c r="CI195" s="1"/>
  <c r="DE48"/>
  <c r="DM65" s="1"/>
  <c r="DM105" s="1"/>
  <c r="DD55"/>
  <c r="DL101" s="1"/>
  <c r="CN38"/>
  <c r="CI214" s="1"/>
  <c r="CQ40"/>
  <c r="DE40"/>
  <c r="DM45" s="1"/>
  <c r="DM112" s="1"/>
  <c r="DI48"/>
  <c r="DQ65" s="1"/>
  <c r="DQ105" s="1"/>
  <c r="DH52"/>
  <c r="DP87" s="1"/>
  <c r="DP116" s="1"/>
  <c r="CQ44"/>
  <c r="G35"/>
  <c r="C54" s="1"/>
  <c r="W35"/>
  <c r="C70" s="1"/>
  <c r="AF35"/>
  <c r="DF39"/>
  <c r="CK167" s="1"/>
  <c r="AF38"/>
  <c r="DE34"/>
  <c r="DM33" s="1"/>
  <c r="DM111" s="1"/>
  <c r="CQ36"/>
  <c r="DF36"/>
  <c r="DN41" s="1"/>
  <c r="DN68" s="1"/>
  <c r="DI37"/>
  <c r="DQ42" s="1"/>
  <c r="DQ78" s="1"/>
  <c r="DG41"/>
  <c r="DO51" s="1"/>
  <c r="DO69" s="1"/>
  <c r="CQ42"/>
  <c r="DE42"/>
  <c r="DM52" s="1"/>
  <c r="DM79" s="1"/>
  <c r="CQ50"/>
  <c r="DE50"/>
  <c r="DM75" s="1"/>
  <c r="DM92" s="1"/>
  <c r="DF53"/>
  <c r="DN81" s="1"/>
  <c r="DN99" s="1"/>
  <c r="CM56"/>
  <c r="CC39" s="1"/>
  <c r="DI47"/>
  <c r="DQ64" s="1"/>
  <c r="DQ91" s="1"/>
  <c r="DI49"/>
  <c r="DQ66" s="1"/>
  <c r="DQ114" s="1"/>
  <c r="F35"/>
  <c r="C53" s="1"/>
  <c r="J35"/>
  <c r="C57" s="1"/>
  <c r="V35"/>
  <c r="C69" s="1"/>
  <c r="Z35"/>
  <c r="C73" s="1"/>
  <c r="DG32"/>
  <c r="DO31" s="1"/>
  <c r="DO88" s="1"/>
  <c r="CM36"/>
  <c r="CT36" s="1"/>
  <c r="CU36" s="1"/>
  <c r="CN37"/>
  <c r="CI213" s="1"/>
  <c r="DI41"/>
  <c r="DQ51" s="1"/>
  <c r="DQ69" s="1"/>
  <c r="DD42"/>
  <c r="DL52" s="1"/>
  <c r="DL79" s="1"/>
  <c r="CN47"/>
  <c r="CI222" s="1"/>
  <c r="CN49"/>
  <c r="CI188" s="1"/>
  <c r="CQ52"/>
  <c r="DD52"/>
  <c r="DD53"/>
  <c r="DL81" s="1"/>
  <c r="DL99" s="1"/>
  <c r="M37"/>
  <c r="M38" s="1"/>
  <c r="Y37"/>
  <c r="Y38" s="1"/>
  <c r="DI32"/>
  <c r="DQ31" s="1"/>
  <c r="DQ88" s="1"/>
  <c r="DF34"/>
  <c r="CO166" s="1"/>
  <c r="DE36"/>
  <c r="DM41" s="1"/>
  <c r="DM68" s="1"/>
  <c r="CQ37"/>
  <c r="DE37"/>
  <c r="DM42" s="1"/>
  <c r="DM78" s="1"/>
  <c r="DI44"/>
  <c r="DQ54" s="1"/>
  <c r="DQ104" s="1"/>
  <c r="DH28"/>
  <c r="DP27" s="1"/>
  <c r="DG28"/>
  <c r="DO27" s="1"/>
  <c r="CN28"/>
  <c r="DF41"/>
  <c r="CM41"/>
  <c r="DE41"/>
  <c r="DM51" s="1"/>
  <c r="DH29"/>
  <c r="DP28" s="1"/>
  <c r="DP56" s="1"/>
  <c r="CM29"/>
  <c r="DG29"/>
  <c r="DO28" s="1"/>
  <c r="DO56" s="1"/>
  <c r="Q37"/>
  <c r="Q38" s="1"/>
  <c r="R28"/>
  <c r="DD33"/>
  <c r="DL32" s="1"/>
  <c r="DL102" s="1"/>
  <c r="DG35"/>
  <c r="DO40" s="1"/>
  <c r="DO57" s="1"/>
  <c r="DD38"/>
  <c r="DL43" s="1"/>
  <c r="DL89" s="1"/>
  <c r="CI197"/>
  <c r="DH39"/>
  <c r="DP44" s="1"/>
  <c r="DP103" s="1"/>
  <c r="DG39"/>
  <c r="DO44" s="1"/>
  <c r="DO103" s="1"/>
  <c r="CN39"/>
  <c r="CY88" s="1"/>
  <c r="CM39"/>
  <c r="CQ41"/>
  <c r="DI42"/>
  <c r="DQ52" s="1"/>
  <c r="DQ79" s="1"/>
  <c r="CM42"/>
  <c r="DG44"/>
  <c r="DO54" s="1"/>
  <c r="DO104" s="1"/>
  <c r="CN44"/>
  <c r="CM44"/>
  <c r="DF47"/>
  <c r="DN64" s="1"/>
  <c r="DN91" s="1"/>
  <c r="CM47"/>
  <c r="CQ47"/>
  <c r="DE47"/>
  <c r="DM64" s="1"/>
  <c r="DM91" s="1"/>
  <c r="DN92"/>
  <c r="DH36"/>
  <c r="DP41" s="1"/>
  <c r="DP68" s="1"/>
  <c r="DG36"/>
  <c r="DO41" s="1"/>
  <c r="DO68" s="1"/>
  <c r="CN36"/>
  <c r="CI212" s="1"/>
  <c r="DD28"/>
  <c r="DL27" s="1"/>
  <c r="DD30"/>
  <c r="DL29" s="1"/>
  <c r="DL67" s="1"/>
  <c r="CN31"/>
  <c r="CI206" s="1"/>
  <c r="DF31"/>
  <c r="DI31"/>
  <c r="DQ30" s="1"/>
  <c r="DQ77" s="1"/>
  <c r="DH34"/>
  <c r="DP33" s="1"/>
  <c r="DP111" s="1"/>
  <c r="DG34"/>
  <c r="DO33" s="1"/>
  <c r="DO111" s="1"/>
  <c r="CN34"/>
  <c r="CM34"/>
  <c r="CO172"/>
  <c r="DN52"/>
  <c r="DN79" s="1"/>
  <c r="DH45"/>
  <c r="DP55" s="1"/>
  <c r="DP113" s="1"/>
  <c r="DG45"/>
  <c r="DO55" s="1"/>
  <c r="DO113" s="1"/>
  <c r="CN45"/>
  <c r="CM45"/>
  <c r="DG53"/>
  <c r="DO81" s="1"/>
  <c r="DO99" s="1"/>
  <c r="DH53"/>
  <c r="DP81" s="1"/>
  <c r="DP99" s="1"/>
  <c r="CN53"/>
  <c r="CM53"/>
  <c r="CM28"/>
  <c r="DH30"/>
  <c r="DP29" s="1"/>
  <c r="DP67" s="1"/>
  <c r="DG30"/>
  <c r="DO29" s="1"/>
  <c r="DO67" s="1"/>
  <c r="CN30"/>
  <c r="CI205" s="1"/>
  <c r="CM30"/>
  <c r="DF35"/>
  <c r="DN40" s="1"/>
  <c r="DN57" s="1"/>
  <c r="DI35"/>
  <c r="DQ40" s="1"/>
  <c r="DQ57" s="1"/>
  <c r="CO177"/>
  <c r="DN27"/>
  <c r="DG31"/>
  <c r="DO30" s="1"/>
  <c r="DO77" s="1"/>
  <c r="DF32"/>
  <c r="CM32"/>
  <c r="DE32"/>
  <c r="DM31" s="1"/>
  <c r="DM88" s="1"/>
  <c r="DD41"/>
  <c r="DL51" s="1"/>
  <c r="CM33"/>
  <c r="DF33"/>
  <c r="CM37"/>
  <c r="DF37"/>
  <c r="DN42" s="1"/>
  <c r="DN78" s="1"/>
  <c r="CM38"/>
  <c r="DF38"/>
  <c r="CM40"/>
  <c r="DF40"/>
  <c r="DF45"/>
  <c r="DF46"/>
  <c r="DN63" s="1"/>
  <c r="CM46"/>
  <c r="DD46"/>
  <c r="DL63" s="1"/>
  <c r="DH48"/>
  <c r="DP65" s="1"/>
  <c r="DP105" s="1"/>
  <c r="CM48"/>
  <c r="DG48"/>
  <c r="DO65" s="1"/>
  <c r="DO105" s="1"/>
  <c r="CQ49"/>
  <c r="DH50"/>
  <c r="DP75" s="1"/>
  <c r="DG50"/>
  <c r="DO75" s="1"/>
  <c r="CN50"/>
  <c r="CI223" s="1"/>
  <c r="CM50"/>
  <c r="CM52"/>
  <c r="DF52"/>
  <c r="DI52"/>
  <c r="DQ87" s="1"/>
  <c r="DF43"/>
  <c r="DN53" s="1"/>
  <c r="DN90" s="1"/>
  <c r="CM43"/>
  <c r="DE44"/>
  <c r="DM54" s="1"/>
  <c r="DM104" s="1"/>
  <c r="DF44"/>
  <c r="DF49"/>
  <c r="CM49"/>
  <c r="DD49"/>
  <c r="DL66" s="1"/>
  <c r="DL114" s="1"/>
  <c r="CM51"/>
  <c r="DF51"/>
  <c r="DN76" s="1"/>
  <c r="DN115" s="1"/>
  <c r="DI51"/>
  <c r="DQ76" s="1"/>
  <c r="DQ115" s="1"/>
  <c r="DG54"/>
  <c r="DO93" s="1"/>
  <c r="DO100" s="1"/>
  <c r="CN54"/>
  <c r="DG55"/>
  <c r="DO101" s="1"/>
  <c r="DO117" s="1"/>
  <c r="CN55"/>
  <c r="CN32"/>
  <c r="CN41"/>
  <c r="CI218" s="1"/>
  <c r="DG42"/>
  <c r="DO52" s="1"/>
  <c r="DO79" s="1"/>
  <c r="CN42"/>
  <c r="CI219" s="1"/>
  <c r="DD50"/>
  <c r="DL75" s="1"/>
  <c r="CM80"/>
  <c r="CP80" s="1"/>
  <c r="CQ80" s="1"/>
  <c r="CU79" s="1"/>
  <c r="CN80"/>
  <c r="CM85"/>
  <c r="CP85" s="1"/>
  <c r="CQ85" s="1"/>
  <c r="CU83" s="1"/>
  <c r="DI53"/>
  <c r="DQ81" s="1"/>
  <c r="DQ99" s="1"/>
  <c r="DI54"/>
  <c r="DQ93" s="1"/>
  <c r="DQ100" s="1"/>
  <c r="DI55"/>
  <c r="DQ101" s="1"/>
  <c r="DQ117" s="1"/>
  <c r="CM83"/>
  <c r="CP83" s="1"/>
  <c r="CQ83" s="1"/>
  <c r="CU81" s="1"/>
  <c r="CN86"/>
  <c r="CM110"/>
  <c r="CP110" s="1"/>
  <c r="CQ110" s="1"/>
  <c r="CU110" s="1"/>
  <c r="CN110"/>
  <c r="CM118"/>
  <c r="CP118" s="1"/>
  <c r="CQ118" s="1"/>
  <c r="CU116" s="1"/>
  <c r="CM138"/>
  <c r="CP138" s="1"/>
  <c r="CQ138" s="1"/>
  <c r="CU128" s="1"/>
  <c r="CM75"/>
  <c r="CP75" s="1"/>
  <c r="CQ75" s="1"/>
  <c r="CU75" s="1"/>
  <c r="CM106"/>
  <c r="CP106" s="1"/>
  <c r="CQ106" s="1"/>
  <c r="CU106" s="1"/>
  <c r="CN106"/>
  <c r="CM79"/>
  <c r="CP79" s="1"/>
  <c r="CQ79" s="1"/>
  <c r="CU78" s="1"/>
  <c r="CN85"/>
  <c r="CN99"/>
  <c r="CN103"/>
  <c r="CM120"/>
  <c r="CP120" s="1"/>
  <c r="CQ120" s="1"/>
  <c r="CU118" s="1"/>
  <c r="CN120"/>
  <c r="CM131"/>
  <c r="CP131" s="1"/>
  <c r="CQ131" s="1"/>
  <c r="CU123" s="1"/>
  <c r="CN131"/>
  <c r="CM142"/>
  <c r="CP142" s="1"/>
  <c r="CQ142" s="1"/>
  <c r="CU132" s="1"/>
  <c r="CN105"/>
  <c r="CM117"/>
  <c r="CP117" s="1"/>
  <c r="CQ117" s="1"/>
  <c r="CU115" s="1"/>
  <c r="CM119"/>
  <c r="CP119" s="1"/>
  <c r="CQ119" s="1"/>
  <c r="CU117" s="1"/>
  <c r="CM127"/>
  <c r="CP127" s="1"/>
  <c r="CQ127" s="1"/>
  <c r="CU119" s="1"/>
  <c r="CN127"/>
  <c r="CM139"/>
  <c r="CP139" s="1"/>
  <c r="CQ139" s="1"/>
  <c r="CU129" s="1"/>
  <c r="CM143"/>
  <c r="CP143" s="1"/>
  <c r="CQ143" s="1"/>
  <c r="CU133" s="1"/>
  <c r="CM136"/>
  <c r="CP136" s="1"/>
  <c r="CQ136" s="1"/>
  <c r="CU126" s="1"/>
  <c r="CM140"/>
  <c r="CP140" s="1"/>
  <c r="CQ140" s="1"/>
  <c r="CU130" s="1"/>
  <c r="CM128"/>
  <c r="CP128" s="1"/>
  <c r="CQ128" s="1"/>
  <c r="CU120" s="1"/>
  <c r="CN129"/>
  <c r="CM132"/>
  <c r="CP132" s="1"/>
  <c r="CQ132" s="1"/>
  <c r="CU124" s="1"/>
  <c r="CM141"/>
  <c r="CP141" s="1"/>
  <c r="CQ141" s="1"/>
  <c r="CU131" s="1"/>
  <c r="F77" l="1"/>
  <c r="Z41"/>
  <c r="Z43" s="1"/>
  <c r="F69"/>
  <c r="F68"/>
  <c r="F60"/>
  <c r="N41"/>
  <c r="N43" s="1"/>
  <c r="F56"/>
  <c r="F57"/>
  <c r="F41"/>
  <c r="F43" s="1"/>
  <c r="E41"/>
  <c r="E43" s="1"/>
  <c r="DM101"/>
  <c r="DM106" s="1"/>
  <c r="DM93"/>
  <c r="DM94" s="1"/>
  <c r="DM116"/>
  <c r="DM118" s="1"/>
  <c r="F53"/>
  <c r="CH193"/>
  <c r="CP54"/>
  <c r="CS54"/>
  <c r="CZ78"/>
  <c r="F61"/>
  <c r="CI187"/>
  <c r="CK179"/>
  <c r="R41"/>
  <c r="R43" s="1"/>
  <c r="F65"/>
  <c r="CT35"/>
  <c r="CU35" s="1"/>
  <c r="CT31"/>
  <c r="CU31" s="1"/>
  <c r="CH211"/>
  <c r="CC44"/>
  <c r="CS35"/>
  <c r="CT54"/>
  <c r="CU54" s="1"/>
  <c r="CY101"/>
  <c r="CI190"/>
  <c r="F73"/>
  <c r="F76"/>
  <c r="AC41"/>
  <c r="AC43" s="1"/>
  <c r="CY90"/>
  <c r="DN44"/>
  <c r="DN103" s="1"/>
  <c r="AD41"/>
  <c r="AD43" s="1"/>
  <c r="J41"/>
  <c r="J43" s="1"/>
  <c r="CM166"/>
  <c r="DL117"/>
  <c r="CH206"/>
  <c r="DL100"/>
  <c r="DL106" s="1"/>
  <c r="CZ73"/>
  <c r="I41"/>
  <c r="I43" s="1"/>
  <c r="CT55"/>
  <c r="CU55" s="1"/>
  <c r="U41"/>
  <c r="U43" s="1"/>
  <c r="F52"/>
  <c r="CM172"/>
  <c r="V41"/>
  <c r="V43" s="1"/>
  <c r="CP31"/>
  <c r="CS31"/>
  <c r="DN65"/>
  <c r="DN105" s="1"/>
  <c r="CY100"/>
  <c r="DM82"/>
  <c r="DP58"/>
  <c r="CP55"/>
  <c r="CH192"/>
  <c r="CS55"/>
  <c r="DN28"/>
  <c r="DN56" s="1"/>
  <c r="DM46"/>
  <c r="DQ70"/>
  <c r="DN33"/>
  <c r="DN111" s="1"/>
  <c r="CY95"/>
  <c r="DO70"/>
  <c r="DQ46"/>
  <c r="CP36"/>
  <c r="F72"/>
  <c r="Y41"/>
  <c r="Y43" s="1"/>
  <c r="DP118"/>
  <c r="CS36"/>
  <c r="CH212"/>
  <c r="DL116"/>
  <c r="DL87"/>
  <c r="DP70"/>
  <c r="DM34"/>
  <c r="CC47"/>
  <c r="M41"/>
  <c r="M43" s="1"/>
  <c r="CH189"/>
  <c r="CZ98"/>
  <c r="CZ82"/>
  <c r="CP45"/>
  <c r="CS45"/>
  <c r="CT45"/>
  <c r="CU45" s="1"/>
  <c r="CH197"/>
  <c r="CZ88"/>
  <c r="CZ72"/>
  <c r="CP39"/>
  <c r="CT39"/>
  <c r="CU39" s="1"/>
  <c r="CS39"/>
  <c r="CH204"/>
  <c r="CC40"/>
  <c r="CP29"/>
  <c r="CX53" s="1"/>
  <c r="CS29"/>
  <c r="CT29"/>
  <c r="CU29" s="1"/>
  <c r="DQ106"/>
  <c r="DL92"/>
  <c r="CI193"/>
  <c r="CY94"/>
  <c r="CO169"/>
  <c r="DN66"/>
  <c r="DN114" s="1"/>
  <c r="CK168"/>
  <c r="DN54"/>
  <c r="DN104" s="1"/>
  <c r="CH186"/>
  <c r="CZ95"/>
  <c r="CZ79"/>
  <c r="CP52"/>
  <c r="CS52"/>
  <c r="CT52"/>
  <c r="CU52" s="1"/>
  <c r="CH221"/>
  <c r="CT46"/>
  <c r="CU46" s="1"/>
  <c r="CS46"/>
  <c r="CP46"/>
  <c r="CH190"/>
  <c r="CZ87"/>
  <c r="CZ71"/>
  <c r="CP40"/>
  <c r="CT40"/>
  <c r="CU40" s="1"/>
  <c r="CC46"/>
  <c r="CS40"/>
  <c r="CH213"/>
  <c r="CC45"/>
  <c r="CP37"/>
  <c r="CT37"/>
  <c r="CU37" s="1"/>
  <c r="CS37"/>
  <c r="CH205"/>
  <c r="CC43"/>
  <c r="CP30"/>
  <c r="CT30"/>
  <c r="CU30" s="1"/>
  <c r="CS30"/>
  <c r="CI194"/>
  <c r="CY96"/>
  <c r="CI189"/>
  <c r="CY98"/>
  <c r="CH191"/>
  <c r="CZ75"/>
  <c r="CZ91"/>
  <c r="CP34"/>
  <c r="CC42"/>
  <c r="CT34"/>
  <c r="CU34" s="1"/>
  <c r="CS34"/>
  <c r="F67"/>
  <c r="T41"/>
  <c r="T43" s="1"/>
  <c r="F51"/>
  <c r="D41"/>
  <c r="D43" s="1"/>
  <c r="CH219"/>
  <c r="CT42"/>
  <c r="CU42" s="1"/>
  <c r="CS42"/>
  <c r="CP42"/>
  <c r="F62"/>
  <c r="O41"/>
  <c r="O43" s="1"/>
  <c r="CH218"/>
  <c r="CT41"/>
  <c r="CU41" s="1"/>
  <c r="CS41"/>
  <c r="CP41"/>
  <c r="CI203"/>
  <c r="CY92"/>
  <c r="CH223"/>
  <c r="CP50"/>
  <c r="CT50"/>
  <c r="CU50" s="1"/>
  <c r="CS50"/>
  <c r="CO167"/>
  <c r="DN45"/>
  <c r="DN112" s="1"/>
  <c r="F55"/>
  <c r="H41"/>
  <c r="H43" s="1"/>
  <c r="F66"/>
  <c r="S41"/>
  <c r="S43" s="1"/>
  <c r="DM58"/>
  <c r="DM69"/>
  <c r="DM70" s="1"/>
  <c r="CI207"/>
  <c r="CY93"/>
  <c r="CH187"/>
  <c r="CZ97"/>
  <c r="CZ81"/>
  <c r="CP51"/>
  <c r="CT51"/>
  <c r="CU51" s="1"/>
  <c r="CS51"/>
  <c r="DO92"/>
  <c r="DO94" s="1"/>
  <c r="DO82"/>
  <c r="CH195"/>
  <c r="CZ84"/>
  <c r="CZ100"/>
  <c r="CP48"/>
  <c r="CS48"/>
  <c r="CT48"/>
  <c r="CU48" s="1"/>
  <c r="DN80"/>
  <c r="CO170"/>
  <c r="DN43"/>
  <c r="DN89" s="1"/>
  <c r="CK166"/>
  <c r="DN32"/>
  <c r="DN102" s="1"/>
  <c r="DL69"/>
  <c r="DL70" s="1"/>
  <c r="DL58"/>
  <c r="DN39"/>
  <c r="DP106"/>
  <c r="CI191"/>
  <c r="CY91"/>
  <c r="F63"/>
  <c r="P41"/>
  <c r="P43" s="1"/>
  <c r="DL39"/>
  <c r="DL46" s="1"/>
  <c r="DL34"/>
  <c r="CH222"/>
  <c r="CT47"/>
  <c r="CU47" s="1"/>
  <c r="CS47"/>
  <c r="CP47"/>
  <c r="CH196"/>
  <c r="CZ99"/>
  <c r="CZ83"/>
  <c r="CS44"/>
  <c r="CP44"/>
  <c r="CT44"/>
  <c r="CU44" s="1"/>
  <c r="F74"/>
  <c r="AA41"/>
  <c r="AA43" s="1"/>
  <c r="F58"/>
  <c r="K41"/>
  <c r="CO176"/>
  <c r="DN51"/>
  <c r="DO39"/>
  <c r="DO46" s="1"/>
  <c r="DO34"/>
  <c r="DQ58"/>
  <c r="CH188"/>
  <c r="CZ101"/>
  <c r="CZ85"/>
  <c r="CT49"/>
  <c r="CU49" s="1"/>
  <c r="CS49"/>
  <c r="CP49"/>
  <c r="CO179"/>
  <c r="DN87"/>
  <c r="DL80"/>
  <c r="DL82" s="1"/>
  <c r="CO171"/>
  <c r="DN31"/>
  <c r="DN88" s="1"/>
  <c r="CH194"/>
  <c r="CZ96"/>
  <c r="CP53"/>
  <c r="CT53"/>
  <c r="CU53" s="1"/>
  <c r="CZ80"/>
  <c r="CS53"/>
  <c r="F71"/>
  <c r="X41"/>
  <c r="X43" s="1"/>
  <c r="C41"/>
  <c r="F50"/>
  <c r="CI192"/>
  <c r="CY89"/>
  <c r="CH220"/>
  <c r="CS43"/>
  <c r="CT43"/>
  <c r="CU43" s="1"/>
  <c r="CP43"/>
  <c r="DQ116"/>
  <c r="DQ118" s="1"/>
  <c r="DQ94"/>
  <c r="DQ82"/>
  <c r="DP92"/>
  <c r="DP94" s="1"/>
  <c r="DP82"/>
  <c r="CO168"/>
  <c r="DN55"/>
  <c r="DN113" s="1"/>
  <c r="CH214"/>
  <c r="CP38"/>
  <c r="CT38"/>
  <c r="CU38" s="1"/>
  <c r="CS38"/>
  <c r="CH198"/>
  <c r="CZ74"/>
  <c r="CZ90"/>
  <c r="CP33"/>
  <c r="CT33"/>
  <c r="CU33" s="1"/>
  <c r="CS33"/>
  <c r="DO58"/>
  <c r="F64"/>
  <c r="Q41"/>
  <c r="Q43" s="1"/>
  <c r="CH207"/>
  <c r="CZ93"/>
  <c r="CZ77"/>
  <c r="CT32"/>
  <c r="CU32" s="1"/>
  <c r="CS32"/>
  <c r="CP32"/>
  <c r="CH203"/>
  <c r="CZ92"/>
  <c r="CZ76"/>
  <c r="CP28"/>
  <c r="CX52" s="1"/>
  <c r="CT28"/>
  <c r="CS28"/>
  <c r="DO106"/>
  <c r="DO118"/>
  <c r="F75"/>
  <c r="AB41"/>
  <c r="AB43" s="1"/>
  <c r="F59"/>
  <c r="L41"/>
  <c r="L43" s="1"/>
  <c r="CO173"/>
  <c r="DN30"/>
  <c r="DN77" s="1"/>
  <c r="CI196"/>
  <c r="CY99"/>
  <c r="F70"/>
  <c r="W41"/>
  <c r="W43" s="1"/>
  <c r="F54"/>
  <c r="G41"/>
  <c r="G43" s="1"/>
  <c r="DP34"/>
  <c r="DP39"/>
  <c r="DP46" s="1"/>
  <c r="DQ34"/>
  <c r="DL118" l="1"/>
  <c r="DN82"/>
  <c r="DL128" s="1"/>
  <c r="CX51"/>
  <c r="DA127" s="1"/>
  <c r="CW55"/>
  <c r="DA108" s="1"/>
  <c r="CX55"/>
  <c r="DA131" s="1"/>
  <c r="J46"/>
  <c r="G74" s="1"/>
  <c r="CW57"/>
  <c r="DA110" s="1"/>
  <c r="DN106"/>
  <c r="DL130" s="1"/>
  <c r="DL94"/>
  <c r="DA128"/>
  <c r="DA117"/>
  <c r="CZ61"/>
  <c r="CM61"/>
  <c r="CP61" s="1"/>
  <c r="CQ61" s="1"/>
  <c r="CU61" s="1"/>
  <c r="CY61" s="1"/>
  <c r="CY52"/>
  <c r="CN61" s="1"/>
  <c r="F16"/>
  <c r="G16" s="1"/>
  <c r="DB97"/>
  <c r="DC97" s="1"/>
  <c r="DD97" s="1"/>
  <c r="DB95"/>
  <c r="DC95" s="1"/>
  <c r="DD95" s="1"/>
  <c r="DB100"/>
  <c r="DC100" s="1"/>
  <c r="DD100" s="1"/>
  <c r="DB99"/>
  <c r="DC99" s="1"/>
  <c r="DD99" s="1"/>
  <c r="DB96"/>
  <c r="DC96" s="1"/>
  <c r="DD96" s="1"/>
  <c r="DB94"/>
  <c r="DC94" s="1"/>
  <c r="DD94" s="1"/>
  <c r="DB93"/>
  <c r="DC93" s="1"/>
  <c r="DD93" s="1"/>
  <c r="DB92"/>
  <c r="DC92" s="1"/>
  <c r="DD92" s="1"/>
  <c r="DB101"/>
  <c r="DC101" s="1"/>
  <c r="DD101" s="1"/>
  <c r="DB91"/>
  <c r="DC91" s="1"/>
  <c r="DD91" s="1"/>
  <c r="DB90"/>
  <c r="DC90" s="1"/>
  <c r="DD90" s="1"/>
  <c r="DB89"/>
  <c r="DC89" s="1"/>
  <c r="DD89" s="1"/>
  <c r="DB88"/>
  <c r="DC88" s="1"/>
  <c r="DD88" s="1"/>
  <c r="DB87"/>
  <c r="DC87" s="1"/>
  <c r="DD87" s="1"/>
  <c r="DB98"/>
  <c r="DC98" s="1"/>
  <c r="DD98" s="1"/>
  <c r="CW53"/>
  <c r="DA106" s="1"/>
  <c r="CX56"/>
  <c r="CX57"/>
  <c r="DN34"/>
  <c r="DL124" s="1"/>
  <c r="CX58"/>
  <c r="C43"/>
  <c r="DN116"/>
  <c r="DN118" s="1"/>
  <c r="DN94"/>
  <c r="DL129" s="1"/>
  <c r="K43"/>
  <c r="DN46"/>
  <c r="CW54"/>
  <c r="DA107" s="1"/>
  <c r="DA129"/>
  <c r="DA118"/>
  <c r="CM60"/>
  <c r="CP60" s="1"/>
  <c r="CQ60" s="1"/>
  <c r="CU62" s="1"/>
  <c r="CY62" s="1"/>
  <c r="CZ62"/>
  <c r="CY53"/>
  <c r="CN60" s="1"/>
  <c r="F17"/>
  <c r="CW51"/>
  <c r="DA104" s="1"/>
  <c r="CU28"/>
  <c r="CW52" s="1"/>
  <c r="DA105" s="1"/>
  <c r="CW56"/>
  <c r="DA109" s="1"/>
  <c r="F46"/>
  <c r="DN69"/>
  <c r="DN70" s="1"/>
  <c r="DN58"/>
  <c r="DN60" s="1"/>
  <c r="DN126" s="1"/>
  <c r="CW58"/>
  <c r="DA111" s="1"/>
  <c r="CX54"/>
  <c r="DB82"/>
  <c r="DC82" s="1"/>
  <c r="DD82" s="1"/>
  <c r="DB78"/>
  <c r="DC78" s="1"/>
  <c r="DD78" s="1"/>
  <c r="DB76"/>
  <c r="DC76" s="1"/>
  <c r="DD76" s="1"/>
  <c r="DB74"/>
  <c r="DC74" s="1"/>
  <c r="DD74" s="1"/>
  <c r="DB85"/>
  <c r="DC85" s="1"/>
  <c r="DD85" s="1"/>
  <c r="DB83"/>
  <c r="DC83" s="1"/>
  <c r="DD83" s="1"/>
  <c r="DB79"/>
  <c r="DC79" s="1"/>
  <c r="DD79" s="1"/>
  <c r="DB75"/>
  <c r="DC75" s="1"/>
  <c r="DD75" s="1"/>
  <c r="DB80"/>
  <c r="DC80" s="1"/>
  <c r="DD80" s="1"/>
  <c r="DB71"/>
  <c r="DC71" s="1"/>
  <c r="DD71" s="1"/>
  <c r="DB84"/>
  <c r="DC84" s="1"/>
  <c r="DD84" s="1"/>
  <c r="DB77"/>
  <c r="DC77" s="1"/>
  <c r="DD77" s="1"/>
  <c r="DB73"/>
  <c r="DC73" s="1"/>
  <c r="DD73" s="1"/>
  <c r="DB81"/>
  <c r="DC81" s="1"/>
  <c r="DD81" s="1"/>
  <c r="DB72"/>
  <c r="DC72" s="1"/>
  <c r="DD72" s="1"/>
  <c r="G73" l="1"/>
  <c r="H47"/>
  <c r="H46" s="1"/>
  <c r="CY51"/>
  <c r="CN63" s="1"/>
  <c r="DN83"/>
  <c r="DM128" s="1"/>
  <c r="CM63"/>
  <c r="CP63" s="1"/>
  <c r="CQ63" s="1"/>
  <c r="CU60" s="1"/>
  <c r="CY60" s="1"/>
  <c r="DA116"/>
  <c r="I47"/>
  <c r="I46" s="1"/>
  <c r="DN84"/>
  <c r="DN128" s="1"/>
  <c r="CZ60"/>
  <c r="F15"/>
  <c r="G15" s="1"/>
  <c r="DN107"/>
  <c r="DM130" s="1"/>
  <c r="CM62"/>
  <c r="CP62" s="1"/>
  <c r="CQ62" s="1"/>
  <c r="CU64" s="1"/>
  <c r="CY64" s="1"/>
  <c r="DN108"/>
  <c r="DN130" s="1"/>
  <c r="CZ64"/>
  <c r="CY55"/>
  <c r="CN62" s="1"/>
  <c r="DA120"/>
  <c r="DN35"/>
  <c r="DM124" s="1"/>
  <c r="F22"/>
  <c r="G22" s="1"/>
  <c r="H63"/>
  <c r="D47"/>
  <c r="D46" s="1"/>
  <c r="G77" s="1"/>
  <c r="AP33"/>
  <c r="G71"/>
  <c r="G47"/>
  <c r="G46" s="1"/>
  <c r="H72" s="1"/>
  <c r="H53"/>
  <c r="G72"/>
  <c r="H69"/>
  <c r="DL131"/>
  <c r="DN119"/>
  <c r="DM131" s="1"/>
  <c r="DN120"/>
  <c r="DN131" s="1"/>
  <c r="G17"/>
  <c r="DN36"/>
  <c r="DN124" s="1"/>
  <c r="DL126"/>
  <c r="DN59"/>
  <c r="DM126" s="1"/>
  <c r="DL125"/>
  <c r="DN48"/>
  <c r="DN125" s="1"/>
  <c r="DN47"/>
  <c r="DM125" s="1"/>
  <c r="E47"/>
  <c r="E46" s="1"/>
  <c r="DL127"/>
  <c r="DN71"/>
  <c r="DM127" s="1"/>
  <c r="DN72"/>
  <c r="DN127" s="1"/>
  <c r="DN96"/>
  <c r="DN129" s="1"/>
  <c r="K47"/>
  <c r="K46" s="1"/>
  <c r="DA122"/>
  <c r="DA133"/>
  <c r="CZ66"/>
  <c r="CY57"/>
  <c r="CN67" s="1"/>
  <c r="CM67"/>
  <c r="CP67" s="1"/>
  <c r="CQ67" s="1"/>
  <c r="CU66" s="1"/>
  <c r="CY66" s="1"/>
  <c r="F21"/>
  <c r="DN95"/>
  <c r="DM129" s="1"/>
  <c r="DA119"/>
  <c r="DA130"/>
  <c r="CM65"/>
  <c r="CP65" s="1"/>
  <c r="CQ65" s="1"/>
  <c r="CU63" s="1"/>
  <c r="CY63" s="1"/>
  <c r="CZ63"/>
  <c r="CY54"/>
  <c r="CN65" s="1"/>
  <c r="F18"/>
  <c r="G18" s="1"/>
  <c r="G65"/>
  <c r="G70"/>
  <c r="G68"/>
  <c r="G67"/>
  <c r="AP31"/>
  <c r="H61"/>
  <c r="G66"/>
  <c r="G69"/>
  <c r="DC110"/>
  <c r="DC107"/>
  <c r="DC106"/>
  <c r="DC105"/>
  <c r="DC104"/>
  <c r="DC108"/>
  <c r="DC109"/>
  <c r="DC111"/>
  <c r="DA134"/>
  <c r="DA123"/>
  <c r="CM64"/>
  <c r="CP64" s="1"/>
  <c r="CQ64" s="1"/>
  <c r="CU67" s="1"/>
  <c r="CY67" s="1"/>
  <c r="CY58"/>
  <c r="CN64" s="1"/>
  <c r="CZ67"/>
  <c r="F19"/>
  <c r="G19" s="1"/>
  <c r="DA132"/>
  <c r="DA121"/>
  <c r="CM66"/>
  <c r="CP66" s="1"/>
  <c r="CQ66" s="1"/>
  <c r="CU65" s="1"/>
  <c r="CY65" s="1"/>
  <c r="CZ65"/>
  <c r="CY56"/>
  <c r="CN66" s="1"/>
  <c r="F20"/>
  <c r="G20" s="1"/>
  <c r="E15" l="1"/>
  <c r="H54"/>
  <c r="H64"/>
  <c r="G75"/>
  <c r="G76"/>
  <c r="AP36"/>
  <c r="H74"/>
  <c r="I74" s="1"/>
  <c r="H70"/>
  <c r="I70" s="1"/>
  <c r="I69"/>
  <c r="I72"/>
  <c r="H60"/>
  <c r="H76"/>
  <c r="G57"/>
  <c r="H55"/>
  <c r="AP35"/>
  <c r="H67"/>
  <c r="I67" s="1"/>
  <c r="H51"/>
  <c r="DC127"/>
  <c r="DD127" s="1"/>
  <c r="DE127" s="1"/>
  <c r="DC132"/>
  <c r="DD132" s="1"/>
  <c r="DE132" s="1"/>
  <c r="DC120"/>
  <c r="DD120" s="1"/>
  <c r="DE120" s="1"/>
  <c r="CB35" s="1"/>
  <c r="DC134"/>
  <c r="DD134" s="1"/>
  <c r="DE134" s="1"/>
  <c r="E17"/>
  <c r="DC119"/>
  <c r="DD119" s="1"/>
  <c r="DE119" s="1"/>
  <c r="CB34" s="1"/>
  <c r="Q46"/>
  <c r="DC121"/>
  <c r="DD121" s="1"/>
  <c r="DE121" s="1"/>
  <c r="CB36" s="1"/>
  <c r="DD110"/>
  <c r="DE110" s="1"/>
  <c r="G10" s="1"/>
  <c r="G11"/>
  <c r="H77"/>
  <c r="I77" s="1"/>
  <c r="H68"/>
  <c r="I68" s="1"/>
  <c r="H62"/>
  <c r="H73"/>
  <c r="I73" s="1"/>
  <c r="H57"/>
  <c r="H52"/>
  <c r="AP37"/>
  <c r="H56"/>
  <c r="DC129"/>
  <c r="DD129" s="1"/>
  <c r="DE129" s="1"/>
  <c r="DC131"/>
  <c r="DD131" s="1"/>
  <c r="DE131" s="1"/>
  <c r="DD111"/>
  <c r="DE111" s="1"/>
  <c r="H10" s="1"/>
  <c r="H11"/>
  <c r="DD105"/>
  <c r="DE105" s="1"/>
  <c r="B10" s="1"/>
  <c r="B11"/>
  <c r="E21"/>
  <c r="G21"/>
  <c r="DC117"/>
  <c r="DC122"/>
  <c r="DD104"/>
  <c r="DE104" s="1"/>
  <c r="A10" s="1"/>
  <c r="A11"/>
  <c r="DC130"/>
  <c r="DD130" s="1"/>
  <c r="DE130" s="1"/>
  <c r="DC128"/>
  <c r="DD128" s="1"/>
  <c r="DE128" s="1"/>
  <c r="Q47"/>
  <c r="DD109"/>
  <c r="DE109" s="1"/>
  <c r="F10" s="1"/>
  <c r="F11"/>
  <c r="DD106"/>
  <c r="DE106" s="1"/>
  <c r="C10" s="1"/>
  <c r="C11"/>
  <c r="H75"/>
  <c r="H71"/>
  <c r="I71" s="1"/>
  <c r="H59"/>
  <c r="G56"/>
  <c r="G55"/>
  <c r="H66"/>
  <c r="I66" s="1"/>
  <c r="H50"/>
  <c r="AP34"/>
  <c r="DC118"/>
  <c r="DC123"/>
  <c r="DC133"/>
  <c r="DD133" s="1"/>
  <c r="DE133" s="1"/>
  <c r="DD108"/>
  <c r="DE108" s="1"/>
  <c r="E10" s="1"/>
  <c r="E11"/>
  <c r="DD107"/>
  <c r="DE107" s="1"/>
  <c r="D10" s="1"/>
  <c r="D11"/>
  <c r="G54"/>
  <c r="H65"/>
  <c r="G51"/>
  <c r="G50"/>
  <c r="G52"/>
  <c r="AP32"/>
  <c r="H58"/>
  <c r="G53"/>
  <c r="I53" s="1"/>
  <c r="G61"/>
  <c r="I61" s="1"/>
  <c r="G60"/>
  <c r="G58"/>
  <c r="G64"/>
  <c r="G62"/>
  <c r="G59"/>
  <c r="G63"/>
  <c r="I63" s="1"/>
  <c r="AP30"/>
  <c r="DC116"/>
  <c r="I65" l="1"/>
  <c r="E65" s="1"/>
  <c r="E53"/>
  <c r="I54"/>
  <c r="E54" s="1"/>
  <c r="I64"/>
  <c r="E64" s="1"/>
  <c r="I58"/>
  <c r="E58" s="1"/>
  <c r="I75"/>
  <c r="E75" s="1"/>
  <c r="I51"/>
  <c r="I76"/>
  <c r="E76" s="1"/>
  <c r="I57"/>
  <c r="E57" s="1"/>
  <c r="E69"/>
  <c r="E72"/>
  <c r="CC35"/>
  <c r="CC34"/>
  <c r="I56"/>
  <c r="E56" s="1"/>
  <c r="I60"/>
  <c r="E60" s="1"/>
  <c r="E77"/>
  <c r="I50"/>
  <c r="I55"/>
  <c r="E55" s="1"/>
  <c r="CC36"/>
  <c r="I52"/>
  <c r="E63"/>
  <c r="E70"/>
  <c r="E66"/>
  <c r="E71"/>
  <c r="E74"/>
  <c r="E67"/>
  <c r="E61"/>
  <c r="E68"/>
  <c r="E73"/>
  <c r="DD123"/>
  <c r="DE123" s="1"/>
  <c r="CB38" s="1"/>
  <c r="CC38"/>
  <c r="I59"/>
  <c r="E59" s="1"/>
  <c r="DD118"/>
  <c r="DE118" s="1"/>
  <c r="CB33" s="1"/>
  <c r="CC33"/>
  <c r="DD116"/>
  <c r="DE116" s="1"/>
  <c r="CB31" s="1"/>
  <c r="CC31"/>
  <c r="I62"/>
  <c r="E62" s="1"/>
  <c r="DD122"/>
  <c r="DE122" s="1"/>
  <c r="CB37" s="1"/>
  <c r="CC37"/>
  <c r="DD117"/>
  <c r="DE117" s="1"/>
  <c r="CB32" s="1"/>
  <c r="CC32"/>
  <c r="E50" l="1"/>
  <c r="E52"/>
  <c r="E51"/>
</calcChain>
</file>

<file path=xl/sharedStrings.xml><?xml version="1.0" encoding="utf-8"?>
<sst xmlns="http://schemas.openxmlformats.org/spreadsheetml/2006/main" count="874" uniqueCount="340">
  <si>
    <t xml:space="preserve">Currencies </t>
  </si>
  <si>
    <t>Index</t>
  </si>
  <si>
    <t>Mmt</t>
  </si>
  <si>
    <t>EUR</t>
  </si>
  <si>
    <t xml:space="preserve">Euro </t>
  </si>
  <si>
    <t>GBP</t>
  </si>
  <si>
    <t>British Pound</t>
  </si>
  <si>
    <t>AUD</t>
  </si>
  <si>
    <t>Australian Dollar</t>
  </si>
  <si>
    <t>NZD</t>
  </si>
  <si>
    <t>New Zealand Dollar</t>
  </si>
  <si>
    <t>JPY</t>
  </si>
  <si>
    <t>Yen</t>
  </si>
  <si>
    <t>CHF</t>
  </si>
  <si>
    <t>Swiss Franc</t>
  </si>
  <si>
    <t>USD</t>
  </si>
  <si>
    <t>US Dollar</t>
  </si>
  <si>
    <t>CAD</t>
  </si>
  <si>
    <t>Canadian Dollar</t>
  </si>
  <si>
    <t>Broker Time</t>
  </si>
  <si>
    <t>Currencies</t>
  </si>
  <si>
    <t>High</t>
  </si>
  <si>
    <t>Low</t>
  </si>
  <si>
    <t>Bid</t>
  </si>
  <si>
    <t>Ask</t>
  </si>
  <si>
    <t>Buyer</t>
  </si>
  <si>
    <t>Seller</t>
  </si>
  <si>
    <t>100%-buyer</t>
  </si>
  <si>
    <t>Spread</t>
  </si>
  <si>
    <t>left</t>
  </si>
  <si>
    <t>right</t>
  </si>
  <si>
    <t>MN1</t>
  </si>
  <si>
    <t>W1</t>
  </si>
  <si>
    <t>D1</t>
  </si>
  <si>
    <t>Hi2Lo</t>
  </si>
  <si>
    <t>pip2hi</t>
  </si>
  <si>
    <t>pip2lo</t>
  </si>
  <si>
    <t>EURGBP</t>
  </si>
  <si>
    <t>BUYER</t>
  </si>
  <si>
    <t>EURAUD</t>
  </si>
  <si>
    <t>EURNZD</t>
  </si>
  <si>
    <t>Pair</t>
  </si>
  <si>
    <t>AUDCAD</t>
  </si>
  <si>
    <t>AUDCHF</t>
  </si>
  <si>
    <t>AUDJPY</t>
  </si>
  <si>
    <t>AUDNZD</t>
  </si>
  <si>
    <t>AUDUSD</t>
  </si>
  <si>
    <t>CADCHF</t>
  </si>
  <si>
    <t>CADJPY</t>
  </si>
  <si>
    <t>CHFJPY</t>
  </si>
  <si>
    <t>EURCAD</t>
  </si>
  <si>
    <t>EURCHF</t>
  </si>
  <si>
    <t>EURJPY</t>
  </si>
  <si>
    <t>EURUSD</t>
  </si>
  <si>
    <t>GBPAUD</t>
  </si>
  <si>
    <t>GBPCAD</t>
  </si>
  <si>
    <t>GBPCHF</t>
  </si>
  <si>
    <t>GBPJPY</t>
  </si>
  <si>
    <t>GBPNZD</t>
  </si>
  <si>
    <t>GBPUSD</t>
  </si>
  <si>
    <t>NZDCAD</t>
  </si>
  <si>
    <t>NZDCHF</t>
  </si>
  <si>
    <t>NZDJPY</t>
  </si>
  <si>
    <t>NZDUSD</t>
  </si>
  <si>
    <t>USDCAD</t>
  </si>
  <si>
    <t>USDCHF</t>
  </si>
  <si>
    <t>USDJPY</t>
  </si>
  <si>
    <t>HI</t>
  </si>
  <si>
    <t>LO</t>
  </si>
  <si>
    <t>Point Range</t>
  </si>
  <si>
    <t>Bid Ratio</t>
  </si>
  <si>
    <t>Relative</t>
  </si>
  <si>
    <t>Strength</t>
  </si>
  <si>
    <t>Total Strength</t>
  </si>
  <si>
    <t>Strong</t>
  </si>
  <si>
    <t>Limits</t>
  </si>
  <si>
    <t>Rising</t>
  </si>
  <si>
    <t>BUY</t>
  </si>
  <si>
    <t># of evaluation points</t>
  </si>
  <si>
    <t>Neutral</t>
  </si>
  <si>
    <t>SELL</t>
  </si>
  <si>
    <t>Weak</t>
  </si>
  <si>
    <t>Group</t>
  </si>
  <si>
    <t>Signal</t>
  </si>
  <si>
    <t>BidRatio</t>
  </si>
  <si>
    <t>Buy</t>
  </si>
  <si>
    <t>Sell</t>
  </si>
  <si>
    <t>δ</t>
  </si>
  <si>
    <t>strg</t>
  </si>
  <si>
    <t>mmt</t>
  </si>
  <si>
    <t>XAUUSD</t>
  </si>
  <si>
    <t>index</t>
  </si>
  <si>
    <t>Currencies Index</t>
  </si>
  <si>
    <t>ZAR</t>
  </si>
  <si>
    <t>6A</t>
  </si>
  <si>
    <t>6A_CONT'</t>
  </si>
  <si>
    <t>EURx</t>
  </si>
  <si>
    <t>6B</t>
  </si>
  <si>
    <t>6B_CONT'</t>
  </si>
  <si>
    <t>GBPx</t>
  </si>
  <si>
    <t>6C</t>
  </si>
  <si>
    <t>6C_CONT'</t>
  </si>
  <si>
    <t>AUDx</t>
  </si>
  <si>
    <t>Euro FX Currencies</t>
  </si>
  <si>
    <t>6E</t>
  </si>
  <si>
    <t>6E_CONT'</t>
  </si>
  <si>
    <t>NZDx</t>
  </si>
  <si>
    <t>Japanese Yen</t>
  </si>
  <si>
    <t>6J</t>
  </si>
  <si>
    <t>6J_CONT'</t>
  </si>
  <si>
    <t>CADx</t>
  </si>
  <si>
    <t>6N</t>
  </si>
  <si>
    <t>6N_CONT'</t>
  </si>
  <si>
    <t>CHFx</t>
  </si>
  <si>
    <t>6S</t>
  </si>
  <si>
    <t>6S_CONT'</t>
  </si>
  <si>
    <t>USDx</t>
  </si>
  <si>
    <t>NYBOT US Dollar Index</t>
  </si>
  <si>
    <t>DX</t>
  </si>
  <si>
    <t>DX_CONT</t>
  </si>
  <si>
    <t>JPYx</t>
  </si>
  <si>
    <t>South Africa Rand</t>
  </si>
  <si>
    <t>6Z</t>
  </si>
  <si>
    <t>6Z_CONT</t>
  </si>
  <si>
    <t>ZARx</t>
  </si>
  <si>
    <t>stock indices</t>
  </si>
  <si>
    <t>Indices</t>
  </si>
  <si>
    <t>pair</t>
  </si>
  <si>
    <t>large</t>
  </si>
  <si>
    <t>match</t>
  </si>
  <si>
    <t>vlookup</t>
  </si>
  <si>
    <t>GJ</t>
  </si>
  <si>
    <t>USA</t>
  </si>
  <si>
    <t>E-mini S&amp;P 500</t>
  </si>
  <si>
    <t>ES</t>
  </si>
  <si>
    <t>ES_CONT</t>
  </si>
  <si>
    <t>GU</t>
  </si>
  <si>
    <t>E-mini NASDAQ-100</t>
  </si>
  <si>
    <t>NQ</t>
  </si>
  <si>
    <t>NQ_CONT</t>
  </si>
  <si>
    <t>UJ</t>
  </si>
  <si>
    <t>Dow Jones 5$ mini</t>
  </si>
  <si>
    <t>YM</t>
  </si>
  <si>
    <t>YM_CONT</t>
  </si>
  <si>
    <t>EU</t>
  </si>
  <si>
    <t>Russell 2000 Mini Index</t>
  </si>
  <si>
    <t>ER2</t>
  </si>
  <si>
    <t>ER2_CONT</t>
  </si>
  <si>
    <t>EJ</t>
  </si>
  <si>
    <t>FTSE 100 Index</t>
  </si>
  <si>
    <t>FTSE</t>
  </si>
  <si>
    <t>EG</t>
  </si>
  <si>
    <t>EUROPE</t>
  </si>
  <si>
    <t>MidCap MDAX</t>
  </si>
  <si>
    <t>MDAX</t>
  </si>
  <si>
    <t>EChf</t>
  </si>
  <si>
    <t>EUR DAX® Index</t>
  </si>
  <si>
    <t>FDAX</t>
  </si>
  <si>
    <t>D.J. EURO STOXX 50 Index (FESX)</t>
  </si>
  <si>
    <t>FESX</t>
  </si>
  <si>
    <t>UChf</t>
  </si>
  <si>
    <t>CAC</t>
  </si>
  <si>
    <t>ChfJ</t>
  </si>
  <si>
    <t>CAC 40 Index</t>
  </si>
  <si>
    <t>FCE</t>
  </si>
  <si>
    <t>FCE_CONT</t>
  </si>
  <si>
    <t>SMI</t>
  </si>
  <si>
    <t>UCad</t>
  </si>
  <si>
    <t>FSMI</t>
  </si>
  <si>
    <t>AEX Index</t>
  </si>
  <si>
    <t>AEX</t>
  </si>
  <si>
    <t>CadJ</t>
  </si>
  <si>
    <t>E-mini MSCI EAFE</t>
  </si>
  <si>
    <t>EFE</t>
  </si>
  <si>
    <t>AJ</t>
  </si>
  <si>
    <t>EUR-Mini</t>
  </si>
  <si>
    <t>AU</t>
  </si>
  <si>
    <t>NU</t>
  </si>
  <si>
    <t>Swiss Market Index</t>
  </si>
  <si>
    <t>NJ</t>
  </si>
  <si>
    <t>DAX 30</t>
  </si>
  <si>
    <t>DAX30</t>
  </si>
  <si>
    <t>STOXX® Europe 50 Index (FSTX)</t>
  </si>
  <si>
    <t>FSTX</t>
  </si>
  <si>
    <t xml:space="preserve">CHF </t>
  </si>
  <si>
    <t>Portugal PSI</t>
  </si>
  <si>
    <t>PSI</t>
  </si>
  <si>
    <t>IBEX-35 Index</t>
  </si>
  <si>
    <t>IBX</t>
  </si>
  <si>
    <t>E-mini S&amp;P MidCap 400</t>
  </si>
  <si>
    <t>MC</t>
  </si>
  <si>
    <t>Futures on FTSE MIB</t>
  </si>
  <si>
    <t>SPMIB</t>
  </si>
  <si>
    <t>Nikkei 225 Stock Average (OSE)</t>
  </si>
  <si>
    <t>NI</t>
  </si>
  <si>
    <t>Nikkei 225 mini (OSE)</t>
  </si>
  <si>
    <t>NI_M</t>
  </si>
  <si>
    <t>Nikkei 225 Stock Average (CME)</t>
  </si>
  <si>
    <t>NKD</t>
  </si>
  <si>
    <t>ASIAN</t>
  </si>
  <si>
    <t>Hang Seng Index</t>
  </si>
  <si>
    <t>HSI</t>
  </si>
  <si>
    <t>Mini Hang Seng</t>
  </si>
  <si>
    <t>MHI</t>
  </si>
  <si>
    <t>Singapore Straits Times Index</t>
  </si>
  <si>
    <t>STI</t>
  </si>
  <si>
    <t>Russian RTS Index</t>
  </si>
  <si>
    <t>RTS</t>
  </si>
  <si>
    <t>commodities</t>
  </si>
  <si>
    <t>Energies</t>
  </si>
  <si>
    <t>Crude Oil Brent CRD</t>
  </si>
  <si>
    <t>BRN</t>
  </si>
  <si>
    <t>2 to 24</t>
  </si>
  <si>
    <t>BRN_CONT</t>
  </si>
  <si>
    <t>Meter Strength</t>
  </si>
  <si>
    <t>Crude Oil, Light Sweet</t>
  </si>
  <si>
    <t>CL</t>
  </si>
  <si>
    <t>cont</t>
  </si>
  <si>
    <t>CL_CONT</t>
  </si>
  <si>
    <t>Gas Oil</t>
  </si>
  <si>
    <t>GAS</t>
  </si>
  <si>
    <t>7 to20</t>
  </si>
  <si>
    <t>GAS_CONT</t>
  </si>
  <si>
    <t>Heating Oil</t>
  </si>
  <si>
    <t>HO</t>
  </si>
  <si>
    <t>HO_CONT</t>
  </si>
  <si>
    <t>Henry Hub Natural Gas</t>
  </si>
  <si>
    <t>NG</t>
  </si>
  <si>
    <t>NG_CONT</t>
  </si>
  <si>
    <t>E-mini Natural Gas</t>
  </si>
  <si>
    <t>QG</t>
  </si>
  <si>
    <t>QG_CONT</t>
  </si>
  <si>
    <t>E-mini Crude Oil</t>
  </si>
  <si>
    <t>QM</t>
  </si>
  <si>
    <t>QM_CONT</t>
  </si>
  <si>
    <t>WTI Light Sweet Crude Oil(WBS)</t>
  </si>
  <si>
    <t>WTI</t>
  </si>
  <si>
    <t>1 to 23</t>
  </si>
  <si>
    <t>WTI_CONT</t>
  </si>
  <si>
    <t>RBOB Gasoline</t>
  </si>
  <si>
    <t>XRB</t>
  </si>
  <si>
    <t>XRB_CONT</t>
  </si>
  <si>
    <t>GC</t>
  </si>
  <si>
    <t xml:space="preserve"> Metals</t>
  </si>
  <si>
    <t>HG</t>
  </si>
  <si>
    <t>COMEX Gold 100 Oz.</t>
  </si>
  <si>
    <t>PA</t>
  </si>
  <si>
    <t>COMEX Copper, High Grade(HG)</t>
  </si>
  <si>
    <t>PL</t>
  </si>
  <si>
    <t>Momentum</t>
  </si>
  <si>
    <t>Nymex - Palladium</t>
  </si>
  <si>
    <t>SI</t>
  </si>
  <si>
    <t>Nymex — Platinum</t>
  </si>
  <si>
    <t>XAG</t>
  </si>
  <si>
    <t>COMEX Silver, 5000 Oz.</t>
  </si>
  <si>
    <t>XAU</t>
  </si>
  <si>
    <t>spot silver</t>
  </si>
  <si>
    <t>ZC</t>
  </si>
  <si>
    <t>spot gold</t>
  </si>
  <si>
    <t>ZL</t>
  </si>
  <si>
    <t>Aluminium</t>
  </si>
  <si>
    <t>Alum</t>
  </si>
  <si>
    <t>ALUMx0</t>
  </si>
  <si>
    <t>ZM</t>
  </si>
  <si>
    <t>Lead</t>
  </si>
  <si>
    <t>LEAD</t>
  </si>
  <si>
    <t>LEADx0</t>
  </si>
  <si>
    <t>ZO</t>
  </si>
  <si>
    <t xml:space="preserve">Nickel </t>
  </si>
  <si>
    <t>NICK</t>
  </si>
  <si>
    <t>NICKx0</t>
  </si>
  <si>
    <t>ZR</t>
  </si>
  <si>
    <t>Zink</t>
  </si>
  <si>
    <t>ZINC</t>
  </si>
  <si>
    <t>ZINCx0</t>
  </si>
  <si>
    <t>ZS</t>
  </si>
  <si>
    <t>ZW</t>
  </si>
  <si>
    <t>Agriculture</t>
  </si>
  <si>
    <t>CC</t>
  </si>
  <si>
    <t>Corn</t>
  </si>
  <si>
    <t>C</t>
  </si>
  <si>
    <t>Soybean Oil</t>
  </si>
  <si>
    <t>CT</t>
  </si>
  <si>
    <t>Soybean Meal</t>
  </si>
  <si>
    <t>JO</t>
  </si>
  <si>
    <t>Oats</t>
  </si>
  <si>
    <t>KC</t>
  </si>
  <si>
    <t>Rough Rice</t>
  </si>
  <si>
    <t>RCE</t>
  </si>
  <si>
    <t>Soybeans</t>
  </si>
  <si>
    <t>SB</t>
  </si>
  <si>
    <t>Wheat</t>
  </si>
  <si>
    <t>W</t>
  </si>
  <si>
    <t>GF</t>
  </si>
  <si>
    <t>Softs</t>
  </si>
  <si>
    <t>GPB</t>
  </si>
  <si>
    <t>NYBOT Cocoa(CC)</t>
  </si>
  <si>
    <t>HE</t>
  </si>
  <si>
    <t>Cocoa</t>
  </si>
  <si>
    <t>LE</t>
  </si>
  <si>
    <t>NYBOT Cotton No. 2</t>
  </si>
  <si>
    <t>NYBOT Orange Juice(OJ)</t>
  </si>
  <si>
    <t>NYBOT Coffee</t>
  </si>
  <si>
    <t>Robusta Coffee (10T) Series 409</t>
  </si>
  <si>
    <t>NYBOT Sugar No. 11</t>
  </si>
  <si>
    <t>White Sugar (No. 5)</t>
  </si>
  <si>
    <t>bond</t>
  </si>
  <si>
    <t>Financials</t>
  </si>
  <si>
    <t>Euro-bund, German Government</t>
  </si>
  <si>
    <t>FGBL</t>
  </si>
  <si>
    <t>Euro BOBL</t>
  </si>
  <si>
    <t>FGBM</t>
  </si>
  <si>
    <t>Euro Schatz</t>
  </si>
  <si>
    <t>FGBS</t>
  </si>
  <si>
    <t>Eurodollar</t>
  </si>
  <si>
    <t>GE</t>
  </si>
  <si>
    <t>Gilt Long</t>
  </si>
  <si>
    <t>GLONG</t>
  </si>
  <si>
    <t>30-year US T-Bond</t>
  </si>
  <si>
    <t>ZB</t>
  </si>
  <si>
    <t>10 Year US T-Notes Composite</t>
  </si>
  <si>
    <t>ZN</t>
  </si>
  <si>
    <t>Commodity Research Bureau Index</t>
  </si>
  <si>
    <t>CRB-Index</t>
  </si>
  <si>
    <t>CRBx</t>
  </si>
  <si>
    <t>Continous Commodity Index</t>
  </si>
  <si>
    <t>CCI-Index</t>
  </si>
  <si>
    <t>CCIx</t>
  </si>
  <si>
    <t>VIX</t>
  </si>
  <si>
    <t>VIX_CONT</t>
  </si>
  <si>
    <t>GOLD</t>
  </si>
  <si>
    <t>buy-buy-BUY</t>
  </si>
  <si>
    <t>OIL</t>
  </si>
  <si>
    <t>sell-sell-SELL</t>
  </si>
  <si>
    <t>buy-sell-BUY</t>
  </si>
  <si>
    <t>sell-buy-SELL</t>
  </si>
  <si>
    <t>sell-buy-BUY</t>
  </si>
  <si>
    <t>buy-sell-SELL</t>
  </si>
  <si>
    <t>SELLER</t>
  </si>
  <si>
    <t>PAIR</t>
  </si>
</sst>
</file>

<file path=xl/styles.xml><?xml version="1.0" encoding="utf-8"?>
<styleSheet xmlns="http://schemas.openxmlformats.org/spreadsheetml/2006/main">
  <numFmts count="16">
    <numFmt numFmtId="164" formatCode="_-* #,##0.00_-;\-* #,##0.00_-;_-* &quot;-&quot;??_-;_-@_-"/>
    <numFmt numFmtId="165" formatCode="h:mm:ss;@"/>
    <numFmt numFmtId="166" formatCode="0.000000000000"/>
    <numFmt numFmtId="167" formatCode="0.00000"/>
    <numFmt numFmtId="168" formatCode="0.000"/>
    <numFmt numFmtId="169" formatCode="0.0"/>
    <numFmt numFmtId="170" formatCode="_(* #,##0.0_);_(* \(#,##0.0\);_(* &quot;-&quot;??_);_(@_)"/>
    <numFmt numFmtId="171" formatCode="0.000000000000%"/>
    <numFmt numFmtId="172" formatCode="0.0000000"/>
    <numFmt numFmtId="173" formatCode="0.00000000"/>
    <numFmt numFmtId="174" formatCode="0.000000"/>
    <numFmt numFmtId="175" formatCode="0.000000000"/>
    <numFmt numFmtId="176" formatCode="0.0000000000"/>
    <numFmt numFmtId="177" formatCode="0.00000000000"/>
    <numFmt numFmtId="178" formatCode="0.0000000000000"/>
    <numFmt numFmtId="179" formatCode="0.00000000000000"/>
  </numFmts>
  <fonts count="2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name val="Arial"/>
      <family val="2"/>
    </font>
    <font>
      <b/>
      <sz val="14"/>
      <name val="Arial"/>
      <family val="2"/>
    </font>
    <font>
      <b/>
      <sz val="11"/>
      <name val="Arial"/>
      <family val="2"/>
    </font>
    <font>
      <b/>
      <sz val="12"/>
      <color indexed="9"/>
      <name val="Arial"/>
      <family val="2"/>
    </font>
    <font>
      <sz val="10"/>
      <color indexed="42"/>
      <name val="Tahoma"/>
      <family val="2"/>
    </font>
    <font>
      <b/>
      <sz val="16"/>
      <color indexed="9"/>
      <name val="Tahoma"/>
      <family val="2"/>
    </font>
    <font>
      <b/>
      <sz val="14"/>
      <color indexed="9"/>
      <name val="Arial"/>
      <family val="2"/>
    </font>
    <font>
      <sz val="16"/>
      <color indexed="9"/>
      <name val="Tahoma"/>
      <family val="2"/>
    </font>
    <font>
      <sz val="14"/>
      <color indexed="9"/>
      <name val="Arial"/>
      <family val="2"/>
    </font>
    <font>
      <b/>
      <sz val="12"/>
      <name val="Arial"/>
      <family val="2"/>
    </font>
    <font>
      <sz val="9"/>
      <color theme="1"/>
      <name val="Tahoma"/>
      <family val="2"/>
    </font>
    <font>
      <b/>
      <sz val="10"/>
      <color indexed="10"/>
      <name val="Arial"/>
      <family val="2"/>
    </font>
    <font>
      <b/>
      <sz val="10"/>
      <color indexed="62"/>
      <name val="Arial"/>
      <family val="2"/>
    </font>
    <font>
      <sz val="10"/>
      <color theme="9" tint="0.3999755851924192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indexed="10"/>
      <name val="Arial"/>
      <family val="2"/>
    </font>
    <font>
      <b/>
      <i/>
      <sz val="10"/>
      <name val="Arial"/>
      <family val="2"/>
    </font>
    <font>
      <b/>
      <i/>
      <sz val="12"/>
      <name val="Arial"/>
      <family val="2"/>
    </font>
    <font>
      <sz val="10"/>
      <color theme="1" tint="4.9989318521683403E-2"/>
      <name val="Arial"/>
      <family val="2"/>
    </font>
    <font>
      <sz val="12"/>
      <name val="Arial"/>
      <family val="2"/>
    </font>
    <font>
      <b/>
      <sz val="12"/>
      <color theme="1"/>
      <name val="Arial"/>
      <family val="2"/>
    </font>
    <font>
      <i/>
      <sz val="10"/>
      <name val="Arial"/>
      <family val="2"/>
    </font>
    <font>
      <b/>
      <sz val="10"/>
      <color theme="1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0000"/>
        <bgColor indexed="64"/>
      </patternFill>
    </fill>
  </fills>
  <borders count="59">
    <border>
      <left/>
      <right/>
      <top/>
      <bottom/>
      <diagonal/>
    </border>
    <border>
      <left style="thin">
        <color indexed="36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36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36"/>
      </left>
      <right/>
      <top style="thin">
        <color indexed="36"/>
      </top>
      <bottom/>
      <diagonal/>
    </border>
    <border>
      <left/>
      <right/>
      <top style="thin">
        <color indexed="36"/>
      </top>
      <bottom/>
      <diagonal/>
    </border>
    <border>
      <left style="thin">
        <color indexed="36"/>
      </left>
      <right/>
      <top/>
      <bottom style="thin">
        <color indexed="36"/>
      </bottom>
      <diagonal/>
    </border>
    <border>
      <left/>
      <right/>
      <top/>
      <bottom style="thin">
        <color indexed="36"/>
      </bottom>
      <diagonal/>
    </border>
    <border>
      <left style="thin">
        <color indexed="36"/>
      </left>
      <right/>
      <top/>
      <bottom/>
      <diagonal/>
    </border>
    <border>
      <left style="thin">
        <color indexed="36"/>
      </left>
      <right/>
      <top style="thin">
        <color indexed="36"/>
      </top>
      <bottom style="thin">
        <color indexed="36"/>
      </bottom>
      <diagonal/>
    </border>
    <border>
      <left/>
      <right/>
      <top style="thin">
        <color indexed="36"/>
      </top>
      <bottom style="thin">
        <color indexed="36"/>
      </bottom>
      <diagonal/>
    </border>
    <border>
      <left style="thin">
        <color indexed="36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36"/>
      </right>
      <top style="thin">
        <color indexed="64"/>
      </top>
      <bottom style="thin">
        <color indexed="64"/>
      </bottom>
      <diagonal/>
    </border>
    <border>
      <left style="thin">
        <color indexed="36"/>
      </left>
      <right style="thin">
        <color indexed="55"/>
      </right>
      <top/>
      <bottom style="thin">
        <color indexed="36"/>
      </bottom>
      <diagonal/>
    </border>
    <border>
      <left style="thin">
        <color indexed="55"/>
      </left>
      <right style="thin">
        <color indexed="55"/>
      </right>
      <top/>
      <bottom style="thin">
        <color indexed="36"/>
      </bottom>
      <diagonal/>
    </border>
    <border>
      <left style="thin">
        <color indexed="55"/>
      </left>
      <right style="thin">
        <color indexed="36"/>
      </right>
      <top/>
      <bottom style="thin">
        <color indexed="36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77">
    <xf numFmtId="0" fontId="0" fillId="0" borderId="0" xfId="0"/>
    <xf numFmtId="0" fontId="5" fillId="3" borderId="9" xfId="0" applyFont="1" applyFill="1" applyBorder="1" applyAlignment="1">
      <alignment vertical="center"/>
    </xf>
    <xf numFmtId="0" fontId="5" fillId="3" borderId="10" xfId="0" applyFont="1" applyFill="1" applyBorder="1" applyAlignment="1">
      <alignment vertical="center"/>
    </xf>
    <xf numFmtId="0" fontId="6" fillId="3" borderId="10" xfId="0" applyFont="1" applyFill="1" applyBorder="1"/>
    <xf numFmtId="9" fontId="8" fillId="3" borderId="10" xfId="0" applyNumberFormat="1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vertical="center"/>
    </xf>
    <xf numFmtId="0" fontId="5" fillId="3" borderId="12" xfId="0" applyFont="1" applyFill="1" applyBorder="1" applyAlignment="1">
      <alignment vertical="center"/>
    </xf>
    <xf numFmtId="0" fontId="6" fillId="3" borderId="12" xfId="0" applyFont="1" applyFill="1" applyBorder="1"/>
    <xf numFmtId="9" fontId="8" fillId="3" borderId="12" xfId="0" applyNumberFormat="1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vertical="center"/>
    </xf>
    <xf numFmtId="0" fontId="5" fillId="3" borderId="0" xfId="0" applyFont="1" applyFill="1" applyBorder="1" applyAlignment="1">
      <alignment vertical="center"/>
    </xf>
    <xf numFmtId="0" fontId="6" fillId="3" borderId="0" xfId="0" applyFont="1" applyFill="1" applyBorder="1"/>
    <xf numFmtId="9" fontId="8" fillId="3" borderId="0" xfId="0" applyNumberFormat="1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vertical="center"/>
    </xf>
    <xf numFmtId="0" fontId="5" fillId="3" borderId="15" xfId="0" applyFont="1" applyFill="1" applyBorder="1" applyAlignment="1">
      <alignment vertical="center"/>
    </xf>
    <xf numFmtId="0" fontId="6" fillId="3" borderId="15" xfId="0" applyFont="1" applyFill="1" applyBorder="1"/>
    <xf numFmtId="0" fontId="9" fillId="3" borderId="15" xfId="0" applyFont="1" applyFill="1" applyBorder="1"/>
    <xf numFmtId="9" fontId="8" fillId="3" borderId="15" xfId="0" applyNumberFormat="1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2" fontId="10" fillId="3" borderId="19" xfId="0" applyNumberFormat="1" applyFont="1" applyFill="1" applyBorder="1" applyAlignment="1">
      <alignment horizontal="center" vertical="center" wrapText="1"/>
    </xf>
    <xf numFmtId="2" fontId="10" fillId="3" borderId="20" xfId="0" applyNumberFormat="1" applyFont="1" applyFill="1" applyBorder="1" applyAlignment="1">
      <alignment horizontal="center" vertical="center" wrapText="1"/>
    </xf>
    <xf numFmtId="2" fontId="10" fillId="3" borderId="21" xfId="0" applyNumberFormat="1" applyFont="1" applyFill="1" applyBorder="1" applyAlignment="1">
      <alignment horizontal="center" vertical="center" wrapText="1"/>
    </xf>
    <xf numFmtId="0" fontId="11" fillId="5" borderId="8" xfId="0" applyFont="1" applyFill="1" applyBorder="1" applyAlignment="1">
      <alignment horizontal="center"/>
    </xf>
    <xf numFmtId="0" fontId="0" fillId="0" borderId="0" xfId="0" applyFill="1"/>
    <xf numFmtId="0" fontId="12" fillId="5" borderId="0" xfId="0" applyFont="1" applyFill="1"/>
    <xf numFmtId="0" fontId="12" fillId="5" borderId="22" xfId="0" applyFont="1" applyFill="1" applyBorder="1"/>
    <xf numFmtId="0" fontId="12" fillId="5" borderId="0" xfId="0" applyFont="1" applyFill="1" applyBorder="1"/>
    <xf numFmtId="0" fontId="12" fillId="5" borderId="23" xfId="0" applyFont="1" applyFill="1" applyBorder="1"/>
    <xf numFmtId="0" fontId="12" fillId="5" borderId="0" xfId="0" applyFont="1" applyFill="1" applyAlignment="1">
      <alignment horizontal="center"/>
    </xf>
    <xf numFmtId="1" fontId="12" fillId="5" borderId="0" xfId="0" applyNumberFormat="1" applyFont="1" applyFill="1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13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165" fontId="12" fillId="5" borderId="0" xfId="0" applyNumberFormat="1" applyFont="1" applyFill="1"/>
    <xf numFmtId="166" fontId="12" fillId="5" borderId="0" xfId="0" applyNumberFormat="1" applyFont="1" applyFill="1"/>
    <xf numFmtId="9" fontId="12" fillId="5" borderId="0" xfId="0" applyNumberFormat="1" applyFont="1" applyFill="1"/>
    <xf numFmtId="10" fontId="12" fillId="5" borderId="0" xfId="0" applyNumberFormat="1" applyFont="1" applyFill="1"/>
    <xf numFmtId="2" fontId="12" fillId="5" borderId="0" xfId="0" applyNumberFormat="1" applyFont="1" applyFill="1"/>
    <xf numFmtId="0" fontId="0" fillId="0" borderId="0" xfId="0" applyFill="1" applyAlignment="1">
      <alignment vertical="center"/>
    </xf>
    <xf numFmtId="0" fontId="15" fillId="4" borderId="24" xfId="0" applyFont="1" applyFill="1" applyBorder="1" applyAlignment="1">
      <alignment horizontal="center" vertical="center"/>
    </xf>
    <xf numFmtId="0" fontId="16" fillId="6" borderId="25" xfId="0" applyFont="1" applyFill="1" applyBorder="1" applyAlignment="1">
      <alignment horizontal="center" vertical="center"/>
    </xf>
    <xf numFmtId="0" fontId="16" fillId="6" borderId="26" xfId="0" applyFont="1" applyFill="1" applyBorder="1" applyAlignment="1">
      <alignment horizontal="center" vertical="center"/>
    </xf>
    <xf numFmtId="0" fontId="16" fillId="6" borderId="27" xfId="0" applyFont="1" applyFill="1" applyBorder="1" applyAlignment="1">
      <alignment horizontal="center" vertical="center"/>
    </xf>
    <xf numFmtId="0" fontId="17" fillId="0" borderId="0" xfId="0" applyFont="1" applyFill="1" applyAlignment="1">
      <alignment vertical="center"/>
    </xf>
    <xf numFmtId="0" fontId="16" fillId="6" borderId="28" xfId="0" applyFont="1" applyFill="1" applyBorder="1" applyAlignment="1">
      <alignment horizontal="center" vertical="center"/>
    </xf>
    <xf numFmtId="1" fontId="18" fillId="0" borderId="0" xfId="0" applyNumberFormat="1" applyFont="1" applyAlignment="1">
      <alignment horizontal="right" vertical="center"/>
    </xf>
    <xf numFmtId="2" fontId="0" fillId="0" borderId="0" xfId="0" applyNumberFormat="1" applyAlignment="1">
      <alignment horizontal="center"/>
    </xf>
    <xf numFmtId="0" fontId="19" fillId="6" borderId="29" xfId="0" applyFont="1" applyFill="1" applyBorder="1" applyAlignment="1">
      <alignment horizontal="center" vertical="center"/>
    </xf>
    <xf numFmtId="167" fontId="0" fillId="7" borderId="0" xfId="0" applyNumberFormat="1" applyFill="1" applyBorder="1" applyAlignment="1">
      <alignment horizontal="center" vertical="center"/>
    </xf>
    <xf numFmtId="168" fontId="0" fillId="7" borderId="0" xfId="0" applyNumberFormat="1" applyFill="1" applyBorder="1" applyAlignment="1">
      <alignment horizontal="center" vertical="center"/>
    </xf>
    <xf numFmtId="168" fontId="0" fillId="7" borderId="23" xfId="0" applyNumberFormat="1" applyFill="1" applyBorder="1" applyAlignment="1">
      <alignment horizontal="center" vertical="center"/>
    </xf>
    <xf numFmtId="168" fontId="0" fillId="0" borderId="0" xfId="0" applyNumberFormat="1" applyFill="1" applyBorder="1" applyAlignment="1">
      <alignment horizontal="center" vertical="center"/>
    </xf>
    <xf numFmtId="167" fontId="0" fillId="7" borderId="30" xfId="0" applyNumberFormat="1" applyFill="1" applyBorder="1" applyAlignment="1">
      <alignment horizontal="center" vertical="center"/>
    </xf>
    <xf numFmtId="0" fontId="0" fillId="0" borderId="17" xfId="0" applyFont="1" applyFill="1" applyBorder="1" applyAlignment="1">
      <alignment horizontal="center"/>
    </xf>
    <xf numFmtId="9" fontId="0" fillId="0" borderId="17" xfId="0" applyNumberFormat="1" applyFont="1" applyFill="1" applyBorder="1"/>
    <xf numFmtId="0" fontId="19" fillId="6" borderId="31" xfId="0" applyFont="1" applyFill="1" applyBorder="1" applyAlignment="1">
      <alignment horizontal="center" vertical="center"/>
    </xf>
    <xf numFmtId="167" fontId="0" fillId="8" borderId="0" xfId="0" applyNumberFormat="1" applyFill="1" applyBorder="1" applyAlignment="1">
      <alignment horizontal="center" vertical="center"/>
    </xf>
    <xf numFmtId="0" fontId="19" fillId="9" borderId="32" xfId="0" applyFont="1" applyFill="1" applyBorder="1" applyAlignment="1">
      <alignment horizontal="center" vertical="center"/>
    </xf>
    <xf numFmtId="167" fontId="0" fillId="7" borderId="33" xfId="0" applyNumberFormat="1" applyFill="1" applyBorder="1" applyAlignment="1">
      <alignment horizontal="center" vertical="center"/>
    </xf>
    <xf numFmtId="168" fontId="0" fillId="7" borderId="33" xfId="0" applyNumberFormat="1" applyFill="1" applyBorder="1" applyAlignment="1">
      <alignment horizontal="center" vertical="center"/>
    </xf>
    <xf numFmtId="168" fontId="0" fillId="7" borderId="34" xfId="0" applyNumberFormat="1" applyFill="1" applyBorder="1" applyAlignment="1">
      <alignment horizontal="center" vertical="center"/>
    </xf>
    <xf numFmtId="167" fontId="0" fillId="7" borderId="35" xfId="0" applyNumberFormat="1" applyFill="1" applyBorder="1" applyAlignment="1">
      <alignment horizontal="center" vertical="center"/>
    </xf>
    <xf numFmtId="0" fontId="19" fillId="9" borderId="35" xfId="0" applyFont="1" applyFill="1" applyBorder="1" applyAlignment="1">
      <alignment horizontal="center" vertical="center"/>
    </xf>
    <xf numFmtId="169" fontId="0" fillId="8" borderId="36" xfId="0" applyNumberFormat="1" applyFill="1" applyBorder="1" applyAlignment="1">
      <alignment horizontal="center" vertical="center"/>
    </xf>
    <xf numFmtId="169" fontId="0" fillId="8" borderId="37" xfId="0" applyNumberFormat="1" applyFill="1" applyBorder="1" applyAlignment="1">
      <alignment horizontal="center" vertical="center"/>
    </xf>
    <xf numFmtId="169" fontId="0" fillId="8" borderId="38" xfId="0" applyNumberFormat="1" applyFill="1" applyBorder="1" applyAlignment="1">
      <alignment horizontal="center" vertical="center"/>
    </xf>
    <xf numFmtId="169" fontId="0" fillId="8" borderId="28" xfId="0" applyNumberForma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9" fillId="6" borderId="39" xfId="0" applyFont="1" applyFill="1" applyBorder="1" applyAlignment="1">
      <alignment horizontal="center" vertical="center"/>
    </xf>
    <xf numFmtId="1" fontId="0" fillId="7" borderId="40" xfId="0" applyNumberFormat="1" applyFill="1" applyBorder="1" applyAlignment="1">
      <alignment horizontal="center" vertical="center"/>
    </xf>
    <xf numFmtId="1" fontId="0" fillId="7" borderId="41" xfId="0" applyNumberFormat="1" applyFill="1" applyBorder="1" applyAlignment="1">
      <alignment horizontal="center" vertical="center"/>
    </xf>
    <xf numFmtId="1" fontId="0" fillId="7" borderId="42" xfId="0" applyNumberFormat="1" applyFill="1" applyBorder="1" applyAlignment="1">
      <alignment horizontal="center" vertical="center"/>
    </xf>
    <xf numFmtId="1" fontId="0" fillId="7" borderId="24" xfId="0" applyNumberFormat="1" applyFill="1" applyBorder="1" applyAlignment="1">
      <alignment horizontal="center" vertical="center"/>
    </xf>
    <xf numFmtId="0" fontId="19" fillId="6" borderId="43" xfId="0" applyFont="1" applyFill="1" applyBorder="1" applyAlignment="1">
      <alignment horizontal="center" vertical="center"/>
    </xf>
    <xf numFmtId="9" fontId="1" fillId="7" borderId="44" xfId="2" applyNumberFormat="1" applyFill="1" applyBorder="1" applyAlignment="1">
      <alignment horizontal="center" vertical="center"/>
    </xf>
    <xf numFmtId="9" fontId="1" fillId="7" borderId="33" xfId="2" applyNumberFormat="1" applyFill="1" applyBorder="1" applyAlignment="1">
      <alignment horizontal="center" vertical="center"/>
    </xf>
    <xf numFmtId="9" fontId="1" fillId="7" borderId="34" xfId="2" applyNumberFormat="1" applyFill="1" applyBorder="1" applyAlignment="1">
      <alignment horizontal="center" vertical="center"/>
    </xf>
    <xf numFmtId="9" fontId="0" fillId="0" borderId="0" xfId="0" applyNumberFormat="1" applyFill="1" applyAlignment="1">
      <alignment vertical="center"/>
    </xf>
    <xf numFmtId="9" fontId="1" fillId="7" borderId="35" xfId="2" applyNumberFormat="1" applyFill="1" applyBorder="1" applyAlignment="1">
      <alignment horizontal="center" vertical="center"/>
    </xf>
    <xf numFmtId="0" fontId="19" fillId="6" borderId="40" xfId="0" applyFont="1" applyFill="1" applyBorder="1" applyAlignment="1">
      <alignment horizontal="center" vertical="center"/>
    </xf>
    <xf numFmtId="0" fontId="19" fillId="6" borderId="41" xfId="0" applyFont="1" applyFill="1" applyBorder="1" applyAlignment="1">
      <alignment horizontal="center" vertical="center"/>
    </xf>
    <xf numFmtId="0" fontId="19" fillId="6" borderId="42" xfId="0" applyFont="1" applyFill="1" applyBorder="1" applyAlignment="1">
      <alignment horizontal="center" vertical="center"/>
    </xf>
    <xf numFmtId="0" fontId="19" fillId="6" borderId="22" xfId="0" applyFont="1" applyFill="1" applyBorder="1" applyAlignment="1">
      <alignment horizontal="center" vertical="center"/>
    </xf>
    <xf numFmtId="0" fontId="0" fillId="7" borderId="22" xfId="0" applyFill="1" applyBorder="1" applyAlignment="1">
      <alignment horizontal="center" vertical="center"/>
    </xf>
    <xf numFmtId="0" fontId="0" fillId="7" borderId="0" xfId="0" applyFill="1" applyBorder="1" applyAlignment="1">
      <alignment horizontal="center" vertical="center"/>
    </xf>
    <xf numFmtId="0" fontId="0" fillId="7" borderId="23" xfId="0" applyFill="1" applyBorder="1" applyAlignment="1">
      <alignment horizontal="center" vertical="center"/>
    </xf>
    <xf numFmtId="0" fontId="19" fillId="6" borderId="0" xfId="0" applyFont="1" applyFill="1" applyBorder="1" applyAlignment="1">
      <alignment horizontal="center" vertical="center"/>
    </xf>
    <xf numFmtId="0" fontId="19" fillId="6" borderId="23" xfId="0" applyFont="1" applyFill="1" applyBorder="1" applyAlignment="1">
      <alignment horizontal="center" vertical="center"/>
    </xf>
    <xf numFmtId="0" fontId="0" fillId="6" borderId="44" xfId="0" applyFill="1" applyBorder="1" applyAlignment="1">
      <alignment horizontal="center" vertical="center"/>
    </xf>
    <xf numFmtId="0" fontId="0" fillId="7" borderId="44" xfId="0" applyFill="1" applyBorder="1" applyAlignment="1">
      <alignment horizontal="center" vertical="center"/>
    </xf>
    <xf numFmtId="0" fontId="0" fillId="7" borderId="33" xfId="0" applyFill="1" applyBorder="1" applyAlignment="1">
      <alignment horizontal="center" vertical="center"/>
    </xf>
    <xf numFmtId="0" fontId="0" fillId="7" borderId="34" xfId="0" applyFill="1" applyBorder="1" applyAlignment="1">
      <alignment horizontal="center" vertical="center"/>
    </xf>
    <xf numFmtId="0" fontId="20" fillId="7" borderId="46" xfId="0" applyFont="1" applyFill="1" applyBorder="1" applyAlignment="1">
      <alignment horizontal="center" vertical="center"/>
    </xf>
    <xf numFmtId="0" fontId="20" fillId="7" borderId="47" xfId="0" applyFont="1" applyFill="1" applyBorder="1" applyAlignment="1">
      <alignment horizontal="center" vertical="center"/>
    </xf>
    <xf numFmtId="0" fontId="20" fillId="7" borderId="48" xfId="0" applyFont="1" applyFill="1" applyBorder="1" applyAlignment="1">
      <alignment horizontal="center" vertical="center"/>
    </xf>
    <xf numFmtId="0" fontId="20" fillId="7" borderId="49" xfId="0" applyFont="1" applyFill="1" applyBorder="1" applyAlignment="1">
      <alignment horizontal="center" vertical="center"/>
    </xf>
    <xf numFmtId="0" fontId="20" fillId="7" borderId="42" xfId="0" applyFont="1" applyFill="1" applyBorder="1" applyAlignment="1">
      <alignment horizontal="center" vertical="center"/>
    </xf>
    <xf numFmtId="0" fontId="21" fillId="10" borderId="24" xfId="0" applyFont="1" applyFill="1" applyBorder="1" applyAlignment="1">
      <alignment horizontal="center" vertical="center"/>
    </xf>
    <xf numFmtId="2" fontId="0" fillId="11" borderId="17" xfId="0" applyNumberFormat="1" applyFill="1" applyBorder="1" applyAlignment="1">
      <alignment horizontal="center" vertical="center"/>
    </xf>
    <xf numFmtId="2" fontId="0" fillId="11" borderId="51" xfId="0" applyNumberFormat="1" applyFill="1" applyBorder="1" applyAlignment="1">
      <alignment horizontal="center" vertical="center"/>
    </xf>
    <xf numFmtId="2" fontId="0" fillId="11" borderId="52" xfId="0" applyNumberFormat="1" applyFill="1" applyBorder="1" applyAlignment="1">
      <alignment horizontal="center" vertical="center"/>
    </xf>
    <xf numFmtId="0" fontId="18" fillId="12" borderId="30" xfId="0" applyFont="1" applyFill="1" applyBorder="1" applyAlignment="1">
      <alignment horizontal="center" vertical="center"/>
    </xf>
    <xf numFmtId="0" fontId="23" fillId="10" borderId="24" xfId="0" applyFont="1" applyFill="1" applyBorder="1" applyAlignment="1">
      <alignment horizontal="center" vertical="center"/>
    </xf>
    <xf numFmtId="2" fontId="22" fillId="5" borderId="28" xfId="0" applyNumberFormat="1" applyFont="1" applyFill="1" applyBorder="1" applyAlignment="1">
      <alignment vertical="center"/>
    </xf>
    <xf numFmtId="0" fontId="0" fillId="0" borderId="36" xfId="0" applyBorder="1" applyAlignment="1">
      <alignment horizontal="center" vertical="center"/>
    </xf>
    <xf numFmtId="0" fontId="24" fillId="0" borderId="37" xfId="0" applyFont="1" applyBorder="1" applyAlignment="1">
      <alignment horizontal="right" vertical="center"/>
    </xf>
    <xf numFmtId="0" fontId="24" fillId="0" borderId="33" xfId="0" applyFont="1" applyBorder="1" applyAlignment="1">
      <alignment horizontal="center" vertical="center"/>
    </xf>
    <xf numFmtId="0" fontId="24" fillId="0" borderId="34" xfId="0" applyFont="1" applyBorder="1" applyAlignment="1">
      <alignment horizontal="center" vertical="center"/>
    </xf>
    <xf numFmtId="0" fontId="17" fillId="11" borderId="30" xfId="0" applyFont="1" applyFill="1" applyBorder="1" applyAlignment="1">
      <alignment horizontal="center" vertical="center"/>
    </xf>
    <xf numFmtId="0" fontId="23" fillId="13" borderId="28" xfId="0" applyFont="1" applyFill="1" applyBorder="1" applyAlignment="1">
      <alignment horizontal="center" vertical="center"/>
    </xf>
    <xf numFmtId="0" fontId="21" fillId="13" borderId="35" xfId="0" applyFont="1" applyFill="1" applyBorder="1" applyAlignment="1">
      <alignment horizontal="center" vertical="center"/>
    </xf>
    <xf numFmtId="164" fontId="16" fillId="0" borderId="28" xfId="1" applyFont="1" applyBorder="1" applyAlignment="1">
      <alignment horizontal="center" vertical="center"/>
    </xf>
    <xf numFmtId="0" fontId="25" fillId="5" borderId="37" xfId="0" applyFont="1" applyFill="1" applyBorder="1" applyAlignment="1">
      <alignment horizontal="center" vertical="center"/>
    </xf>
    <xf numFmtId="0" fontId="23" fillId="5" borderId="37" xfId="0" applyFont="1" applyFill="1" applyBorder="1" applyAlignment="1">
      <alignment horizontal="center" vertical="center"/>
    </xf>
    <xf numFmtId="164" fontId="11" fillId="0" borderId="28" xfId="1" applyFont="1" applyBorder="1" applyAlignment="1">
      <alignment horizontal="center" vertical="center"/>
    </xf>
    <xf numFmtId="0" fontId="16" fillId="10" borderId="28" xfId="0" applyFont="1" applyFill="1" applyBorder="1" applyAlignment="1">
      <alignment horizontal="center" vertical="center"/>
    </xf>
    <xf numFmtId="0" fontId="16" fillId="13" borderId="38" xfId="0" applyFont="1" applyFill="1" applyBorder="1" applyAlignment="1">
      <alignment horizontal="center" vertical="center"/>
    </xf>
    <xf numFmtId="170" fontId="16" fillId="0" borderId="28" xfId="1" applyNumberFormat="1" applyFont="1" applyBorder="1" applyAlignment="1">
      <alignment horizontal="center" vertical="center"/>
    </xf>
    <xf numFmtId="170" fontId="11" fillId="0" borderId="53" xfId="1" applyNumberFormat="1" applyFont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10" fontId="22" fillId="5" borderId="8" xfId="0" applyNumberFormat="1" applyFont="1" applyFill="1" applyBorder="1"/>
    <xf numFmtId="169" fontId="23" fillId="0" borderId="53" xfId="0" applyNumberFormat="1" applyFont="1" applyFill="1" applyBorder="1" applyAlignment="1">
      <alignment horizontal="center"/>
    </xf>
    <xf numFmtId="169" fontId="23" fillId="0" borderId="54" xfId="0" applyNumberFormat="1" applyFont="1" applyFill="1" applyBorder="1" applyAlignment="1">
      <alignment horizontal="center"/>
    </xf>
    <xf numFmtId="170" fontId="11" fillId="0" borderId="30" xfId="1" applyNumberFormat="1" applyFont="1" applyBorder="1" applyAlignment="1">
      <alignment horizontal="center" vertical="center"/>
    </xf>
    <xf numFmtId="170" fontId="11" fillId="0" borderId="31" xfId="1" applyNumberFormat="1" applyFont="1" applyBorder="1" applyAlignment="1">
      <alignment horizontal="center" vertical="center"/>
    </xf>
    <xf numFmtId="0" fontId="11" fillId="0" borderId="55" xfId="0" applyFont="1" applyFill="1" applyBorder="1" applyAlignment="1">
      <alignment horizontal="center" vertical="center"/>
    </xf>
    <xf numFmtId="0" fontId="11" fillId="5" borderId="17" xfId="0" applyFont="1" applyFill="1" applyBorder="1" applyAlignment="1">
      <alignment horizontal="center"/>
    </xf>
    <xf numFmtId="10" fontId="22" fillId="5" borderId="17" xfId="0" applyNumberFormat="1" applyFont="1" applyFill="1" applyBorder="1"/>
    <xf numFmtId="170" fontId="11" fillId="0" borderId="30" xfId="1" applyNumberFormat="1" applyFont="1" applyFill="1" applyBorder="1" applyAlignment="1">
      <alignment horizontal="center" vertical="center"/>
    </xf>
    <xf numFmtId="0" fontId="12" fillId="5" borderId="44" xfId="0" applyFont="1" applyFill="1" applyBorder="1"/>
    <xf numFmtId="0" fontId="12" fillId="5" borderId="33" xfId="0" applyFont="1" applyFill="1" applyBorder="1"/>
    <xf numFmtId="0" fontId="12" fillId="5" borderId="34" xfId="0" applyFont="1" applyFill="1" applyBorder="1"/>
    <xf numFmtId="170" fontId="11" fillId="0" borderId="31" xfId="1" applyNumberFormat="1" applyFont="1" applyFill="1" applyBorder="1" applyAlignment="1">
      <alignment horizontal="center" vertical="center"/>
    </xf>
    <xf numFmtId="0" fontId="12" fillId="5" borderId="0" xfId="0" quotePrefix="1" applyFont="1" applyFill="1"/>
    <xf numFmtId="2" fontId="12" fillId="5" borderId="0" xfId="0" quotePrefix="1" applyNumberFormat="1" applyFont="1" applyFill="1"/>
    <xf numFmtId="0" fontId="11" fillId="0" borderId="55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171" fontId="12" fillId="5" borderId="0" xfId="0" applyNumberFormat="1" applyFont="1" applyFill="1"/>
    <xf numFmtId="9" fontId="12" fillId="5" borderId="0" xfId="0" applyNumberFormat="1" applyFont="1" applyFill="1" applyAlignment="1">
      <alignment horizontal="center"/>
    </xf>
    <xf numFmtId="170" fontId="11" fillId="0" borderId="32" xfId="1" applyNumberFormat="1" applyFont="1" applyFill="1" applyBorder="1" applyAlignment="1">
      <alignment horizontal="center" vertical="center"/>
    </xf>
    <xf numFmtId="0" fontId="11" fillId="0" borderId="56" xfId="0" applyFont="1" applyFill="1" applyBorder="1" applyAlignment="1">
      <alignment horizontal="center" vertical="center"/>
    </xf>
    <xf numFmtId="0" fontId="11" fillId="5" borderId="57" xfId="0" applyFont="1" applyFill="1" applyBorder="1" applyAlignment="1">
      <alignment horizontal="center"/>
    </xf>
    <xf numFmtId="10" fontId="22" fillId="5" borderId="58" xfId="0" applyNumberFormat="1" applyFont="1" applyFill="1" applyBorder="1"/>
    <xf numFmtId="169" fontId="23" fillId="0" borderId="35" xfId="0" applyNumberFormat="1" applyFont="1" applyFill="1" applyBorder="1" applyAlignment="1">
      <alignment horizontal="center"/>
    </xf>
    <xf numFmtId="169" fontId="23" fillId="0" borderId="34" xfId="0" applyNumberFormat="1" applyFont="1" applyFill="1" applyBorder="1" applyAlignment="1">
      <alignment horizontal="center"/>
    </xf>
    <xf numFmtId="170" fontId="11" fillId="0" borderId="35" xfId="1" applyNumberFormat="1" applyFont="1" applyBorder="1" applyAlignment="1">
      <alignment horizontal="center" vertical="center"/>
    </xf>
    <xf numFmtId="172" fontId="12" fillId="5" borderId="0" xfId="0" applyNumberFormat="1" applyFont="1" applyFill="1"/>
    <xf numFmtId="167" fontId="12" fillId="5" borderId="0" xfId="0" applyNumberFormat="1" applyFont="1" applyFill="1"/>
    <xf numFmtId="173" fontId="12" fillId="5" borderId="0" xfId="0" applyNumberFormat="1" applyFont="1" applyFill="1"/>
    <xf numFmtId="174" fontId="12" fillId="5" borderId="0" xfId="0" applyNumberFormat="1" applyFont="1" applyFill="1"/>
    <xf numFmtId="175" fontId="12" fillId="5" borderId="0" xfId="0" applyNumberFormat="1" applyFont="1" applyFill="1"/>
    <xf numFmtId="176" fontId="12" fillId="5" borderId="0" xfId="0" applyNumberFormat="1" applyFont="1" applyFill="1"/>
    <xf numFmtId="177" fontId="12" fillId="5" borderId="0" xfId="0" applyNumberFormat="1" applyFont="1" applyFill="1"/>
    <xf numFmtId="178" fontId="12" fillId="5" borderId="0" xfId="0" applyNumberFormat="1" applyFont="1" applyFill="1"/>
    <xf numFmtId="179" fontId="12" fillId="5" borderId="0" xfId="0" applyNumberFormat="1" applyFont="1" applyFill="1"/>
    <xf numFmtId="0" fontId="3" fillId="2" borderId="4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9" fontId="7" fillId="3" borderId="10" xfId="0" applyNumberFormat="1" applyFont="1" applyFill="1" applyBorder="1" applyAlignment="1">
      <alignment horizontal="center" vertical="center"/>
    </xf>
    <xf numFmtId="9" fontId="7" fillId="3" borderId="12" xfId="0" applyNumberFormat="1" applyFont="1" applyFill="1" applyBorder="1" applyAlignment="1">
      <alignment horizontal="center" vertical="center"/>
    </xf>
    <xf numFmtId="0" fontId="11" fillId="6" borderId="40" xfId="0" applyFont="1" applyFill="1" applyBorder="1" applyAlignment="1">
      <alignment horizontal="left" vertical="center"/>
    </xf>
    <xf numFmtId="0" fontId="11" fillId="6" borderId="45" xfId="0" applyFont="1" applyFill="1" applyBorder="1" applyAlignment="1">
      <alignment horizontal="left" vertical="center"/>
    </xf>
    <xf numFmtId="0" fontId="11" fillId="6" borderId="44" xfId="0" applyFont="1" applyFill="1" applyBorder="1" applyAlignment="1">
      <alignment horizontal="left" vertical="center"/>
    </xf>
    <xf numFmtId="0" fontId="11" fillId="6" borderId="50" xfId="0" applyFont="1" applyFill="1" applyBorder="1" applyAlignment="1">
      <alignment horizontal="left" vertical="center"/>
    </xf>
    <xf numFmtId="0" fontId="22" fillId="5" borderId="36" xfId="0" applyFont="1" applyFill="1" applyBorder="1" applyAlignment="1">
      <alignment horizontal="center" vertical="center"/>
    </xf>
    <xf numFmtId="0" fontId="22" fillId="5" borderId="38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2" fillId="2" borderId="6" xfId="0" applyFont="1" applyFill="1" applyBorder="1" applyAlignment="1">
      <alignment horizontal="left" vertical="center" wrapText="1"/>
    </xf>
    <xf numFmtId="0" fontId="2" fillId="2" borderId="7" xfId="0" applyFont="1" applyFill="1" applyBorder="1" applyAlignment="1">
      <alignment horizontal="left" vertical="center" wrapText="1"/>
    </xf>
    <xf numFmtId="0" fontId="8" fillId="3" borderId="0" xfId="0" applyFont="1" applyFill="1" applyBorder="1" applyAlignment="1">
      <alignment horizontal="center" vertical="center"/>
    </xf>
    <xf numFmtId="0" fontId="7" fillId="3" borderId="12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center" vertical="center"/>
    </xf>
  </cellXfs>
  <cellStyles count="3">
    <cellStyle name="Dezimal" xfId="1" builtinId="3"/>
    <cellStyle name="Prozent" xfId="2" builtinId="5"/>
    <cellStyle name="Standard" xfId="0" builtinId="0"/>
  </cellStyles>
  <dxfs count="17">
    <dxf>
      <fill>
        <patternFill>
          <bgColor rgb="FFFF0000"/>
        </patternFill>
      </fill>
    </dxf>
    <dxf>
      <fill>
        <patternFill patternType="solid">
          <bgColor rgb="FF00FF00"/>
        </patternFill>
      </fill>
    </dxf>
    <dxf>
      <fill>
        <patternFill>
          <bgColor rgb="FFFF0000"/>
        </patternFill>
      </fill>
    </dxf>
    <dxf>
      <fill>
        <patternFill patternType="solid">
          <bgColor rgb="FF00FF00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indexed="9"/>
      </font>
      <fill>
        <patternFill>
          <bgColor rgb="FFFF0000"/>
        </patternFill>
      </fill>
    </dxf>
    <dxf>
      <fill>
        <patternFill>
          <bgColor indexed="51"/>
        </patternFill>
      </fill>
    </dxf>
    <dxf>
      <font>
        <color theme="1" tint="4.9989318521683403E-2"/>
        <name val="Cambria"/>
        <scheme val="none"/>
      </font>
      <fill>
        <patternFill>
          <bgColor rgb="FF00FF00"/>
        </patternFill>
      </fill>
    </dxf>
    <dxf>
      <fill>
        <patternFill>
          <bgColor rgb="FF00CC00"/>
        </patternFill>
      </fill>
    </dxf>
    <dxf>
      <fill>
        <patternFill>
          <bgColor rgb="FFFF0000"/>
        </patternFill>
      </fill>
    </dxf>
    <dxf>
      <fill>
        <patternFill>
          <bgColor rgb="FF009900"/>
        </patternFill>
      </fill>
    </dxf>
    <dxf>
      <fill>
        <patternFill>
          <bgColor rgb="FFFF0000"/>
        </patternFill>
      </fill>
    </dxf>
    <dxf>
      <fill>
        <patternFill>
          <bgColor rgb="FF009900"/>
        </patternFill>
      </fill>
    </dxf>
    <dxf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color indexed="9"/>
      </font>
      <fill>
        <patternFill>
          <bgColor indexed="17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de-DE"/>
  <c:style val="7"/>
  <c:chart>
    <c:plotArea>
      <c:layout>
        <c:manualLayout>
          <c:layoutTarget val="inner"/>
          <c:xMode val="edge"/>
          <c:yMode val="edge"/>
          <c:x val="0"/>
          <c:y val="0"/>
          <c:w val="1"/>
          <c:h val="1"/>
        </c:manualLayout>
      </c:layout>
      <c:barChart>
        <c:barDir val="col"/>
        <c:grouping val="clustered"/>
        <c:ser>
          <c:idx val="0"/>
          <c:order val="0"/>
          <c:spPr>
            <a:gradFill>
              <a:gsLst>
                <a:gs pos="0">
                  <a:schemeClr val="accent5"/>
                </a:gs>
                <a:gs pos="100000">
                  <a:schemeClr val="accent5">
                    <a:lumMod val="84000"/>
                  </a:schemeClr>
                </a:gs>
              </a:gsLst>
              <a:lin ang="5400000" scaled="1"/>
            </a:gradFill>
            <a:ln>
              <a:noFill/>
            </a:ln>
            <a:effectLst>
              <a:outerShdw blurRad="76200" dir="18900000" sy="23000" kx="-1200000" algn="bl" rotWithShape="0">
                <a:prstClr val="black">
                  <a:alpha val="20000"/>
                </a:prstClr>
              </a:outerShdw>
            </a:effectLst>
          </c:spPr>
          <c:dLbls>
            <c:numFmt formatCode="0%" sourceLinked="0"/>
            <c:spPr>
              <a:noFill/>
              <a:ln w="25400">
                <a:noFill/>
              </a:ln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lang="en-US"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dLblPos val="inEnd"/>
            <c:showVal val="1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[7]Sheet1!$CB$24:$CB$31</c:f>
              <c:strCache>
                <c:ptCount val="8"/>
                <c:pt idx="0">
                  <c:v>JPY</c:v>
                </c:pt>
                <c:pt idx="1">
                  <c:v>EUR</c:v>
                </c:pt>
                <c:pt idx="2">
                  <c:v>GBP</c:v>
                </c:pt>
                <c:pt idx="3">
                  <c:v>CHF</c:v>
                </c:pt>
                <c:pt idx="4">
                  <c:v>USD</c:v>
                </c:pt>
                <c:pt idx="5">
                  <c:v>CAD</c:v>
                </c:pt>
                <c:pt idx="6">
                  <c:v>AUD</c:v>
                </c:pt>
                <c:pt idx="7">
                  <c:v>NZD</c:v>
                </c:pt>
              </c:strCache>
            </c:strRef>
          </c:cat>
          <c:val>
            <c:numRef>
              <c:f>[7]Sheet1!$CC$24:$CC$31</c:f>
              <c:numCache>
                <c:formatCode>General</c:formatCode>
                <c:ptCount val="8"/>
                <c:pt idx="0">
                  <c:v>0.72503485705951642</c:v>
                </c:pt>
                <c:pt idx="1">
                  <c:v>0.63397841941615207</c:v>
                </c:pt>
                <c:pt idx="2">
                  <c:v>0.60851780891863461</c:v>
                </c:pt>
                <c:pt idx="3">
                  <c:v>0.56483814303688418</c:v>
                </c:pt>
                <c:pt idx="4">
                  <c:v>0.53125950254652687</c:v>
                </c:pt>
                <c:pt idx="5">
                  <c:v>0.35636988468780462</c:v>
                </c:pt>
                <c:pt idx="6">
                  <c:v>0.34531897267258632</c:v>
                </c:pt>
                <c:pt idx="7">
                  <c:v>0.23468241166189494</c:v>
                </c:pt>
              </c:numCache>
            </c:numRef>
          </c:val>
        </c:ser>
        <c:gapWidth val="41"/>
        <c:axId val="76080640"/>
        <c:axId val="76082176"/>
      </c:barChart>
      <c:catAx>
        <c:axId val="76080640"/>
        <c:scaling>
          <c:orientation val="minMax"/>
        </c:scaling>
        <c:delete val="1"/>
        <c:axPos val="b"/>
        <c:numFmt formatCode="General" sourceLinked="1"/>
        <c:tickLblPos val="nextTo"/>
        <c:crossAx val="76082176"/>
        <c:crosses val="autoZero"/>
        <c:auto val="1"/>
        <c:lblAlgn val="ctr"/>
        <c:lblOffset val="100"/>
        <c:tickLblSkip val="1"/>
        <c:tickMarkSkip val="1"/>
      </c:catAx>
      <c:valAx>
        <c:axId val="76082176"/>
        <c:scaling>
          <c:orientation val="minMax"/>
          <c:max val="1"/>
          <c:min val="0"/>
        </c:scaling>
        <c:delete val="1"/>
        <c:axPos val="l"/>
        <c:numFmt formatCode="General" sourceLinked="1"/>
        <c:tickLblPos val="nextTo"/>
        <c:crossAx val="76080640"/>
        <c:crosses val="autoZero"/>
        <c:crossBetween val="between"/>
        <c:majorUnit val="0.2"/>
      </c:valAx>
      <c:spPr>
        <a:noFill/>
        <a:ln w="25400">
          <a:noFill/>
        </a:ln>
      </c:spPr>
    </c:plotArea>
    <c:plotVisOnly val="1"/>
    <c:dispBlanksAs val="gap"/>
  </c:chart>
  <c:spPr>
    <a:gradFill flip="none" rotWithShape="1">
      <a:gsLst>
        <a:gs pos="0">
          <a:schemeClr val="lt1"/>
        </a:gs>
        <a:gs pos="68000">
          <a:schemeClr val="lt1">
            <a:lumMod val="85000"/>
          </a:schemeClr>
        </a:gs>
        <a:gs pos="100000">
          <a:schemeClr val="lt1"/>
        </a:gs>
      </a:gsLst>
      <a:lin ang="5400000" scaled="1"/>
      <a:tileRect/>
    </a:gra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 alignWithMargins="0"/>
    <c:pageMargins b="1" l="0.75000000000000056" r="0.75000000000000056" t="1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19440</xdr:colOff>
      <xdr:row>0</xdr:row>
      <xdr:rowOff>0</xdr:rowOff>
    </xdr:from>
    <xdr:to>
      <xdr:col>8</xdr:col>
      <xdr:colOff>9720</xdr:colOff>
      <xdr:row>8</xdr:row>
      <xdr:rowOff>174949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VAULT/Sentiment%20Daily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XARD%20Trading%20Desk%20v7.xlsx" TargetMode="External"/></Relationships>
</file>

<file path=xl/externalLinks/externalLink1.xml><?xml version="1.0" encoding="utf-8"?>
<externalLink xmlns="http://schemas.openxmlformats.org/spreadsheetml/2006/main">
  <ddeLink xmlns:r="http://schemas.openxmlformats.org/officeDocument/2006/relationships" ddeService="MT4" ddeTopic="TIME">
    <ddeItems>
      <ddeItem name="AUDCAD" advise="1">
        <values>
          <value>
            <val>42615.999305555553</val>
          </value>
        </values>
      </ddeItem>
      <ddeItem name="AUDCHF" advise="1">
        <values>
          <value>
            <val>42615.999305555553</val>
          </value>
        </values>
      </ddeItem>
      <ddeItem name="AUDJPY" advise="1">
        <values>
          <value>
            <val>42615.999305555553</val>
          </value>
        </values>
      </ddeItem>
      <ddeItem name="AUDNZD" advise="1">
        <values>
          <value>
            <val>42615.999305555553</val>
          </value>
        </values>
      </ddeItem>
      <ddeItem name="AUDUSD" advise="1">
        <values>
          <value>
            <val>42615.999305555553</val>
          </value>
        </values>
      </ddeItem>
      <ddeItem name="CADCHF" advise="1">
        <values>
          <value>
            <val>42615.999305555553</val>
          </value>
        </values>
      </ddeItem>
      <ddeItem name="CADJPY" advise="1">
        <values>
          <value>
            <val>42615.999305555553</val>
          </value>
        </values>
      </ddeItem>
      <ddeItem name="CHFJPY" advise="1">
        <values>
          <value>
            <val>42615.999305555553</val>
          </value>
        </values>
      </ddeItem>
      <ddeItem name="EURAUD" advise="1">
        <values>
          <value>
            <val>42615.999305555553</val>
          </value>
        </values>
      </ddeItem>
      <ddeItem name="EURCAD" advise="1">
        <values>
          <value>
            <val>42615.999305555553</val>
          </value>
        </values>
      </ddeItem>
      <ddeItem name="EURCHF" advise="1">
        <values>
          <value>
            <val>42615.999305555553</val>
          </value>
        </values>
      </ddeItem>
      <ddeItem name="EURGBP" advise="1">
        <values>
          <value>
            <val>42615.999305555553</val>
          </value>
        </values>
      </ddeItem>
      <ddeItem name="EURJPY" advise="1">
        <values>
          <value>
            <val>42615.999305555553</val>
          </value>
        </values>
      </ddeItem>
      <ddeItem name="EURNZD" advise="1">
        <values>
          <value>
            <val>42615.999305555553</val>
          </value>
        </values>
      </ddeItem>
      <ddeItem name="EURUSD" advise="1">
        <values>
          <value>
            <val>42615.999305555553</val>
          </value>
        </values>
      </ddeItem>
      <ddeItem name="GBPAUD" advise="1">
        <values>
          <value>
            <val>42615.999305555553</val>
          </value>
        </values>
      </ddeItem>
      <ddeItem name="GBPCAD" advise="1">
        <values>
          <value>
            <val>42615.999305555553</val>
          </value>
        </values>
      </ddeItem>
      <ddeItem name="GBPCHF" advise="1">
        <values>
          <value>
            <val>42615.999305555553</val>
          </value>
        </values>
      </ddeItem>
      <ddeItem name="GBPJPY" advise="1">
        <values>
          <value>
            <val>42615.999305555553</val>
          </value>
        </values>
      </ddeItem>
      <ddeItem name="GBPNZD" advise="1">
        <values>
          <value>
            <val>42615.999305555553</val>
          </value>
        </values>
      </ddeItem>
      <ddeItem name="GBPUSD" advise="1">
        <values>
          <value>
            <val>42615.999305555553</val>
          </value>
        </values>
      </ddeItem>
      <ddeItem name="NZDCAD" advise="1">
        <values>
          <value>
            <val>42615.999305555553</val>
          </value>
        </values>
      </ddeItem>
      <ddeItem name="NZDCHF" advise="1">
        <values>
          <value>
            <val>42615.999305555553</val>
          </value>
        </values>
      </ddeItem>
      <ddeItem name="NZDJPY" advise="1">
        <values>
          <value>
            <val>42615.999305555553</val>
          </value>
        </values>
      </ddeItem>
      <ddeItem name="NZDUSD" advise="1">
        <values>
          <value>
            <val>42615.999305555553</val>
          </value>
        </values>
      </ddeItem>
      <ddeItem name="StdDocumentName" ole="1" advise="1"/>
      <ddeItem name="USDCAD" advise="1">
        <values>
          <value>
            <val>42615.999305555553</val>
          </value>
        </values>
      </ddeItem>
      <ddeItem name="USDCHF" advise="1">
        <values>
          <value>
            <val>42615.999305555553</val>
          </value>
        </values>
      </ddeItem>
      <ddeItem name="USDJPY" advise="1">
        <values>
          <value>
            <val>42615.999305555553</val>
          </value>
        </values>
      </ddeItem>
      <ddeItem name="XAUUSD" advise="1">
        <values>
          <value t="str">
            <val>N\A</val>
          </value>
        </values>
      </ddeItem>
    </ddeItems>
  </ddeLink>
</externalLink>
</file>

<file path=xl/externalLinks/externalLink2.xml><?xml version="1.0" encoding="utf-8"?>
<externalLink xmlns="http://schemas.openxmlformats.org/spreadsheetml/2006/main">
  <ddeLink xmlns:r="http://schemas.openxmlformats.org/officeDocument/2006/relationships" ddeService="MT4" ddeTopic="HIGH">
    <ddeItems>
      <ddeItem name="#CCH5" advise="1">
        <values>
          <value t="str">
            <val>N\A</val>
          </value>
        </values>
      </ddeItem>
      <ddeItem name="#CCN5" advise="1">
        <values>
          <value t="str">
            <val>N\A</val>
          </value>
        </values>
      </ddeItem>
      <ddeItem name="#CHMF" advise="1">
        <values>
          <value t="str">
            <val>N\A</val>
          </value>
        </values>
      </ddeItem>
      <ddeItem name="#CL" advise="1">
        <values>
          <value t="str">
            <val>N\A</val>
          </value>
        </values>
      </ddeItem>
      <ddeItem name="#COMPQ" advise="1">
        <values>
          <value t="str">
            <val>N\A</val>
          </value>
        </values>
      </ddeItem>
      <ddeItem name="#CTH5" advise="1">
        <values>
          <value t="str">
            <val>N\A</val>
          </value>
        </values>
      </ddeItem>
      <ddeItem name="#DAX" advise="1">
        <values>
          <value t="str">
            <val>N\A</val>
          </value>
        </values>
      </ddeItem>
      <ddeItem name="#FEES" advise="1">
        <values>
          <value t="str">
            <val>N\A</val>
          </value>
        </values>
      </ddeItem>
      <ddeItem name="#FTSE" advise="1">
        <values>
          <value t="str">
            <val>N\A</val>
          </value>
        </values>
      </ddeItem>
      <ddeItem name="#GCJ5" advise="1">
        <values>
          <value t="str">
            <val>N\A</val>
          </value>
        </values>
      </ddeItem>
      <ddeItem name="#GFK5" advise="1">
        <values>
          <value t="str">
            <val>N\A</val>
          </value>
        </values>
      </ddeItem>
      <ddeItem name="#HEG5" advise="1">
        <values>
          <value t="str">
            <val>N\A</val>
          </value>
        </values>
      </ddeItem>
      <ddeItem name="#HGJ5" advise="1">
        <values>
          <value t="str">
            <val>N\A</val>
          </value>
        </values>
      </ddeItem>
      <ddeItem name="#HOG5" advise="1">
        <values>
          <value t="str">
            <val>N\A</val>
          </value>
        </values>
      </ddeItem>
      <ddeItem name="#HSI" advise="1">
        <values>
          <value t="str">
            <val>N\A</val>
          </value>
        </values>
      </ddeItem>
      <ddeItem name="#INDU" advise="1">
        <values>
          <value t="str">
            <val>N\A</val>
          </value>
        </values>
      </ddeItem>
      <ddeItem name="#JON5" advise="1">
        <values>
          <value t="str">
            <val>N\A</val>
          </value>
        </values>
      </ddeItem>
      <ddeItem name="#KCK5" advise="1">
        <values>
          <value t="str">
            <val>N\A</val>
          </value>
        </values>
      </ddeItem>
      <ddeItem name="#KCN5" advise="1">
        <values>
          <value t="str">
            <val>N\A</val>
          </value>
        </values>
      </ddeItem>
      <ddeItem name="#LBSN5" advise="1">
        <values>
          <value t="str">
            <val>N\A</val>
          </value>
        </values>
      </ddeItem>
      <ddeItem name="#LEJ5" advise="1">
        <values>
          <value t="str">
            <val>N\A</val>
          </value>
        </values>
      </ddeItem>
      <ddeItem name="#MICEX" advise="1">
        <values>
          <value t="str">
            <val>N\A</val>
          </value>
        </values>
      </ddeItem>
      <ddeItem name="#N100" advise="1">
        <values>
          <value t="str">
            <val>N\A</val>
          </value>
        </values>
      </ddeItem>
      <ddeItem name="#N225" advise="1">
        <values>
          <value t="str">
            <val>N\A</val>
          </value>
        </values>
      </ddeItem>
      <ddeItem name="#NG" advise="1">
        <values>
          <value t="str">
            <val>N\A</val>
          </value>
        </values>
      </ddeItem>
      <ddeItem name="#PAF" advise="1">
        <values>
          <value t="str">
            <val>N\A</val>
          </value>
        </values>
      </ddeItem>
      <ddeItem name="#PLF" advise="1">
        <values>
          <value t="str">
            <val>N\A</val>
          </value>
        </values>
      </ddeItem>
      <ddeItem name="#PLZL" advise="1">
        <values>
          <value t="str">
            <val>N\A</val>
          </value>
        </values>
      </ddeItem>
      <ddeItem name="#QGK5" advise="1">
        <values>
          <value t="str">
            <val>N\A</val>
          </value>
        </values>
      </ddeItem>
      <ddeItem name="#QMM5" advise="1">
        <values>
          <value t="str">
            <val>N\A</val>
          </value>
        </values>
      </ddeItem>
      <ddeItem name="#RTSI" advise="1">
        <values>
          <value t="str">
            <val>N\A</val>
          </value>
        </values>
      </ddeItem>
      <ddeItem name="#SBK5" advise="1">
        <values>
          <value t="str">
            <val>N\A</val>
          </value>
        </values>
      </ddeItem>
      <ddeItem name="#SBN5" advise="1">
        <values>
          <value t="str">
            <val>N\A</val>
          </value>
        </values>
      </ddeItem>
      <ddeItem name="#SIJ5" advise="1">
        <values>
          <value t="str">
            <val>N\A</val>
          </value>
        </values>
      </ddeItem>
      <ddeItem name="#SPX" advise="1">
        <values>
          <value t="str">
            <val>N\A</val>
          </value>
        </values>
      </ddeItem>
      <ddeItem name="#TRNFP" advise="1">
        <values>
          <value t="str">
            <val>N\A</val>
          </value>
        </values>
      </ddeItem>
      <ddeItem name="#USDX" advise="1">
        <values>
          <value t="str">
            <val>N\A</val>
          </value>
        </values>
      </ddeItem>
      <ddeItem name="#XBZM5" advise="1">
        <values>
          <value t="str">
            <val>N\A</val>
          </value>
        </values>
      </ddeItem>
      <ddeItem name="#XRBK5" advise="1">
        <values>
          <value t="str">
            <val>N\A</val>
          </value>
        </values>
      </ddeItem>
      <ddeItem name="#ZCN5" advise="1">
        <values>
          <value t="str">
            <val>N\A</val>
          </value>
        </values>
      </ddeItem>
      <ddeItem name="#ZLK5" advise="1">
        <values>
          <value t="str">
            <val>N\A</val>
          </value>
        </values>
      </ddeItem>
      <ddeItem name="#ZLN5" advise="1">
        <values>
          <value t="str">
            <val>N\A</val>
          </value>
        </values>
      </ddeItem>
      <ddeItem name="#ZMN5" advise="1">
        <values>
          <value t="str">
            <val>N\A</val>
          </value>
        </values>
      </ddeItem>
      <ddeItem name="#ZSN5" advise="1">
        <values>
          <value t="str">
            <val>N\A</val>
          </value>
        </values>
      </ddeItem>
      <ddeItem name="#ZWN5" advise="1">
        <values>
          <value t="str">
            <val>N\A</val>
          </value>
        </values>
      </ddeItem>
      <ddeItem name="6AM1" advise="1">
        <values>
          <value t="str">
            <val>N\A</val>
          </value>
        </values>
      </ddeItem>
      <ddeItem name="6BM1" advise="1">
        <values>
          <value t="str">
            <val>N\A</val>
          </value>
        </values>
      </ddeItem>
      <ddeItem name="6EM1" advise="1">
        <values>
          <value t="str">
            <val>N\A</val>
          </value>
        </values>
      </ddeItem>
      <ddeItem name="6NM1" advise="1">
        <values>
          <value t="str">
            <val>N\A</val>
          </value>
        </values>
      </ddeItem>
      <ddeItem name="6SM1" advise="1">
        <values>
          <value t="str">
            <val>N\A</val>
          </value>
        </values>
      </ddeItem>
      <ddeItem name="AUDCAD" advise="1">
        <values>
          <value t="str">
            <val>0.99163</val>
          </value>
        </values>
      </ddeItem>
      <ddeItem name="AUDCHF" advise="1">
        <values>
          <value t="str">
            <val>0.74292</val>
          </value>
        </values>
      </ddeItem>
      <ddeItem name="AUDJPY" advise="1">
        <values>
          <value>
            <val>78771</val>
          </value>
        </values>
      </ddeItem>
      <ddeItem name="AUDNZD" advise="1">
        <values>
          <value>
            <val>103863</val>
          </value>
        </values>
      </ddeItem>
      <ddeItem name="AUDUSD" advise="1">
        <values>
          <value t="str">
            <val>0.76156</val>
          </value>
        </values>
      </ddeItem>
      <ddeItem name="CADCHF" advise="1">
        <values>
          <value t="str">
            <val>0.75497</val>
          </value>
        </values>
      </ddeItem>
      <ddeItem name="CADJPY" advise="1">
        <values>
          <value>
            <val>80151</val>
          </value>
        </values>
      </ddeItem>
      <ddeItem name="CHFJPY" advise="1">
        <values>
          <value>
            <val>106312</val>
          </value>
        </values>
      </ddeItem>
      <ddeItem name="EURAUD" advise="1">
        <values>
          <value>
            <val>148468</val>
          </value>
        </values>
      </ddeItem>
      <ddeItem name="EURCAD" advise="1">
        <values>
          <value>
            <val>146834</val>
          </value>
        </values>
      </ddeItem>
      <ddeItem name="EURCHF" advise="1">
        <values>
          <value>
            <val>109820</val>
          </value>
        </values>
      </ddeItem>
      <ddeItem name="EURGBP" advise="1">
        <values>
          <value t="str">
            <val>0.84445</val>
          </value>
        </values>
      </ddeItem>
      <ddeItem name="EURJPY" advise="1">
        <values>
          <value>
            <val>116364</val>
          </value>
        </values>
      </ddeItem>
      <ddeItem name="EURNZD" advise="1">
        <values>
          <value>
            <val>153859</val>
          </value>
        </values>
      </ddeItem>
      <ddeItem name="EURUSD" advise="1">
        <values>
          <value>
            <val>112520</val>
          </value>
        </values>
      </ddeItem>
      <ddeItem name="GBPAUD" advise="1">
        <values>
          <value>
            <val>176487</val>
          </value>
        </values>
      </ddeItem>
      <ddeItem name="GBPCAD" advise="1">
        <values>
          <value>
            <val>174212</val>
          </value>
        </values>
      </ddeItem>
      <ddeItem name="GBPCHF" advise="1">
        <values>
          <value>
            <val>130699</val>
          </value>
        </values>
      </ddeItem>
      <ddeItem name="GBPJPY" advise="1">
        <values>
          <value>
            <val>138833</val>
          </value>
        </values>
      </ddeItem>
      <ddeItem name="GBPNZD" advise="1">
        <values>
          <value>
            <val>183113</val>
          </value>
        </values>
      </ddeItem>
      <ddeItem name="GBPUSD" advise="1">
        <values>
          <value>
            <val>133521</val>
          </value>
        </values>
      </ddeItem>
      <ddeItem name="GOLD" advise="1">
        <values>
          <value t="str">
            <val>N\A</val>
          </value>
        </values>
      </ddeItem>
      <ddeItem name="NZDCAD" advise="1">
        <values>
          <value t="str">
            <val>0.95833</val>
          </value>
        </values>
      </ddeItem>
      <ddeItem name="NZDCHF" advise="1">
        <values>
          <value t="str">
            <val>0.71805</val>
          </value>
        </values>
      </ddeItem>
      <ddeItem name="NZDJPY" advise="1">
        <values>
          <value>
            <val>75993</val>
          </value>
        </values>
      </ddeItem>
      <ddeItem name="NZDUSD" advise="1">
        <values>
          <value t="str">
            <val>0.73596</val>
          </value>
        </values>
      </ddeItem>
      <ddeItem name="SILVER" advise="1">
        <values>
          <value t="str">
            <val>N\A</val>
          </value>
        </values>
      </ddeItem>
      <ddeItem name="StdDocumentName" ole="1" advise="1"/>
      <ddeItem name="USDCAD" advise="1">
        <values>
          <value>
            <val>131143</val>
          </value>
        </values>
      </ddeItem>
      <ddeItem name="USDCHF" advise="1">
        <values>
          <value t="str">
            <val>0.98189</val>
          </value>
        </values>
      </ddeItem>
      <ddeItem name="USDJPY" advise="1">
        <values>
          <value>
            <val>104318</val>
          </value>
        </values>
      </ddeItem>
      <ddeItem name="XAUUSD" advise="1">
        <values>
          <value t="str">
            <val>N\A</val>
          </value>
        </values>
      </ddeItem>
    </ddeItems>
  </ddeLink>
</externalLink>
</file>

<file path=xl/externalLinks/externalLink3.xml><?xml version="1.0" encoding="utf-8"?>
<externalLink xmlns="http://schemas.openxmlformats.org/spreadsheetml/2006/main">
  <ddeLink xmlns:r="http://schemas.openxmlformats.org/officeDocument/2006/relationships" ddeService="MT4" ddeTopic="LOW">
    <ddeItems>
      <ddeItem name="#CCH5" advise="1">
        <values>
          <value t="str">
            <val>N\A</val>
          </value>
        </values>
      </ddeItem>
      <ddeItem name="#CCN5" advise="1">
        <values>
          <value t="str">
            <val>N\A</val>
          </value>
        </values>
      </ddeItem>
      <ddeItem name="#CHMF" advise="1">
        <values>
          <value t="str">
            <val>N\A</val>
          </value>
        </values>
      </ddeItem>
      <ddeItem name="#CL" advise="1">
        <values>
          <value t="str">
            <val>N\A</val>
          </value>
        </values>
      </ddeItem>
      <ddeItem name="#COMPQ" advise="1">
        <values>
          <value t="str">
            <val>N\A</val>
          </value>
        </values>
      </ddeItem>
      <ddeItem name="#CTH5" advise="1">
        <values>
          <value t="str">
            <val>N\A</val>
          </value>
        </values>
      </ddeItem>
      <ddeItem name="#DAX" advise="1">
        <values>
          <value t="str">
            <val>N\A</val>
          </value>
        </values>
      </ddeItem>
      <ddeItem name="#FEES" advise="1">
        <values>
          <value t="str">
            <val>N\A</val>
          </value>
        </values>
      </ddeItem>
      <ddeItem name="#FTSE" advise="1">
        <values>
          <value t="str">
            <val>N\A</val>
          </value>
        </values>
      </ddeItem>
      <ddeItem name="#GCJ5" advise="1">
        <values>
          <value t="str">
            <val>N\A</val>
          </value>
        </values>
      </ddeItem>
      <ddeItem name="#GFK5" advise="1">
        <values>
          <value t="str">
            <val>N\A</val>
          </value>
        </values>
      </ddeItem>
      <ddeItem name="#HEG5" advise="1">
        <values>
          <value t="str">
            <val>N\A</val>
          </value>
        </values>
      </ddeItem>
      <ddeItem name="#HGJ5" advise="1">
        <values>
          <value t="str">
            <val>N\A</val>
          </value>
        </values>
      </ddeItem>
      <ddeItem name="#HOG5" advise="1">
        <values>
          <value t="str">
            <val>N\A</val>
          </value>
        </values>
      </ddeItem>
      <ddeItem name="#HSI" advise="1">
        <values>
          <value t="str">
            <val>N\A</val>
          </value>
        </values>
      </ddeItem>
      <ddeItem name="#INDU" advise="1">
        <values>
          <value t="str">
            <val>N\A</val>
          </value>
        </values>
      </ddeItem>
      <ddeItem name="#JON5" advise="1">
        <values>
          <value t="str">
            <val>N\A</val>
          </value>
        </values>
      </ddeItem>
      <ddeItem name="#KCK5" advise="1">
        <values>
          <value t="str">
            <val>N\A</val>
          </value>
        </values>
      </ddeItem>
      <ddeItem name="#KCN5" advise="1">
        <values>
          <value t="str">
            <val>N\A</val>
          </value>
        </values>
      </ddeItem>
      <ddeItem name="#LBSN5" advise="1">
        <values>
          <value t="str">
            <val>N\A</val>
          </value>
        </values>
      </ddeItem>
      <ddeItem name="#LEJ5" advise="1">
        <values>
          <value t="str">
            <val>N\A</val>
          </value>
        </values>
      </ddeItem>
      <ddeItem name="#MICEX" advise="1">
        <values>
          <value t="str">
            <val>N\A</val>
          </value>
        </values>
      </ddeItem>
      <ddeItem name="#N100" advise="1">
        <values>
          <value t="str">
            <val>N\A</val>
          </value>
        </values>
      </ddeItem>
      <ddeItem name="#N225" advise="1">
        <values>
          <value t="str">
            <val>N\A</val>
          </value>
        </values>
      </ddeItem>
      <ddeItem name="#NG" advise="1">
        <values>
          <value t="str">
            <val>N\A</val>
          </value>
        </values>
      </ddeItem>
      <ddeItem name="#PAF" advise="1">
        <values>
          <value t="str">
            <val>N\A</val>
          </value>
        </values>
      </ddeItem>
      <ddeItem name="#PLF" advise="1">
        <values>
          <value t="str">
            <val>N\A</val>
          </value>
        </values>
      </ddeItem>
      <ddeItem name="#PLZL" advise="1">
        <values>
          <value t="str">
            <val>N\A</val>
          </value>
        </values>
      </ddeItem>
      <ddeItem name="#QGK5" advise="1">
        <values>
          <value t="str">
            <val>N\A</val>
          </value>
        </values>
      </ddeItem>
      <ddeItem name="#QMM5" advise="1">
        <values>
          <value t="str">
            <val>N\A</val>
          </value>
        </values>
      </ddeItem>
      <ddeItem name="#RTSI" advise="1">
        <values>
          <value t="str">
            <val>N\A</val>
          </value>
        </values>
      </ddeItem>
      <ddeItem name="#SBK5" advise="1">
        <values>
          <value t="str">
            <val>N\A</val>
          </value>
        </values>
      </ddeItem>
      <ddeItem name="#SBN5" advise="1">
        <values>
          <value t="str">
            <val>N\A</val>
          </value>
        </values>
      </ddeItem>
      <ddeItem name="#SIJ5" advise="1">
        <values>
          <value t="str">
            <val>N\A</val>
          </value>
        </values>
      </ddeItem>
      <ddeItem name="#SPX" advise="1">
        <values>
          <value t="str">
            <val>N\A</val>
          </value>
        </values>
      </ddeItem>
      <ddeItem name="#TRNFP" advise="1">
        <values>
          <value t="str">
            <val>N\A</val>
          </value>
        </values>
      </ddeItem>
      <ddeItem name="#USDX" advise="1">
        <values>
          <value t="str">
            <val>N\A</val>
          </value>
        </values>
      </ddeItem>
      <ddeItem name="#XBZM5" advise="1">
        <values>
          <value t="str">
            <val>N\A</val>
          </value>
        </values>
      </ddeItem>
      <ddeItem name="#XRBK5" advise="1">
        <values>
          <value t="str">
            <val>N\A</val>
          </value>
        </values>
      </ddeItem>
      <ddeItem name="#ZCN5" advise="1">
        <values>
          <value t="str">
            <val>N\A</val>
          </value>
        </values>
      </ddeItem>
      <ddeItem name="#ZLK5" advise="1">
        <values>
          <value t="str">
            <val>N\A</val>
          </value>
        </values>
      </ddeItem>
      <ddeItem name="#ZLN5" advise="1">
        <values>
          <value t="str">
            <val>N\A</val>
          </value>
        </values>
      </ddeItem>
      <ddeItem name="#ZMN5" advise="1">
        <values>
          <value t="str">
            <val>N\A</val>
          </value>
        </values>
      </ddeItem>
      <ddeItem name="#ZSN5" advise="1">
        <values>
          <value t="str">
            <val>N\A</val>
          </value>
        </values>
      </ddeItem>
      <ddeItem name="#ZWN5" advise="1">
        <values>
          <value t="str">
            <val>N\A</val>
          </value>
        </values>
      </ddeItem>
      <ddeItem name="6AM1" advise="1">
        <values>
          <value t="str">
            <val>N\A</val>
          </value>
        </values>
      </ddeItem>
      <ddeItem name="6BM1" advise="1">
        <values>
          <value t="str">
            <val>N\A</val>
          </value>
        </values>
      </ddeItem>
      <ddeItem name="6EM1" advise="1">
        <values>
          <value t="str">
            <val>N\A</val>
          </value>
        </values>
      </ddeItem>
      <ddeItem name="6NM1" advise="1">
        <values>
          <value t="str">
            <val>N\A</val>
          </value>
        </values>
      </ddeItem>
      <ddeItem name="6SM1" advise="1">
        <values>
          <value t="str">
            <val>N\A</val>
          </value>
        </values>
      </ddeItem>
      <ddeItem name="AUDCAD" advise="1">
        <values>
          <value t="str">
            <val>0.98211</val>
          </value>
        </values>
      </ddeItem>
      <ddeItem name="AUDCHF" advise="1">
        <values>
          <value t="str">
            <val>0.73738</val>
          </value>
        </values>
      </ddeItem>
      <ddeItem name="AUDJPY" advise="1">
        <values>
          <value>
            <val>77863</val>
          </value>
        </values>
      </ddeItem>
      <ddeItem name="AUDNZD" advise="1">
        <values>
          <value>
            <val>103385</val>
          </value>
        </values>
      </ddeItem>
      <ddeItem name="AUDUSD" advise="1">
        <values>
          <value t="str">
            <val>0.75359</val>
          </value>
        </values>
      </ddeItem>
      <ddeItem name="CADCHF" advise="1">
        <values>
          <value t="str">
            <val>0.74626</val>
          </value>
        </values>
      </ddeItem>
      <ddeItem name="CADJPY" advise="1">
        <values>
          <value>
            <val>78749</val>
          </value>
        </values>
      </ddeItem>
      <ddeItem name="CHFJPY" advise="1">
        <values>
          <value>
            <val>105257</val>
          </value>
        </values>
      </ddeItem>
      <ddeItem name="EURAUD" advise="1">
        <values>
          <value>
            <val>147213</val>
          </value>
        </values>
      </ddeItem>
      <ddeItem name="EURCAD" advise="1">
        <values>
          <value>
            <val>144766</val>
          </value>
        </values>
      </ddeItem>
      <ddeItem name="EURCHF" advise="1">
        <values>
          <value>
            <val>109166</val>
          </value>
        </values>
      </ddeItem>
      <ddeItem name="EURGBP" advise="1">
        <values>
          <value t="str">
            <val>0.83754</val>
          </value>
        </values>
      </ddeItem>
      <ddeItem name="EURJPY" advise="1">
        <values>
          <value>
            <val>115492</val>
          </value>
        </values>
      </ddeItem>
      <ddeItem name="EURNZD" advise="1">
        <values>
          <value>
            <val>152605</val>
          </value>
        </values>
      </ddeItem>
      <ddeItem name="EURUSD" advise="1">
        <values>
          <value>
            <val>111504</val>
          </value>
        </values>
      </ddeItem>
      <ddeItem name="GBPAUD" advise="1">
        <values>
          <value>
            <val>174873</val>
          </value>
        </values>
      </ddeItem>
      <ddeItem name="GBPCAD" advise="1">
        <values>
          <value>
            <val>172534</val>
          </value>
        </values>
      </ddeItem>
      <ddeItem name="GBPCHF" advise="1">
        <values>
          <value>
            <val>129708</val>
          </value>
        </values>
      </ddeItem>
      <ddeItem name="GBPJPY" advise="1">
        <values>
          <value>
            <val>136896</val>
          </value>
        </values>
      </ddeItem>
      <ddeItem name="GBPNZD" advise="1">
        <values>
          <value>
            <val>180909</val>
          </value>
        </values>
      </ddeItem>
      <ddeItem name="GBPUSD" advise="1">
        <values>
          <value>
            <val>132523</val>
          </value>
        </values>
      </ddeItem>
      <ddeItem name="GOLD" advise="1">
        <values>
          <value t="str">
            <val>N\A</val>
          </value>
        </values>
      </ddeItem>
      <ddeItem name="NZDCAD" advise="1">
        <values>
          <value t="str">
            <val>0.94587</val>
          </value>
        </values>
      </ddeItem>
      <ddeItem name="NZDCHF" advise="1">
        <values>
          <value t="str">
            <val>0.71252</val>
          </value>
        </values>
      </ddeItem>
      <ddeItem name="NZDJPY" advise="1">
        <values>
          <value>
            <val>75122</val>
          </value>
        </values>
      </ddeItem>
      <ddeItem name="NZDUSD" advise="1">
        <values>
          <value t="str">
            <val>0.72681</val>
          </value>
        </values>
      </ddeItem>
      <ddeItem name="SILVER" advise="1">
        <values>
          <value t="str">
            <val>N\A</val>
          </value>
        </values>
      </ddeItem>
      <ddeItem name="StdDocumentName" ole="1" advise="1"/>
      <ddeItem name="USDCAD" advise="1">
        <values>
          <value>
            <val>129801</val>
          </value>
        </values>
      </ddeItem>
      <ddeItem name="USDCHF" advise="1">
        <values>
          <value t="str">
            <val>0.97392</val>
          </value>
        </values>
      </ddeItem>
      <ddeItem name="USDJPY" advise="1">
        <values>
          <value>
            <val>102801</val>
          </value>
        </values>
      </ddeItem>
      <ddeItem name="XAUUSD" advise="1">
        <values>
          <value t="str">
            <val>N\A</val>
          </value>
        </values>
      </ddeItem>
    </ddeItems>
  </ddeLink>
</externalLink>
</file>

<file path=xl/externalLinks/externalLink4.xml><?xml version="1.0" encoding="utf-8"?>
<externalLink xmlns="http://schemas.openxmlformats.org/spreadsheetml/2006/main">
  <ddeLink xmlns:r="http://schemas.openxmlformats.org/officeDocument/2006/relationships" ddeService="MT4" ddeTopic="BID">
    <ddeItems>
      <ddeItem name="#CCH5" advise="1">
        <values>
          <value t="str">
            <val>N\A</val>
          </value>
        </values>
      </ddeItem>
      <ddeItem name="#CCN5" advise="1">
        <values>
          <value t="str">
            <val>N\A</val>
          </value>
        </values>
      </ddeItem>
      <ddeItem name="#CHMF" advise="1">
        <values>
          <value t="str">
            <val>N\A</val>
          </value>
        </values>
      </ddeItem>
      <ddeItem name="#CL" advise="1">
        <values>
          <value t="str">
            <val>N\A</val>
          </value>
        </values>
      </ddeItem>
      <ddeItem name="#COMPQ" advise="1">
        <values>
          <value t="str">
            <val>N\A</val>
          </value>
        </values>
      </ddeItem>
      <ddeItem name="#CTH5" advise="1">
        <values>
          <value t="str">
            <val>N\A</val>
          </value>
        </values>
      </ddeItem>
      <ddeItem name="#DAX" advise="1">
        <values>
          <value t="str">
            <val>N\A</val>
          </value>
        </values>
      </ddeItem>
      <ddeItem name="#FEES" advise="1">
        <values>
          <value t="str">
            <val>N\A</val>
          </value>
        </values>
      </ddeItem>
      <ddeItem name="#FTSE" advise="1">
        <values>
          <value t="str">
            <val>N\A</val>
          </value>
        </values>
      </ddeItem>
      <ddeItem name="#GCJ5" advise="1">
        <values>
          <value t="str">
            <val>N\A</val>
          </value>
        </values>
      </ddeItem>
      <ddeItem name="#GFK5" advise="1">
        <values>
          <value t="str">
            <val>N\A</val>
          </value>
        </values>
      </ddeItem>
      <ddeItem name="#HEG5" advise="1">
        <values>
          <value t="str">
            <val>N\A</val>
          </value>
        </values>
      </ddeItem>
      <ddeItem name="#HGJ5" advise="1">
        <values>
          <value t="str">
            <val>N\A</val>
          </value>
        </values>
      </ddeItem>
      <ddeItem name="#HOG5" advise="1">
        <values>
          <value t="str">
            <val>N\A</val>
          </value>
        </values>
      </ddeItem>
      <ddeItem name="#HSI" advise="1">
        <values>
          <value t="str">
            <val>N\A</val>
          </value>
        </values>
      </ddeItem>
      <ddeItem name="#INDU" advise="1">
        <values>
          <value t="str">
            <val>N\A</val>
          </value>
        </values>
      </ddeItem>
      <ddeItem name="#JON5" advise="1">
        <values>
          <value t="str">
            <val>N\A</val>
          </value>
        </values>
      </ddeItem>
      <ddeItem name="#KCK5" advise="1">
        <values>
          <value t="str">
            <val>N\A</val>
          </value>
        </values>
      </ddeItem>
      <ddeItem name="#KCN5" advise="1">
        <values>
          <value t="str">
            <val>N\A</val>
          </value>
        </values>
      </ddeItem>
      <ddeItem name="#LBSN5" advise="1">
        <values>
          <value t="str">
            <val>N\A</val>
          </value>
        </values>
      </ddeItem>
      <ddeItem name="#LEJ5" advise="1">
        <values>
          <value t="str">
            <val>N\A</val>
          </value>
        </values>
      </ddeItem>
      <ddeItem name="#MICEX" advise="1">
        <values>
          <value t="str">
            <val>N\A</val>
          </value>
        </values>
      </ddeItem>
      <ddeItem name="#N100" advise="1">
        <values>
          <value t="str">
            <val>N\A</val>
          </value>
        </values>
      </ddeItem>
      <ddeItem name="#N225" advise="1">
        <values>
          <value t="str">
            <val>N\A</val>
          </value>
        </values>
      </ddeItem>
      <ddeItem name="#NG" advise="1">
        <values>
          <value t="str">
            <val>N\A</val>
          </value>
        </values>
      </ddeItem>
      <ddeItem name="#PAF" advise="1">
        <values>
          <value t="str">
            <val>N\A</val>
          </value>
        </values>
      </ddeItem>
      <ddeItem name="#PLF" advise="1">
        <values>
          <value t="str">
            <val>N\A</val>
          </value>
        </values>
      </ddeItem>
      <ddeItem name="#PLZL" advise="1">
        <values>
          <value t="str">
            <val>N\A</val>
          </value>
        </values>
      </ddeItem>
      <ddeItem name="#QGK5" advise="1">
        <values>
          <value t="str">
            <val>N\A</val>
          </value>
        </values>
      </ddeItem>
      <ddeItem name="#QMM5" advise="1">
        <values>
          <value t="str">
            <val>N\A</val>
          </value>
        </values>
      </ddeItem>
      <ddeItem name="#RTSI" advise="1">
        <values>
          <value t="str">
            <val>N\A</val>
          </value>
        </values>
      </ddeItem>
      <ddeItem name="#SBK5" advise="1">
        <values>
          <value t="str">
            <val>N\A</val>
          </value>
        </values>
      </ddeItem>
      <ddeItem name="#SBN5" advise="1">
        <values>
          <value t="str">
            <val>N\A</val>
          </value>
        </values>
      </ddeItem>
      <ddeItem name="#SIJ5" advise="1">
        <values>
          <value t="str">
            <val>N\A</val>
          </value>
        </values>
      </ddeItem>
      <ddeItem name="#SPX" advise="1">
        <values>
          <value t="str">
            <val>N\A</val>
          </value>
        </values>
      </ddeItem>
      <ddeItem name="#TRNFP" advise="1">
        <values>
          <value t="str">
            <val>N\A</val>
          </value>
        </values>
      </ddeItem>
      <ddeItem name="#USDX" advise="1">
        <values>
          <value t="str">
            <val>N\A</val>
          </value>
        </values>
      </ddeItem>
      <ddeItem name="#XBZM5" advise="1">
        <values>
          <value t="str">
            <val>N\A</val>
          </value>
        </values>
      </ddeItem>
      <ddeItem name="#XRBK5" advise="1">
        <values>
          <value t="str">
            <val>N\A</val>
          </value>
        </values>
      </ddeItem>
      <ddeItem name="#ZCN5" advise="1">
        <values>
          <value t="str">
            <val>N\A</val>
          </value>
        </values>
      </ddeItem>
      <ddeItem name="#ZLK5" advise="1">
        <values>
          <value t="str">
            <val>N\A</val>
          </value>
        </values>
      </ddeItem>
      <ddeItem name="#ZLN5" advise="1">
        <values>
          <value t="str">
            <val>N\A</val>
          </value>
        </values>
      </ddeItem>
      <ddeItem name="#ZMN5" advise="1">
        <values>
          <value t="str">
            <val>N\A</val>
          </value>
        </values>
      </ddeItem>
      <ddeItem name="#ZSN5" advise="1">
        <values>
          <value t="str">
            <val>N\A</val>
          </value>
        </values>
      </ddeItem>
      <ddeItem name="#ZWN5" advise="1">
        <values>
          <value t="str">
            <val>N\A</val>
          </value>
        </values>
      </ddeItem>
      <ddeItem name="6AM1" advise="1">
        <values>
          <value t="str">
            <val>N\A</val>
          </value>
        </values>
      </ddeItem>
      <ddeItem name="6BM1" advise="1">
        <values>
          <value t="str">
            <val>N\A</val>
          </value>
        </values>
      </ddeItem>
      <ddeItem name="6EM1" advise="1">
        <values>
          <value t="str">
            <val>N\A</val>
          </value>
        </values>
      </ddeItem>
      <ddeItem name="6NM1" advise="1">
        <values>
          <value t="str">
            <val>N\A</val>
          </value>
        </values>
      </ddeItem>
      <ddeItem name="6SM1" advise="1">
        <values>
          <value t="str">
            <val>N\A</val>
          </value>
        </values>
      </ddeItem>
      <ddeItem name="AUDCAD" advise="1">
        <values>
          <value t="str">
            <val>0.98286</val>
          </value>
        </values>
      </ddeItem>
      <ddeItem name="AUDCHF" advise="1">
        <values>
          <value t="str">
            <val>0.74123</val>
          </value>
        </values>
      </ddeItem>
      <ddeItem name="AUDJPY" advise="1">
        <values>
          <value>
            <val>78625</val>
          </value>
        </values>
      </ddeItem>
      <ddeItem name="AUDNZD" advise="1">
        <values>
          <value>
            <val>103863</val>
          </value>
        </values>
      </ddeItem>
      <ddeItem name="AUDUSD" advise="1">
        <values>
          <value t="str">
            <val>0.75667</val>
          </value>
        </values>
      </ddeItem>
      <ddeItem name="CADCHF" advise="1">
        <values>
          <value t="str">
            <val>0.75342</val>
          </value>
        </values>
      </ddeItem>
      <ddeItem name="CADJPY" advise="1">
        <values>
          <value>
            <val>79940</val>
          </value>
        </values>
      </ddeItem>
      <ddeItem name="CHFJPY" advise="1">
        <values>
          <value>
            <val>105914</val>
          </value>
        </values>
      </ddeItem>
      <ddeItem name="EURAUD" advise="1">
        <values>
          <value>
            <val>147213</val>
          </value>
        </values>
      </ddeItem>
      <ddeItem name="EURCAD" advise="1">
        <values>
          <value>
            <val>144770</val>
          </value>
        </values>
      </ddeItem>
      <ddeItem name="EURCHF" advise="1">
        <values>
          <value>
            <val>109267</val>
          </value>
        </values>
      </ddeItem>
      <ddeItem name="EURGBP" advise="1">
        <values>
          <value t="str">
            <val>0.83859</val>
          </value>
        </values>
      </ddeItem>
      <ddeItem name="EURJPY" advise="1">
        <values>
          <value>
            <val>115787</val>
          </value>
        </values>
      </ddeItem>
      <ddeItem name="EURNZD" advise="1">
        <values>
          <value>
            <val>152997</val>
          </value>
        </values>
      </ddeItem>
      <ddeItem name="EURUSD" advise="1">
        <values>
          <value>
            <val>111519</val>
          </value>
        </values>
      </ddeItem>
      <ddeItem name="GBPAUD" advise="1">
        <values>
          <value>
            <val>175442</val>
          </value>
        </values>
      </ddeItem>
      <ddeItem name="GBPCAD" advise="1">
        <values>
          <value>
            <val>172540</val>
          </value>
        </values>
      </ddeItem>
      <ddeItem name="GBPCHF" advise="1">
        <values>
          <value>
            <val>130252</val>
          </value>
        </values>
      </ddeItem>
      <ddeItem name="GBPJPY" advise="1">
        <values>
          <value>
            <val>138017</val>
          </value>
        </values>
      </ddeItem>
      <ddeItem name="GBPNZD" advise="1">
        <values>
          <value>
            <val>182310</val>
          </value>
        </values>
      </ddeItem>
      <ddeItem name="GBPUSD" advise="1">
        <values>
          <value>
            <val>132900</val>
          </value>
        </values>
      </ddeItem>
      <ddeItem name="GOLD" advise="1">
        <values>
          <value t="str">
            <val>N\A</val>
          </value>
        </values>
      </ddeItem>
      <ddeItem name="NZDCAD" advise="1">
        <values>
          <value t="str">
            <val>0.94587</val>
          </value>
        </values>
      </ddeItem>
      <ddeItem name="NZDCHF" advise="1">
        <values>
          <value t="str">
            <val>0.71391</val>
          </value>
        </values>
      </ddeItem>
      <ddeItem name="NZDJPY" advise="1">
        <values>
          <value>
            <val>75639</val>
          </value>
        </values>
      </ddeItem>
      <ddeItem name="NZDUSD" advise="1">
        <values>
          <value t="str">
            <val>0.72754</val>
          </value>
        </values>
      </ddeItem>
      <ddeItem name="SILVER" advise="1">
        <values>
          <value t="str">
            <val>N\A</val>
          </value>
        </values>
      </ddeItem>
      <ddeItem name="StdDocumentName" ole="1" advise="1"/>
      <ddeItem name="USDCAD" advise="1">
        <values>
          <value>
            <val>129860</val>
          </value>
        </values>
      </ddeItem>
      <ddeItem name="USDCHF" advise="1">
        <values>
          <value t="str">
            <val>0.97961</val>
          </value>
        </values>
      </ddeItem>
      <ddeItem name="USDJPY" advise="1">
        <values>
          <value>
            <val>103850</val>
          </value>
        </values>
      </ddeItem>
      <ddeItem name="XAUUSD" advise="1">
        <values>
          <value t="str">
            <val>N\A</val>
          </value>
        </values>
      </ddeItem>
    </ddeItems>
  </ddeLink>
</externalLink>
</file>

<file path=xl/externalLinks/externalLink5.xml><?xml version="1.0" encoding="utf-8"?>
<externalLink xmlns="http://schemas.openxmlformats.org/spreadsheetml/2006/main">
  <ddeLink xmlns:r="http://schemas.openxmlformats.org/officeDocument/2006/relationships" ddeService="MT4" ddeTopic="ASK">
    <ddeItems>
      <ddeItem name="#CCH5" advise="1">
        <values>
          <value t="str">
            <val>N\A</val>
          </value>
        </values>
      </ddeItem>
      <ddeItem name="#CCN5" advise="1">
        <values>
          <value t="str">
            <val>N\A</val>
          </value>
        </values>
      </ddeItem>
      <ddeItem name="#CHMF" advise="1">
        <values>
          <value t="str">
            <val>N\A</val>
          </value>
        </values>
      </ddeItem>
      <ddeItem name="#CL" advise="1">
        <values>
          <value t="str">
            <val>N\A</val>
          </value>
        </values>
      </ddeItem>
      <ddeItem name="#COMPQ" advise="1">
        <values>
          <value t="str">
            <val>N\A</val>
          </value>
        </values>
      </ddeItem>
      <ddeItem name="#CTH5" advise="1">
        <values>
          <value t="str">
            <val>N\A</val>
          </value>
        </values>
      </ddeItem>
      <ddeItem name="#DAX" advise="1">
        <values>
          <value t="str">
            <val>N\A</val>
          </value>
        </values>
      </ddeItem>
      <ddeItem name="#FEES" advise="1">
        <values>
          <value t="str">
            <val>N\A</val>
          </value>
        </values>
      </ddeItem>
      <ddeItem name="#FTSE" advise="1">
        <values>
          <value t="str">
            <val>N\A</val>
          </value>
        </values>
      </ddeItem>
      <ddeItem name="#GCJ5" advise="1">
        <values>
          <value t="str">
            <val>N\A</val>
          </value>
        </values>
      </ddeItem>
      <ddeItem name="#GFK5" advise="1">
        <values>
          <value t="str">
            <val>N\A</val>
          </value>
        </values>
      </ddeItem>
      <ddeItem name="#HEG5" advise="1">
        <values>
          <value t="str">
            <val>N\A</val>
          </value>
        </values>
      </ddeItem>
      <ddeItem name="#HGJ5" advise="1">
        <values>
          <value t="str">
            <val>N\A</val>
          </value>
        </values>
      </ddeItem>
      <ddeItem name="#HOG5" advise="1">
        <values>
          <value t="str">
            <val>N\A</val>
          </value>
        </values>
      </ddeItem>
      <ddeItem name="#HSI" advise="1">
        <values>
          <value t="str">
            <val>N\A</val>
          </value>
        </values>
      </ddeItem>
      <ddeItem name="#INDU" advise="1">
        <values>
          <value t="str">
            <val>N\A</val>
          </value>
        </values>
      </ddeItem>
      <ddeItem name="#JON5" advise="1">
        <values>
          <value t="str">
            <val>N\A</val>
          </value>
        </values>
      </ddeItem>
      <ddeItem name="#KCK5" advise="1">
        <values>
          <value t="str">
            <val>N\A</val>
          </value>
        </values>
      </ddeItem>
      <ddeItem name="#KCN5" advise="1">
        <values>
          <value t="str">
            <val>N\A</val>
          </value>
        </values>
      </ddeItem>
      <ddeItem name="#LBSN5" advise="1">
        <values>
          <value t="str">
            <val>N\A</val>
          </value>
        </values>
      </ddeItem>
      <ddeItem name="#LEJ5" advise="1">
        <values>
          <value t="str">
            <val>N\A</val>
          </value>
        </values>
      </ddeItem>
      <ddeItem name="#MICEX" advise="1">
        <values>
          <value t="str">
            <val>N\A</val>
          </value>
        </values>
      </ddeItem>
      <ddeItem name="#N100" advise="1">
        <values>
          <value t="str">
            <val>N\A</val>
          </value>
        </values>
      </ddeItem>
      <ddeItem name="#N225" advise="1">
        <values>
          <value t="str">
            <val>N\A</val>
          </value>
        </values>
      </ddeItem>
      <ddeItem name="#NG" advise="1">
        <values>
          <value t="str">
            <val>N\A</val>
          </value>
        </values>
      </ddeItem>
      <ddeItem name="#PAF" advise="1">
        <values>
          <value t="str">
            <val>N\A</val>
          </value>
        </values>
      </ddeItem>
      <ddeItem name="#PLF" advise="1">
        <values>
          <value t="str">
            <val>N\A</val>
          </value>
        </values>
      </ddeItem>
      <ddeItem name="#PLZL" advise="1">
        <values>
          <value t="str">
            <val>N\A</val>
          </value>
        </values>
      </ddeItem>
      <ddeItem name="#QGK5" advise="1">
        <values>
          <value t="str">
            <val>N\A</val>
          </value>
        </values>
      </ddeItem>
      <ddeItem name="#QMM5" advise="1">
        <values>
          <value t="str">
            <val>N\A</val>
          </value>
        </values>
      </ddeItem>
      <ddeItem name="#RTSI" advise="1">
        <values>
          <value t="str">
            <val>N\A</val>
          </value>
        </values>
      </ddeItem>
      <ddeItem name="#SBK5" advise="1">
        <values>
          <value t="str">
            <val>N\A</val>
          </value>
        </values>
      </ddeItem>
      <ddeItem name="#SBN5" advise="1">
        <values>
          <value t="str">
            <val>N\A</val>
          </value>
        </values>
      </ddeItem>
      <ddeItem name="#SIJ5" advise="1">
        <values>
          <value t="str">
            <val>N\A</val>
          </value>
        </values>
      </ddeItem>
      <ddeItem name="#SPX" advise="1">
        <values>
          <value t="str">
            <val>N\A</val>
          </value>
        </values>
      </ddeItem>
      <ddeItem name="#TRNFP" advise="1">
        <values>
          <value t="str">
            <val>N\A</val>
          </value>
        </values>
      </ddeItem>
      <ddeItem name="#USDX" advise="1">
        <values>
          <value t="str">
            <val>N\A</val>
          </value>
        </values>
      </ddeItem>
      <ddeItem name="#XBZM5" advise="1">
        <values>
          <value t="str">
            <val>N\A</val>
          </value>
        </values>
      </ddeItem>
      <ddeItem name="#XRBK5" advise="1">
        <values>
          <value t="str">
            <val>N\A</val>
          </value>
        </values>
      </ddeItem>
      <ddeItem name="#ZCN5" advise="1">
        <values>
          <value t="str">
            <val>N\A</val>
          </value>
        </values>
      </ddeItem>
      <ddeItem name="#ZLK5" advise="1">
        <values>
          <value t="str">
            <val>N\A</val>
          </value>
        </values>
      </ddeItem>
      <ddeItem name="#ZLN5" advise="1">
        <values>
          <value t="str">
            <val>N\A</val>
          </value>
        </values>
      </ddeItem>
      <ddeItem name="#ZMN5" advise="1">
        <values>
          <value t="str">
            <val>N\A</val>
          </value>
        </values>
      </ddeItem>
      <ddeItem name="#ZSN5" advise="1">
        <values>
          <value t="str">
            <val>N\A</val>
          </value>
        </values>
      </ddeItem>
      <ddeItem name="#ZWN5" advise="1">
        <values>
          <value t="str">
            <val>N\A</val>
          </value>
        </values>
      </ddeItem>
      <ddeItem name="6AM1" advise="1">
        <values>
          <value t="str">
            <val>N\A</val>
          </value>
        </values>
      </ddeItem>
      <ddeItem name="6BM1" advise="1">
        <values>
          <value t="str">
            <val>N\A</val>
          </value>
        </values>
      </ddeItem>
      <ddeItem name="6EM1" advise="1">
        <values>
          <value t="str">
            <val>N\A</val>
          </value>
        </values>
      </ddeItem>
      <ddeItem name="6NM1" advise="1">
        <values>
          <value t="str">
            <val>N\A</val>
          </value>
        </values>
      </ddeItem>
      <ddeItem name="6SM1" advise="1">
        <values>
          <value t="str">
            <val>N\A</val>
          </value>
        </values>
      </ddeItem>
      <ddeItem name="AUDCAD" advise="1">
        <values>
          <value t="str">
            <val>0.98385</val>
          </value>
        </values>
      </ddeItem>
      <ddeItem name="AUDCHF" advise="1">
        <values>
          <value t="str">
            <val>0.74358</val>
          </value>
        </values>
      </ddeItem>
      <ddeItem name="AUDJPY" advise="1">
        <values>
          <value>
            <val>78724</val>
          </value>
        </values>
      </ddeItem>
      <ddeItem name="AUDNZD" advise="1">
        <values>
          <value>
            <val>103973</val>
          </value>
        </values>
      </ddeItem>
      <ddeItem name="AUDUSD" advise="1">
        <values>
          <value t="str">
            <val>0.75753</val>
          </value>
        </values>
      </ddeItem>
      <ddeItem name="CADCHF" advise="1">
        <values>
          <value t="str">
            <val>0.75641</val>
          </value>
        </values>
      </ddeItem>
      <ddeItem name="CADJPY" advise="1">
        <values>
          <value>
            <val>80039</val>
          </value>
        </values>
      </ddeItem>
      <ddeItem name="CHFJPY" advise="1">
        <values>
          <value>
            <val>106013</val>
          </value>
        </values>
      </ddeItem>
      <ddeItem name="EURAUD" advise="1">
        <values>
          <value>
            <val>147484</val>
          </value>
        </values>
      </ddeItem>
      <ddeItem name="EURCAD" advise="1">
        <values>
          <value>
            <val>145002</val>
          </value>
        </values>
      </ddeItem>
      <ddeItem name="EURCHF" advise="1">
        <values>
          <value>
            <val>109485</val>
          </value>
        </values>
      </ddeItem>
      <ddeItem name="EURGBP" advise="1">
        <values>
          <value t="str">
            <val>0.83975</val>
          </value>
        </values>
      </ddeItem>
      <ddeItem name="EURJPY" advise="1">
        <values>
          <value>
            <val>116081</val>
          </value>
        </values>
      </ddeItem>
      <ddeItem name="EURNZD" advise="1">
        <values>
          <value>
            <val>153246</val>
          </value>
        </values>
      </ddeItem>
      <ddeItem name="EURUSD" advise="1">
        <values>
          <value>
            <val>111602</val>
          </value>
        </values>
      </ddeItem>
      <ddeItem name="GBPAUD" advise="1">
        <values>
          <value>
            <val>175727</val>
          </value>
        </values>
      </ddeItem>
      <ddeItem name="GBPCAD" advise="1">
        <values>
          <value>
            <val>172804</val>
          </value>
        </values>
      </ddeItem>
      <ddeItem name="GBPCHF" advise="1">
        <values>
          <value>
            <val>130448</val>
          </value>
        </values>
      </ddeItem>
      <ddeItem name="GBPJPY" advise="1">
        <values>
          <value>
            <val>138266</val>
          </value>
        </values>
      </ddeItem>
      <ddeItem name="GBPNZD" advise="1">
        <values>
          <value>
            <val>182609</val>
          </value>
        </values>
      </ddeItem>
      <ddeItem name="GBPUSD" advise="1">
        <values>
          <value>
            <val>132962</val>
          </value>
        </values>
      </ddeItem>
      <ddeItem name="GOLD" advise="1">
        <values>
          <value t="str">
            <val>N\A</val>
          </value>
        </values>
      </ddeItem>
      <ddeItem name="NZDCAD" advise="1">
        <values>
          <value t="str">
            <val>0.94736</val>
          </value>
        </values>
      </ddeItem>
      <ddeItem name="NZDCHF" advise="1">
        <values>
          <value t="str">
            <val>0.71613</val>
          </value>
        </values>
      </ddeItem>
      <ddeItem name="NZDJPY" advise="1">
        <values>
          <value>
            <val>75788</val>
          </value>
        </values>
      </ddeItem>
      <ddeItem name="NZDUSD" advise="1">
        <values>
          <value t="str">
            <val>0.72953</val>
          </value>
        </values>
      </ddeItem>
      <ddeItem name="SILVER" advise="1">
        <values>
          <value t="str">
            <val>N\A</val>
          </value>
        </values>
      </ddeItem>
      <ddeItem name="StdDocumentName" ole="1" advise="1"/>
      <ddeItem name="USDCAD" advise="1">
        <values>
          <value>
            <val>130009</val>
          </value>
        </values>
      </ddeItem>
      <ddeItem name="USDCHF" advise="1">
        <values>
          <value t="str">
            <val>0.98131</val>
          </value>
        </values>
      </ddeItem>
      <ddeItem name="USDJPY" advise="1">
        <values>
          <value>
            <val>103949</val>
          </value>
        </values>
      </ddeItem>
      <ddeItem name="XAUUSD" advise="1">
        <values>
          <value t="str">
            <val>N\A</val>
          </value>
        </values>
      </ddeItem>
    </ddeItems>
  </ddeLin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Main"/>
      <sheetName val="Details"/>
      <sheetName val="Sentmen"/>
      <sheetName val="1"/>
      <sheetName val="2"/>
      <sheetName val="3"/>
      <sheetName val="Input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</sheetNames>
    <sheetDataSet>
      <sheetData sheetId="0">
        <row r="24">
          <cell r="CB24" t="str">
            <v>JPY</v>
          </cell>
          <cell r="CC24">
            <v>0.72503485705951642</v>
          </cell>
        </row>
        <row r="25">
          <cell r="CB25" t="str">
            <v>EUR</v>
          </cell>
          <cell r="CC25">
            <v>0.63397841941615207</v>
          </cell>
        </row>
        <row r="26">
          <cell r="CB26" t="str">
            <v>GBP</v>
          </cell>
          <cell r="CC26">
            <v>0.60851780891863461</v>
          </cell>
        </row>
        <row r="27">
          <cell r="CB27" t="str">
            <v>CHF</v>
          </cell>
          <cell r="CC27">
            <v>0.56483814303688418</v>
          </cell>
        </row>
        <row r="28">
          <cell r="CB28" t="str">
            <v>USD</v>
          </cell>
          <cell r="CC28">
            <v>0.53125950254652687</v>
          </cell>
        </row>
        <row r="29">
          <cell r="CB29" t="str">
            <v>CAD</v>
          </cell>
          <cell r="CC29">
            <v>0.35636988468780462</v>
          </cell>
        </row>
        <row r="30">
          <cell r="CB30" t="str">
            <v>AUD</v>
          </cell>
          <cell r="CC30">
            <v>0.34531897267258632</v>
          </cell>
        </row>
        <row r="31">
          <cell r="CB31" t="str">
            <v>NZD</v>
          </cell>
          <cell r="CC31">
            <v>0.23468241166189494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R223"/>
  <sheetViews>
    <sheetView showGridLines="0" showRowColHeaders="0" tabSelected="1" topLeftCell="D48" zoomScale="68" zoomScaleNormal="68" workbookViewId="0">
      <selection activeCell="J20" sqref="J20"/>
    </sheetView>
  </sheetViews>
  <sheetFormatPr baseColWidth="10" defaultColWidth="9.140625" defaultRowHeight="15"/>
  <cols>
    <col min="1" max="1" width="10.5703125" customWidth="1"/>
    <col min="2" max="28" width="9.7109375" customWidth="1"/>
    <col min="29" max="30" width="10.85546875" customWidth="1"/>
    <col min="31" max="31" width="3.42578125" customWidth="1"/>
    <col min="32" max="39" width="10.7109375" customWidth="1"/>
    <col min="40" max="40" width="3.42578125" customWidth="1"/>
    <col min="45" max="45" width="10.5703125" customWidth="1"/>
    <col min="48" max="48" width="15.5703125" customWidth="1"/>
    <col min="49" max="49" width="3.5703125" customWidth="1"/>
    <col min="87" max="87" width="21.5703125" customWidth="1"/>
    <col min="91" max="92" width="14.28515625" customWidth="1"/>
    <col min="95" max="95" width="14.7109375" customWidth="1"/>
    <col min="99" max="99" width="19.85546875" customWidth="1"/>
    <col min="101" max="101" width="15.85546875" customWidth="1"/>
    <col min="105" max="105" width="19.85546875" customWidth="1"/>
  </cols>
  <sheetData>
    <row r="1" spans="1:39" ht="15" customHeight="1"/>
    <row r="2" spans="1:39" ht="15" customHeight="1"/>
    <row r="3" spans="1:39" ht="15" customHeight="1"/>
    <row r="4" spans="1:39" ht="15" customHeight="1"/>
    <row r="5" spans="1:39" ht="15" customHeight="1"/>
    <row r="6" spans="1:39" ht="15" customHeight="1"/>
    <row r="7" spans="1:39" ht="15" customHeight="1"/>
    <row r="8" spans="1:39" ht="15" customHeight="1"/>
    <row r="9" spans="1:39" ht="15" customHeight="1"/>
    <row r="10" spans="1:39" ht="15" customHeight="1">
      <c r="A10" s="18" t="e">
        <f>DE104</f>
        <v>#VALUE!</v>
      </c>
      <c r="B10" s="19" t="e">
        <f>DE105</f>
        <v>#VALUE!</v>
      </c>
      <c r="C10" s="19" t="e">
        <f>DE106</f>
        <v>#VALUE!</v>
      </c>
      <c r="D10" s="19" t="e">
        <f>DE107</f>
        <v>#VALUE!</v>
      </c>
      <c r="E10" s="19" t="e">
        <f>DE108</f>
        <v>#VALUE!</v>
      </c>
      <c r="F10" s="19" t="e">
        <f>DE109</f>
        <v>#VALUE!</v>
      </c>
      <c r="G10" s="19" t="e">
        <f>DE110</f>
        <v>#VALUE!</v>
      </c>
      <c r="H10" s="20" t="e">
        <f>DE111</f>
        <v>#VALUE!</v>
      </c>
    </row>
    <row r="11" spans="1:39" ht="15" customHeight="1">
      <c r="A11" s="21" t="e">
        <f>DC104</f>
        <v>#VALUE!</v>
      </c>
      <c r="B11" s="22" t="e">
        <f>DC105</f>
        <v>#VALUE!</v>
      </c>
      <c r="C11" s="22" t="e">
        <f>DC106</f>
        <v>#VALUE!</v>
      </c>
      <c r="D11" s="22" t="e">
        <f>DC107</f>
        <v>#VALUE!</v>
      </c>
      <c r="E11" s="22" t="e">
        <f>DC108</f>
        <v>#VALUE!</v>
      </c>
      <c r="F11" s="22" t="e">
        <f>DC109</f>
        <v>#VALUE!</v>
      </c>
      <c r="G11" s="22" t="e">
        <f>DC110</f>
        <v>#VALUE!</v>
      </c>
      <c r="H11" s="23" t="e">
        <f>DC111</f>
        <v>#VALUE!</v>
      </c>
    </row>
    <row r="12" spans="1:39" ht="15" customHeight="1">
      <c r="A12" s="25"/>
      <c r="B12" s="25"/>
      <c r="C12" s="25"/>
      <c r="D12" s="25"/>
      <c r="E12" s="25"/>
      <c r="F12" s="25"/>
      <c r="G12" s="25"/>
      <c r="H12" s="25"/>
      <c r="I12" s="25"/>
      <c r="J12" s="25"/>
    </row>
    <row r="13" spans="1:39" ht="15" customHeight="1">
      <c r="A13" s="168" t="s">
        <v>0</v>
      </c>
      <c r="B13" s="169"/>
      <c r="C13" s="169"/>
      <c r="D13" s="170"/>
      <c r="E13" s="158" t="s">
        <v>1</v>
      </c>
      <c r="F13" s="158" t="s">
        <v>2</v>
      </c>
      <c r="G13" s="158"/>
      <c r="H13" s="158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5"/>
      <c r="AL13" s="25"/>
      <c r="AM13" s="25"/>
    </row>
    <row r="14" spans="1:39" ht="15" customHeight="1">
      <c r="A14" s="171"/>
      <c r="B14" s="172"/>
      <c r="C14" s="172"/>
      <c r="D14" s="173"/>
      <c r="E14" s="159"/>
      <c r="F14" s="159"/>
      <c r="G14" s="159"/>
      <c r="H14" s="159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/>
      <c r="AJ14" s="25"/>
      <c r="AK14" s="25"/>
      <c r="AL14" s="25"/>
      <c r="AM14" s="25"/>
    </row>
    <row r="15" spans="1:39" ht="15" customHeight="1">
      <c r="A15" s="1" t="s">
        <v>3</v>
      </c>
      <c r="B15" s="2" t="s">
        <v>4</v>
      </c>
      <c r="C15" s="2"/>
      <c r="D15" s="3"/>
      <c r="E15" s="160" t="e">
        <f>SUM(F15:F16)/2</f>
        <v>#VALUE!</v>
      </c>
      <c r="F15" s="4" t="e">
        <f>CX51</f>
        <v>#VALUE!</v>
      </c>
      <c r="G15" s="174" t="e">
        <f t="shared" ref="G15:G22" si="0">IF(AND(F15&gt;=65%),"STRONG",IF(AND(F15&lt;=35%),"WEAK",""))</f>
        <v>#VALUE!</v>
      </c>
      <c r="H15" s="174"/>
      <c r="I15" s="25"/>
      <c r="AB15" s="25"/>
      <c r="AK15" s="25"/>
      <c r="AL15" s="25"/>
      <c r="AM15" s="25"/>
    </row>
    <row r="16" spans="1:39" ht="15" customHeight="1">
      <c r="A16" s="5" t="s">
        <v>5</v>
      </c>
      <c r="B16" s="6" t="s">
        <v>6</v>
      </c>
      <c r="C16" s="6"/>
      <c r="D16" s="7"/>
      <c r="E16" s="175"/>
      <c r="F16" s="8" t="e">
        <f>CX52</f>
        <v>#VALUE!</v>
      </c>
      <c r="G16" s="174" t="e">
        <f t="shared" si="0"/>
        <v>#VALUE!</v>
      </c>
      <c r="H16" s="174"/>
      <c r="I16" s="25"/>
      <c r="AB16" s="25"/>
      <c r="AK16" s="25"/>
      <c r="AL16" s="25"/>
      <c r="AM16" s="25"/>
    </row>
    <row r="17" spans="1:122" ht="15" customHeight="1">
      <c r="A17" s="1" t="s">
        <v>7</v>
      </c>
      <c r="B17" s="2" t="s">
        <v>8</v>
      </c>
      <c r="C17" s="2"/>
      <c r="D17" s="3"/>
      <c r="E17" s="160" t="e">
        <f>SUM(F17:F19)/3</f>
        <v>#VALUE!</v>
      </c>
      <c r="F17" s="4" t="e">
        <f>CX53</f>
        <v>#VALUE!</v>
      </c>
      <c r="G17" s="174" t="e">
        <f t="shared" si="0"/>
        <v>#VALUE!</v>
      </c>
      <c r="H17" s="174"/>
      <c r="I17" s="25"/>
      <c r="AB17" s="25"/>
      <c r="AK17" s="25"/>
      <c r="AL17" s="25"/>
      <c r="AM17" s="25"/>
    </row>
    <row r="18" spans="1:122" ht="15" customHeight="1">
      <c r="A18" s="9" t="s">
        <v>9</v>
      </c>
      <c r="B18" s="10" t="s">
        <v>10</v>
      </c>
      <c r="C18" s="10"/>
      <c r="D18" s="11"/>
      <c r="E18" s="176"/>
      <c r="F18" s="12" t="e">
        <f>CX54</f>
        <v>#VALUE!</v>
      </c>
      <c r="G18" s="174" t="e">
        <f t="shared" si="0"/>
        <v>#VALUE!</v>
      </c>
      <c r="H18" s="174"/>
      <c r="I18" s="25"/>
      <c r="AB18" s="25"/>
      <c r="AK18" s="25"/>
      <c r="AL18" s="25"/>
      <c r="AM18" s="25"/>
    </row>
    <row r="19" spans="1:122" ht="15" customHeight="1">
      <c r="A19" s="5" t="s">
        <v>11</v>
      </c>
      <c r="B19" s="6" t="s">
        <v>12</v>
      </c>
      <c r="C19" s="6"/>
      <c r="D19" s="7"/>
      <c r="E19" s="175"/>
      <c r="F19" s="8">
        <f>CX58</f>
        <v>0.35520624186558158</v>
      </c>
      <c r="G19" s="174" t="str">
        <f t="shared" si="0"/>
        <v/>
      </c>
      <c r="H19" s="174"/>
      <c r="I19" s="25"/>
      <c r="AB19" s="25"/>
      <c r="AK19" s="25"/>
      <c r="AL19" s="25"/>
      <c r="AM19" s="25"/>
    </row>
    <row r="20" spans="1:122" ht="15" customHeight="1">
      <c r="A20" s="13" t="s">
        <v>13</v>
      </c>
      <c r="B20" s="14" t="s">
        <v>14</v>
      </c>
      <c r="C20" s="14"/>
      <c r="D20" s="15"/>
      <c r="E20" s="16"/>
      <c r="F20" s="17" t="e">
        <f>CX56</f>
        <v>#VALUE!</v>
      </c>
      <c r="G20" s="174" t="e">
        <f t="shared" si="0"/>
        <v>#VALUE!</v>
      </c>
      <c r="H20" s="174"/>
      <c r="I20" s="25"/>
      <c r="AB20" s="25"/>
      <c r="AK20" s="25"/>
      <c r="AL20" s="25"/>
      <c r="AM20" s="25"/>
    </row>
    <row r="21" spans="1:122" ht="15" customHeight="1">
      <c r="A21" s="1" t="s">
        <v>15</v>
      </c>
      <c r="B21" s="2" t="s">
        <v>16</v>
      </c>
      <c r="C21" s="2"/>
      <c r="D21" s="3"/>
      <c r="E21" s="160" t="e">
        <f>SUM(F21:F22)/2</f>
        <v>#VALUE!</v>
      </c>
      <c r="F21" s="4" t="e">
        <f>CX57</f>
        <v>#VALUE!</v>
      </c>
      <c r="G21" s="174" t="e">
        <f t="shared" si="0"/>
        <v>#VALUE!</v>
      </c>
      <c r="H21" s="174"/>
    </row>
    <row r="22" spans="1:122" ht="15" customHeight="1">
      <c r="A22" s="5" t="s">
        <v>17</v>
      </c>
      <c r="B22" s="6" t="s">
        <v>18</v>
      </c>
      <c r="C22" s="6"/>
      <c r="D22" s="7"/>
      <c r="E22" s="161"/>
      <c r="F22" s="8" t="e">
        <f>CX55</f>
        <v>#VALUE!</v>
      </c>
      <c r="G22" s="174" t="e">
        <f t="shared" si="0"/>
        <v>#VALUE!</v>
      </c>
      <c r="H22" s="174"/>
    </row>
    <row r="23" spans="1:122" ht="15" customHeight="1"/>
    <row r="24" spans="1:122" ht="15" customHeight="1"/>
    <row r="25" spans="1:122" ht="15" customHeight="1"/>
    <row r="26" spans="1:122" ht="15" customHeight="1">
      <c r="CE26" s="26"/>
      <c r="CF26" s="26" t="s">
        <v>19</v>
      </c>
      <c r="CG26" s="26" t="s">
        <v>20</v>
      </c>
      <c r="CH26" s="26"/>
      <c r="CI26" s="26" t="s">
        <v>21</v>
      </c>
      <c r="CJ26" s="26" t="s">
        <v>22</v>
      </c>
      <c r="CK26" s="26" t="s">
        <v>23</v>
      </c>
      <c r="CL26" s="26" t="s">
        <v>24</v>
      </c>
      <c r="CM26" s="26" t="s">
        <v>25</v>
      </c>
      <c r="CN26" s="26" t="s">
        <v>26</v>
      </c>
      <c r="CO26" s="26"/>
      <c r="CP26" s="26" t="s">
        <v>27</v>
      </c>
      <c r="CQ26" s="26" t="s">
        <v>28</v>
      </c>
      <c r="CR26" s="26"/>
      <c r="CS26" s="26"/>
      <c r="CT26" s="26" t="s">
        <v>29</v>
      </c>
      <c r="CU26" s="26" t="s">
        <v>30</v>
      </c>
      <c r="CV26" s="26"/>
      <c r="CW26" s="26"/>
      <c r="CX26" s="26"/>
      <c r="CY26" s="26"/>
      <c r="CZ26" s="27" t="s">
        <v>31</v>
      </c>
      <c r="DA26" s="28" t="s">
        <v>32</v>
      </c>
      <c r="DB26" s="28" t="s">
        <v>33</v>
      </c>
      <c r="DC26" s="29"/>
      <c r="DD26" s="26" t="s">
        <v>31</v>
      </c>
      <c r="DE26" s="26" t="s">
        <v>32</v>
      </c>
      <c r="DF26" s="26" t="s">
        <v>33</v>
      </c>
      <c r="DG26" s="26" t="s">
        <v>34</v>
      </c>
      <c r="DH26" s="26" t="s">
        <v>35</v>
      </c>
      <c r="DI26" s="26" t="s">
        <v>36</v>
      </c>
      <c r="DJ26" s="26"/>
      <c r="DK26" s="30" t="s">
        <v>3</v>
      </c>
      <c r="DL26" s="26" t="s">
        <v>31</v>
      </c>
      <c r="DM26" s="26" t="s">
        <v>32</v>
      </c>
      <c r="DN26" s="26" t="s">
        <v>33</v>
      </c>
      <c r="DO26" s="26" t="s">
        <v>34</v>
      </c>
      <c r="DP26" s="26" t="s">
        <v>35</v>
      </c>
      <c r="DQ26" s="26" t="s">
        <v>36</v>
      </c>
      <c r="DR26" s="26"/>
    </row>
    <row r="27" spans="1:122" ht="15" customHeight="1">
      <c r="CE27" s="26"/>
      <c r="CF27" s="26"/>
      <c r="CG27" s="26"/>
      <c r="CH27" s="26"/>
      <c r="CI27" s="26"/>
      <c r="CJ27" s="26"/>
      <c r="CK27" s="26"/>
      <c r="CL27" s="26"/>
      <c r="CM27" s="26"/>
      <c r="CN27" s="26"/>
      <c r="CO27" s="26"/>
      <c r="CP27" s="26"/>
      <c r="CQ27" s="26"/>
      <c r="CR27" s="26"/>
      <c r="CS27" s="26"/>
      <c r="CT27" s="26"/>
      <c r="CU27" s="26"/>
      <c r="CV27" s="26"/>
      <c r="CW27" s="26"/>
      <c r="CX27" s="26"/>
      <c r="CY27" s="26"/>
      <c r="CZ27" s="27"/>
      <c r="DA27" s="28"/>
      <c r="DB27" s="28"/>
      <c r="DC27" s="29"/>
      <c r="DD27" s="26"/>
      <c r="DE27" s="26"/>
      <c r="DF27" s="26"/>
      <c r="DG27" s="26"/>
      <c r="DH27" s="26"/>
      <c r="DI27" s="26"/>
      <c r="DJ27" s="26"/>
      <c r="DK27" s="26" t="s">
        <v>37</v>
      </c>
      <c r="DL27" s="26" t="e">
        <f t="shared" ref="DL27:DQ33" si="1">DD28</f>
        <v>#VALUE!</v>
      </c>
      <c r="DM27" s="26" t="e">
        <f t="shared" si="1"/>
        <v>#VALUE!</v>
      </c>
      <c r="DN27" s="31" t="e">
        <f t="shared" si="1"/>
        <v>#VALUE!</v>
      </c>
      <c r="DO27" s="31" t="e">
        <f t="shared" si="1"/>
        <v>#VALUE!</v>
      </c>
      <c r="DP27" s="31" t="e">
        <f t="shared" si="1"/>
        <v>#VALUE!</v>
      </c>
      <c r="DQ27" s="31" t="e">
        <f t="shared" si="1"/>
        <v>#VALUE!</v>
      </c>
      <c r="DR27" s="26"/>
    </row>
    <row r="28" spans="1:122" ht="15" customHeight="1">
      <c r="B28" s="32"/>
      <c r="C28" s="33"/>
      <c r="D28" s="33"/>
      <c r="E28" s="33"/>
      <c r="F28" s="33"/>
      <c r="G28" s="33"/>
      <c r="H28" s="33"/>
      <c r="I28" s="33"/>
      <c r="J28" s="33"/>
      <c r="K28" s="33"/>
      <c r="L28" s="33"/>
      <c r="M28" s="33"/>
      <c r="N28" s="33"/>
      <c r="O28" s="33"/>
      <c r="P28" s="33"/>
      <c r="Q28" s="34">
        <f>CORREL(Q32:Q34,R32:R34)</f>
        <v>0.84151037097580983</v>
      </c>
      <c r="R28" s="35">
        <f>CORREL(Q31:Q33, R31:R33)</f>
        <v>0.98159025455501192</v>
      </c>
      <c r="S28" s="33"/>
      <c r="T28" s="33"/>
      <c r="U28" s="33"/>
      <c r="V28" s="33"/>
      <c r="W28" s="33"/>
      <c r="X28" s="33"/>
      <c r="Y28" s="33"/>
      <c r="Z28" s="33"/>
      <c r="AA28" s="33"/>
      <c r="AB28" s="33"/>
      <c r="AC28" s="33"/>
      <c r="AD28" s="33"/>
      <c r="AE28" s="33"/>
      <c r="AF28" s="33"/>
      <c r="AG28" s="33"/>
      <c r="AH28" s="33"/>
      <c r="CE28" s="26"/>
      <c r="CF28" s="36">
        <f>[1]!EURGBP</f>
        <v>42615.999305555553</v>
      </c>
      <c r="CG28" s="26" t="s">
        <v>37</v>
      </c>
      <c r="CH28" s="26"/>
      <c r="CI28" s="37" t="str">
        <f>[2]!EURGBP</f>
        <v>0.84445</v>
      </c>
      <c r="CJ28" s="37" t="str">
        <f>[3]!EURGBP</f>
        <v>0.83754</v>
      </c>
      <c r="CK28" s="37" t="str">
        <f>[4]!EURGBP</f>
        <v>0.83859</v>
      </c>
      <c r="CL28" s="37" t="str">
        <f>[5]!EURGBP</f>
        <v>0.83975</v>
      </c>
      <c r="CM28" s="38" t="e">
        <f t="shared" ref="CM28:CN55" si="2">(CK28-CJ28)/(CI28-CJ28)</f>
        <v>#VALUE!</v>
      </c>
      <c r="CN28" s="38" t="e">
        <f>(CI28-CL28)/(CI28-CJ28)</f>
        <v>#VALUE!</v>
      </c>
      <c r="CO28" s="26">
        <v>10000</v>
      </c>
      <c r="CP28" s="39" t="e">
        <f>1-CM28</f>
        <v>#VALUE!</v>
      </c>
      <c r="CQ28" s="26" t="e">
        <f>(CL28-CK28)*CO28</f>
        <v>#VALUE!</v>
      </c>
      <c r="CR28" s="38" t="s">
        <v>38</v>
      </c>
      <c r="CS28" s="39" t="e">
        <f>IF(CR28="BUYER",CM28,IF(CR28="SELLER",CN28,""))</f>
        <v>#VALUE!</v>
      </c>
      <c r="CT28" s="40" t="e">
        <f>LOOKUP(100*CM28,CV28:CV49,CW28:CW49)</f>
        <v>#VALUE!</v>
      </c>
      <c r="CU28" s="40" t="e">
        <f>9-CT28</f>
        <v>#VALUE!</v>
      </c>
      <c r="CV28" s="26">
        <v>-250</v>
      </c>
      <c r="CW28" s="26">
        <v>0</v>
      </c>
      <c r="CX28" s="26"/>
      <c r="CY28" s="26"/>
      <c r="CZ28" s="27">
        <f>[6]Input!T23</f>
        <v>0</v>
      </c>
      <c r="DA28" s="28">
        <f>[6]Input!U23</f>
        <v>0</v>
      </c>
      <c r="DB28" s="28">
        <f>[6]Input!V23</f>
        <v>0</v>
      </c>
      <c r="DC28" s="29"/>
      <c r="DD28" s="26" t="e">
        <f>SUM(CK28-CZ28)*CO28</f>
        <v>#VALUE!</v>
      </c>
      <c r="DE28" s="26" t="e">
        <f>SUM(CK28-DA28)*CO28</f>
        <v>#VALUE!</v>
      </c>
      <c r="DF28" s="26" t="e">
        <f>SUM(CK28-DB28)*CO28</f>
        <v>#VALUE!</v>
      </c>
      <c r="DG28" s="26" t="e">
        <f t="shared" ref="DG28:DG55" si="3">(CI28-CJ28)*CO28</f>
        <v>#VALUE!</v>
      </c>
      <c r="DH28" s="26" t="e">
        <f t="shared" ref="DH28:DH55" si="4">SUM(CI28-DB28)*CO28</f>
        <v>#VALUE!</v>
      </c>
      <c r="DI28" s="26" t="e">
        <f t="shared" ref="DI28:DI55" si="5">SUM(DB28-CJ28)*CO28</f>
        <v>#VALUE!</v>
      </c>
      <c r="DJ28" s="26"/>
      <c r="DK28" s="26" t="s">
        <v>39</v>
      </c>
      <c r="DL28" s="26">
        <f t="shared" si="1"/>
        <v>1472130000</v>
      </c>
      <c r="DM28" s="26">
        <f t="shared" si="1"/>
        <v>1472130000</v>
      </c>
      <c r="DN28" s="31">
        <f t="shared" si="1"/>
        <v>1472130000</v>
      </c>
      <c r="DO28" s="31">
        <f t="shared" si="1"/>
        <v>12550000</v>
      </c>
      <c r="DP28" s="31">
        <f t="shared" si="1"/>
        <v>1484680000</v>
      </c>
      <c r="DQ28" s="31">
        <f t="shared" si="1"/>
        <v>-1472130000</v>
      </c>
      <c r="DR28" s="26"/>
    </row>
    <row r="29" spans="1:122" ht="15" customHeight="1" thickBot="1">
      <c r="B29" s="32"/>
      <c r="C29" s="33"/>
      <c r="D29" s="33"/>
      <c r="E29" s="33"/>
      <c r="F29" s="33"/>
      <c r="G29" s="33"/>
      <c r="H29" s="33"/>
      <c r="I29" s="33"/>
      <c r="J29" s="33"/>
      <c r="K29" s="33"/>
      <c r="L29" s="33"/>
      <c r="M29" s="33"/>
      <c r="N29" s="33"/>
      <c r="O29" s="33"/>
      <c r="P29" s="33"/>
      <c r="Q29" s="33"/>
      <c r="R29" s="33"/>
      <c r="S29" s="33"/>
      <c r="T29" s="33"/>
      <c r="U29" s="33"/>
      <c r="V29" s="33"/>
      <c r="W29" s="33"/>
      <c r="X29" s="33"/>
      <c r="Y29" s="33"/>
      <c r="Z29" s="33"/>
      <c r="AA29" s="33"/>
      <c r="AB29" s="33"/>
      <c r="AC29" s="33"/>
      <c r="AD29" s="33"/>
      <c r="AE29" s="41"/>
      <c r="AF29" s="33"/>
      <c r="AG29" s="33"/>
      <c r="AH29" s="33"/>
      <c r="CE29" s="26"/>
      <c r="CF29" s="36">
        <f>[1]!EURAUD</f>
        <v>42615.999305555553</v>
      </c>
      <c r="CG29" s="26" t="s">
        <v>39</v>
      </c>
      <c r="CH29" s="26"/>
      <c r="CI29" s="37">
        <f>[2]!EURAUD</f>
        <v>148468</v>
      </c>
      <c r="CJ29" s="37">
        <f>[3]!EURAUD</f>
        <v>147213</v>
      </c>
      <c r="CK29" s="37">
        <f>[4]!EURAUD</f>
        <v>147213</v>
      </c>
      <c r="CL29" s="37">
        <f>[5]!EURAUD</f>
        <v>147484</v>
      </c>
      <c r="CM29" s="38">
        <f t="shared" si="2"/>
        <v>0</v>
      </c>
      <c r="CN29" s="38" t="e">
        <f t="shared" si="2"/>
        <v>#DIV/0!</v>
      </c>
      <c r="CO29" s="26">
        <v>10000</v>
      </c>
      <c r="CP29" s="39">
        <f t="shared" ref="CP29:CP55" si="6">1-CM29</f>
        <v>1</v>
      </c>
      <c r="CQ29" s="26">
        <f t="shared" ref="CQ29:CQ55" si="7">(CL29-CK29)*CO29</f>
        <v>2710000</v>
      </c>
      <c r="CR29" s="38" t="s">
        <v>38</v>
      </c>
      <c r="CS29" s="39">
        <f t="shared" ref="CS29:CS55" si="8">IF(CR29="BUYER",CM29,IF(CR29="SELLER",CN29,""))</f>
        <v>0</v>
      </c>
      <c r="CT29" s="40">
        <f>LOOKUP(100*CM29,CV28:CV49,CW28:CW49)</f>
        <v>0</v>
      </c>
      <c r="CU29" s="40">
        <f t="shared" ref="CU29:CU55" si="9">9-CT29</f>
        <v>9</v>
      </c>
      <c r="CV29" s="26">
        <v>0</v>
      </c>
      <c r="CW29" s="26">
        <v>0</v>
      </c>
      <c r="CX29" s="26"/>
      <c r="CY29" s="26"/>
      <c r="CZ29" s="27">
        <f>[6]Input!T24</f>
        <v>0</v>
      </c>
      <c r="DA29" s="28">
        <f>[6]Input!U24</f>
        <v>0</v>
      </c>
      <c r="DB29" s="28">
        <f>[6]Input!V24</f>
        <v>0</v>
      </c>
      <c r="DC29" s="29"/>
      <c r="DD29" s="26">
        <f t="shared" ref="DD29:DD55" si="10">SUM(CK29-CZ29)*CO29</f>
        <v>1472130000</v>
      </c>
      <c r="DE29" s="26">
        <f t="shared" ref="DE29:DE55" si="11">SUM(CK29-DA29)*CO29</f>
        <v>1472130000</v>
      </c>
      <c r="DF29" s="26">
        <f t="shared" ref="DF29:DF55" si="12">SUM(CK29-DB29)*CO29</f>
        <v>1472130000</v>
      </c>
      <c r="DG29" s="26">
        <f t="shared" si="3"/>
        <v>12550000</v>
      </c>
      <c r="DH29" s="26">
        <f t="shared" si="4"/>
        <v>1484680000</v>
      </c>
      <c r="DI29" s="26">
        <f t="shared" si="5"/>
        <v>-1472130000</v>
      </c>
      <c r="DJ29" s="26"/>
      <c r="DK29" s="26" t="s">
        <v>40</v>
      </c>
      <c r="DL29" s="26">
        <f t="shared" si="1"/>
        <v>1529970000</v>
      </c>
      <c r="DM29" s="26">
        <f t="shared" si="1"/>
        <v>1529970000</v>
      </c>
      <c r="DN29" s="31">
        <f t="shared" si="1"/>
        <v>1529970000</v>
      </c>
      <c r="DO29" s="31">
        <f t="shared" si="1"/>
        <v>12540000</v>
      </c>
      <c r="DP29" s="31">
        <f t="shared" si="1"/>
        <v>1538590000</v>
      </c>
      <c r="DQ29" s="31">
        <f t="shared" si="1"/>
        <v>-1526050000</v>
      </c>
      <c r="DR29" s="26"/>
    </row>
    <row r="30" spans="1:122" ht="15" customHeight="1" thickBot="1">
      <c r="B30" s="42" t="s">
        <v>41</v>
      </c>
      <c r="C30" s="43" t="s">
        <v>42</v>
      </c>
      <c r="D30" s="44" t="s">
        <v>43</v>
      </c>
      <c r="E30" s="44" t="s">
        <v>44</v>
      </c>
      <c r="F30" s="44" t="s">
        <v>45</v>
      </c>
      <c r="G30" s="44" t="s">
        <v>46</v>
      </c>
      <c r="H30" s="44" t="s">
        <v>47</v>
      </c>
      <c r="I30" s="44" t="s">
        <v>48</v>
      </c>
      <c r="J30" s="44" t="s">
        <v>49</v>
      </c>
      <c r="K30" s="44" t="s">
        <v>39</v>
      </c>
      <c r="L30" s="44" t="s">
        <v>50</v>
      </c>
      <c r="M30" s="44" t="s">
        <v>51</v>
      </c>
      <c r="N30" s="44" t="s">
        <v>37</v>
      </c>
      <c r="O30" s="44" t="s">
        <v>52</v>
      </c>
      <c r="P30" s="44" t="s">
        <v>40</v>
      </c>
      <c r="Q30" s="44" t="s">
        <v>53</v>
      </c>
      <c r="R30" s="44" t="s">
        <v>54</v>
      </c>
      <c r="S30" s="44" t="s">
        <v>55</v>
      </c>
      <c r="T30" s="44" t="s">
        <v>56</v>
      </c>
      <c r="U30" s="44" t="s">
        <v>57</v>
      </c>
      <c r="V30" s="44" t="s">
        <v>58</v>
      </c>
      <c r="W30" s="44" t="s">
        <v>59</v>
      </c>
      <c r="X30" s="44" t="s">
        <v>60</v>
      </c>
      <c r="Y30" s="44" t="s">
        <v>61</v>
      </c>
      <c r="Z30" s="44" t="s">
        <v>62</v>
      </c>
      <c r="AA30" s="44" t="s">
        <v>63</v>
      </c>
      <c r="AB30" s="44" t="s">
        <v>64</v>
      </c>
      <c r="AC30" s="44" t="s">
        <v>65</v>
      </c>
      <c r="AD30" s="45" t="s">
        <v>66</v>
      </c>
      <c r="AE30" s="46"/>
      <c r="AF30" s="47" t="e">
        <f>#REF!</f>
        <v>#REF!</v>
      </c>
      <c r="AG30" s="48">
        <v>0</v>
      </c>
      <c r="AH30" s="48">
        <v>0</v>
      </c>
      <c r="AO30" s="30" t="s">
        <v>3</v>
      </c>
      <c r="AP30" s="49" t="e">
        <f>E46</f>
        <v>#VALUE!</v>
      </c>
      <c r="CE30" s="26"/>
      <c r="CF30" s="36">
        <f>[1]!EURNZD</f>
        <v>42615.999305555553</v>
      </c>
      <c r="CG30" s="26" t="s">
        <v>40</v>
      </c>
      <c r="CH30" s="26"/>
      <c r="CI30" s="37">
        <f>[2]!EURNZD</f>
        <v>153859</v>
      </c>
      <c r="CJ30" s="37">
        <f>[3]!EURNZD</f>
        <v>152605</v>
      </c>
      <c r="CK30" s="37">
        <f>[4]!EURNZD</f>
        <v>152997</v>
      </c>
      <c r="CL30" s="37">
        <f>[5]!EURNZD</f>
        <v>153246</v>
      </c>
      <c r="CM30" s="38">
        <f t="shared" si="2"/>
        <v>0.31259968102073366</v>
      </c>
      <c r="CN30" s="38">
        <f t="shared" ref="CN30:CN55" si="13">(CI30-CL30)/(CI30-CJ30)</f>
        <v>0.48883572567783096</v>
      </c>
      <c r="CO30" s="26">
        <v>10000</v>
      </c>
      <c r="CP30" s="39">
        <f t="shared" si="6"/>
        <v>0.68740031897926634</v>
      </c>
      <c r="CQ30" s="26">
        <f t="shared" si="7"/>
        <v>2490000</v>
      </c>
      <c r="CR30" s="38" t="s">
        <v>38</v>
      </c>
      <c r="CS30" s="39">
        <f t="shared" si="8"/>
        <v>0.31259968102073366</v>
      </c>
      <c r="CT30" s="40">
        <f>LOOKUP(100*CM30,CV28:CV49,CW28:CW49)</f>
        <v>3</v>
      </c>
      <c r="CU30" s="40">
        <f t="shared" si="9"/>
        <v>6</v>
      </c>
      <c r="CV30" s="26">
        <v>1.5</v>
      </c>
      <c r="CW30" s="26">
        <v>0.5</v>
      </c>
      <c r="CX30" s="26"/>
      <c r="CY30" s="26"/>
      <c r="CZ30" s="27">
        <f>[6]Input!T25</f>
        <v>0</v>
      </c>
      <c r="DA30" s="28">
        <f>[6]Input!U25</f>
        <v>0</v>
      </c>
      <c r="DB30" s="28">
        <f>[6]Input!V25</f>
        <v>0</v>
      </c>
      <c r="DC30" s="29"/>
      <c r="DD30" s="26">
        <f t="shared" si="10"/>
        <v>1529970000</v>
      </c>
      <c r="DE30" s="26">
        <f t="shared" si="11"/>
        <v>1529970000</v>
      </c>
      <c r="DF30" s="26">
        <f t="shared" si="12"/>
        <v>1529970000</v>
      </c>
      <c r="DG30" s="26">
        <f t="shared" si="3"/>
        <v>12540000</v>
      </c>
      <c r="DH30" s="26">
        <f t="shared" si="4"/>
        <v>1538590000</v>
      </c>
      <c r="DI30" s="26">
        <f t="shared" si="5"/>
        <v>-1526050000</v>
      </c>
      <c r="DJ30" s="26"/>
      <c r="DK30" s="26" t="s">
        <v>50</v>
      </c>
      <c r="DL30" s="26">
        <f t="shared" si="1"/>
        <v>1447700000</v>
      </c>
      <c r="DM30" s="26">
        <f t="shared" si="1"/>
        <v>1447700000</v>
      </c>
      <c r="DN30" s="31">
        <f t="shared" si="1"/>
        <v>1447700000</v>
      </c>
      <c r="DO30" s="31">
        <f t="shared" si="1"/>
        <v>20680000</v>
      </c>
      <c r="DP30" s="31">
        <f t="shared" si="1"/>
        <v>1468340000</v>
      </c>
      <c r="DQ30" s="31">
        <f t="shared" si="1"/>
        <v>-1447660000</v>
      </c>
      <c r="DR30" s="26"/>
    </row>
    <row r="31" spans="1:122" ht="15" customHeight="1">
      <c r="B31" s="50" t="s">
        <v>21</v>
      </c>
      <c r="C31" s="51" t="str">
        <f>[2]!AUDCAD</f>
        <v>0.99163</v>
      </c>
      <c r="D31" s="51" t="str">
        <f>[2]!AUDCHF</f>
        <v>0.74292</v>
      </c>
      <c r="E31" s="52">
        <f>[2]!AUDJPY</f>
        <v>78771</v>
      </c>
      <c r="F31" s="51">
        <f>[2]!AUDNZD</f>
        <v>103863</v>
      </c>
      <c r="G31" s="51" t="str">
        <f>[2]!AUDUSD</f>
        <v>0.76156</v>
      </c>
      <c r="H31" s="51" t="str">
        <f>[2]!CADCHF</f>
        <v>0.75497</v>
      </c>
      <c r="I31" s="52">
        <f>[2]!CADJPY</f>
        <v>80151</v>
      </c>
      <c r="J31" s="52">
        <f>[2]!CHFJPY</f>
        <v>106312</v>
      </c>
      <c r="K31" s="51">
        <f>[2]!EURAUD</f>
        <v>148468</v>
      </c>
      <c r="L31" s="51">
        <f>[2]!EURCAD</f>
        <v>146834</v>
      </c>
      <c r="M31" s="51">
        <f>[2]!EURCHF</f>
        <v>109820</v>
      </c>
      <c r="N31" s="51" t="str">
        <f>[2]!EURGBP</f>
        <v>0.84445</v>
      </c>
      <c r="O31" s="52">
        <f>[2]!EURJPY</f>
        <v>116364</v>
      </c>
      <c r="P31" s="51">
        <f>[2]!EURNZD</f>
        <v>153859</v>
      </c>
      <c r="Q31" s="51">
        <f>[2]!EURUSD</f>
        <v>112520</v>
      </c>
      <c r="R31" s="51">
        <f>[2]!GBPAUD</f>
        <v>176487</v>
      </c>
      <c r="S31" s="51">
        <f>[2]!GBPCAD</f>
        <v>174212</v>
      </c>
      <c r="T31" s="51">
        <f>[2]!GBPCHF</f>
        <v>130699</v>
      </c>
      <c r="U31" s="52">
        <f>[2]!GBPJPY</f>
        <v>138833</v>
      </c>
      <c r="V31" s="51">
        <f>[2]!GBPNZD</f>
        <v>183113</v>
      </c>
      <c r="W31" s="51">
        <f>[2]!GBPUSD</f>
        <v>133521</v>
      </c>
      <c r="X31" s="51" t="str">
        <f>[2]!NZDCAD</f>
        <v>0.95833</v>
      </c>
      <c r="Y31" s="51" t="str">
        <f>[2]!NZDCHF</f>
        <v>0.71805</v>
      </c>
      <c r="Z31" s="52">
        <f>[2]!NZDJPY</f>
        <v>75993</v>
      </c>
      <c r="AA31" s="51" t="str">
        <f>[2]!NZDUSD</f>
        <v>0.73596</v>
      </c>
      <c r="AB31" s="51">
        <f>[2]!USDCAD</f>
        <v>131143</v>
      </c>
      <c r="AC31" s="51" t="str">
        <f>[2]!USDCHF</f>
        <v>0.98189</v>
      </c>
      <c r="AD31" s="53">
        <f>[2]!USDJPY</f>
        <v>104318</v>
      </c>
      <c r="AE31" s="54"/>
      <c r="AF31" s="55" t="str">
        <f>[2]!XAUUSD</f>
        <v>N\A</v>
      </c>
      <c r="AG31" s="48">
        <v>3</v>
      </c>
      <c r="AH31" s="48">
        <v>1</v>
      </c>
      <c r="AO31" s="30" t="s">
        <v>5</v>
      </c>
      <c r="AP31" s="49" t="e">
        <f>F46</f>
        <v>#VALUE!</v>
      </c>
      <c r="CB31" s="56" t="e">
        <f t="shared" ref="CB31:CB38" si="14">DE116</f>
        <v>#VALUE!</v>
      </c>
      <c r="CC31" s="57" t="e">
        <f t="shared" ref="CC31:CC38" si="15">DC116</f>
        <v>#VALUE!</v>
      </c>
      <c r="CE31" s="26"/>
      <c r="CF31" s="36">
        <f>[1]!EURCAD</f>
        <v>42615.999305555553</v>
      </c>
      <c r="CG31" s="26" t="s">
        <v>50</v>
      </c>
      <c r="CH31" s="26"/>
      <c r="CI31" s="37">
        <f>[2]!EURCAD</f>
        <v>146834</v>
      </c>
      <c r="CJ31" s="37">
        <f>[3]!EURCAD</f>
        <v>144766</v>
      </c>
      <c r="CK31" s="37">
        <f>[4]!EURCAD</f>
        <v>144770</v>
      </c>
      <c r="CL31" s="37">
        <f>[5]!EURCAD</f>
        <v>145002</v>
      </c>
      <c r="CM31" s="38">
        <f t="shared" si="2"/>
        <v>1.9342359767891683E-3</v>
      </c>
      <c r="CN31" s="38">
        <f t="shared" si="13"/>
        <v>0.88588007736943908</v>
      </c>
      <c r="CO31" s="26">
        <v>10000</v>
      </c>
      <c r="CP31" s="39">
        <f t="shared" si="6"/>
        <v>0.99806576402321079</v>
      </c>
      <c r="CQ31" s="26">
        <f t="shared" si="7"/>
        <v>2320000</v>
      </c>
      <c r="CR31" s="38" t="s">
        <v>38</v>
      </c>
      <c r="CS31" s="39">
        <f t="shared" si="8"/>
        <v>1.9342359767891683E-3</v>
      </c>
      <c r="CT31" s="40">
        <f>LOOKUP(100*CM31,CV28:CV49,CW28:CW49)</f>
        <v>0</v>
      </c>
      <c r="CU31" s="40">
        <f t="shared" si="9"/>
        <v>9</v>
      </c>
      <c r="CV31" s="26">
        <v>3</v>
      </c>
      <c r="CW31" s="26">
        <v>1</v>
      </c>
      <c r="CX31" s="26"/>
      <c r="CY31" s="26"/>
      <c r="CZ31" s="27">
        <f>[6]Input!T26</f>
        <v>0</v>
      </c>
      <c r="DA31" s="28">
        <f>[6]Input!U26</f>
        <v>0</v>
      </c>
      <c r="DB31" s="28">
        <f>[6]Input!V26</f>
        <v>0</v>
      </c>
      <c r="DC31" s="29"/>
      <c r="DD31" s="26">
        <f t="shared" si="10"/>
        <v>1447700000</v>
      </c>
      <c r="DE31" s="26">
        <f t="shared" si="11"/>
        <v>1447700000</v>
      </c>
      <c r="DF31" s="26">
        <f t="shared" si="12"/>
        <v>1447700000</v>
      </c>
      <c r="DG31" s="26">
        <f t="shared" si="3"/>
        <v>20680000</v>
      </c>
      <c r="DH31" s="26">
        <f t="shared" si="4"/>
        <v>1468340000</v>
      </c>
      <c r="DI31" s="26">
        <f t="shared" si="5"/>
        <v>-1447660000</v>
      </c>
      <c r="DJ31" s="26"/>
      <c r="DK31" s="26" t="s">
        <v>51</v>
      </c>
      <c r="DL31" s="26">
        <f t="shared" si="1"/>
        <v>1092670000</v>
      </c>
      <c r="DM31" s="26">
        <f t="shared" si="1"/>
        <v>1092670000</v>
      </c>
      <c r="DN31" s="31">
        <f t="shared" si="1"/>
        <v>1092670000</v>
      </c>
      <c r="DO31" s="31">
        <f t="shared" si="1"/>
        <v>6540000</v>
      </c>
      <c r="DP31" s="31">
        <f t="shared" si="1"/>
        <v>1098200000</v>
      </c>
      <c r="DQ31" s="31">
        <f t="shared" si="1"/>
        <v>-1091660000</v>
      </c>
      <c r="DR31" s="26"/>
    </row>
    <row r="32" spans="1:122" ht="15" customHeight="1">
      <c r="B32" s="58" t="s">
        <v>24</v>
      </c>
      <c r="C32" s="51" t="str">
        <f>[5]!AUDCAD</f>
        <v>0.98385</v>
      </c>
      <c r="D32" s="51" t="str">
        <f>[5]!AUDCHF</f>
        <v>0.74358</v>
      </c>
      <c r="E32" s="52">
        <f>[5]!AUDJPY</f>
        <v>78724</v>
      </c>
      <c r="F32" s="51">
        <f>[5]!AUDNZD</f>
        <v>103973</v>
      </c>
      <c r="G32" s="51" t="str">
        <f>[5]!AUDUSD</f>
        <v>0.75753</v>
      </c>
      <c r="H32" s="51" t="str">
        <f>[5]!CADCHF</f>
        <v>0.75641</v>
      </c>
      <c r="I32" s="52">
        <f>[5]!CADJPY</f>
        <v>80039</v>
      </c>
      <c r="J32" s="52">
        <f>[5]!CHFJPY</f>
        <v>106013</v>
      </c>
      <c r="K32" s="51">
        <f>[5]!EURAUD</f>
        <v>147484</v>
      </c>
      <c r="L32" s="51">
        <f>[5]!EURCAD</f>
        <v>145002</v>
      </c>
      <c r="M32" s="51">
        <f>[5]!EURCHF</f>
        <v>109485</v>
      </c>
      <c r="N32" s="51" t="str">
        <f>[5]!EURGBP</f>
        <v>0.83975</v>
      </c>
      <c r="O32" s="52">
        <f>[5]!EURJPY</f>
        <v>116081</v>
      </c>
      <c r="P32" s="51">
        <f>[5]!EURNZD</f>
        <v>153246</v>
      </c>
      <c r="Q32" s="51">
        <f>[5]!EURUSD</f>
        <v>111602</v>
      </c>
      <c r="R32" s="51">
        <f>[5]!GBPAUD</f>
        <v>175727</v>
      </c>
      <c r="S32" s="51">
        <f>[5]!GBPCAD</f>
        <v>172804</v>
      </c>
      <c r="T32" s="51">
        <f>[5]!GBPCHF</f>
        <v>130448</v>
      </c>
      <c r="U32" s="52">
        <f>[5]!GBPJPY</f>
        <v>138266</v>
      </c>
      <c r="V32" s="51">
        <f>[5]!GBPNZD</f>
        <v>182609</v>
      </c>
      <c r="W32" s="51">
        <f>[5]!GBPUSD</f>
        <v>132962</v>
      </c>
      <c r="X32" s="51" t="str">
        <f>[5]!NZDCAD</f>
        <v>0.94736</v>
      </c>
      <c r="Y32" s="51" t="str">
        <f>[5]!NZDCHF</f>
        <v>0.71613</v>
      </c>
      <c r="Z32" s="52">
        <f>[5]!NZDJPY</f>
        <v>75788</v>
      </c>
      <c r="AA32" s="51" t="str">
        <f>[5]!NZDUSD</f>
        <v>0.72953</v>
      </c>
      <c r="AB32" s="51">
        <f>[5]!USDCAD</f>
        <v>130009</v>
      </c>
      <c r="AC32" s="51" t="str">
        <f>[5]!USDCHF</f>
        <v>0.98131</v>
      </c>
      <c r="AD32" s="53">
        <f>[5]!USDJPY</f>
        <v>103949</v>
      </c>
      <c r="AE32" s="54"/>
      <c r="AF32" s="55" t="str">
        <f>[5]!XAUUSD</f>
        <v>N\A</v>
      </c>
      <c r="AG32" s="48">
        <v>10</v>
      </c>
      <c r="AH32" s="48">
        <v>2</v>
      </c>
      <c r="AO32" s="30" t="s">
        <v>7</v>
      </c>
      <c r="AP32" s="49" t="e">
        <f>I46</f>
        <v>#VALUE!</v>
      </c>
      <c r="CB32" s="56" t="e">
        <f t="shared" si="14"/>
        <v>#VALUE!</v>
      </c>
      <c r="CC32" s="57" t="e">
        <f t="shared" si="15"/>
        <v>#VALUE!</v>
      </c>
      <c r="CE32" s="26"/>
      <c r="CF32" s="36">
        <f>[1]!EURCHF</f>
        <v>42615.999305555553</v>
      </c>
      <c r="CG32" s="26" t="s">
        <v>51</v>
      </c>
      <c r="CH32" s="26"/>
      <c r="CI32" s="37">
        <f>[2]!EURCHF</f>
        <v>109820</v>
      </c>
      <c r="CJ32" s="37">
        <f>[3]!EURCHF</f>
        <v>109166</v>
      </c>
      <c r="CK32" s="37">
        <f>[4]!EURCHF</f>
        <v>109267</v>
      </c>
      <c r="CL32" s="37">
        <f>[5]!EURCHF</f>
        <v>109485</v>
      </c>
      <c r="CM32" s="38">
        <f t="shared" si="2"/>
        <v>0.15443425076452599</v>
      </c>
      <c r="CN32" s="38">
        <f t="shared" si="13"/>
        <v>0.51223241590214064</v>
      </c>
      <c r="CO32" s="26">
        <v>10000</v>
      </c>
      <c r="CP32" s="39">
        <f t="shared" si="6"/>
        <v>0.84556574923547401</v>
      </c>
      <c r="CQ32" s="26">
        <f t="shared" si="7"/>
        <v>2180000</v>
      </c>
      <c r="CR32" s="38" t="s">
        <v>38</v>
      </c>
      <c r="CS32" s="39">
        <f t="shared" si="8"/>
        <v>0.15443425076452599</v>
      </c>
      <c r="CT32" s="40">
        <f>LOOKUP(100*CM32,CV28:CV49,CW28:CW49)</f>
        <v>2</v>
      </c>
      <c r="CU32" s="40">
        <f t="shared" si="9"/>
        <v>7</v>
      </c>
      <c r="CV32" s="26">
        <v>6.5</v>
      </c>
      <c r="CW32" s="26">
        <v>1.5</v>
      </c>
      <c r="CX32" s="26"/>
      <c r="CY32" s="26"/>
      <c r="CZ32" s="27">
        <f>[6]Input!T27</f>
        <v>0</v>
      </c>
      <c r="DA32" s="28">
        <f>[6]Input!U27</f>
        <v>0</v>
      </c>
      <c r="DB32" s="28">
        <f>[6]Input!V27</f>
        <v>0</v>
      </c>
      <c r="DC32" s="29"/>
      <c r="DD32" s="26">
        <f t="shared" si="10"/>
        <v>1092670000</v>
      </c>
      <c r="DE32" s="26">
        <f t="shared" si="11"/>
        <v>1092670000</v>
      </c>
      <c r="DF32" s="26">
        <f t="shared" si="12"/>
        <v>1092670000</v>
      </c>
      <c r="DG32" s="26">
        <f t="shared" si="3"/>
        <v>6540000</v>
      </c>
      <c r="DH32" s="26">
        <f t="shared" si="4"/>
        <v>1098200000</v>
      </c>
      <c r="DI32" s="26">
        <f t="shared" si="5"/>
        <v>-1091660000</v>
      </c>
      <c r="DJ32" s="26"/>
      <c r="DK32" s="26" t="s">
        <v>53</v>
      </c>
      <c r="DL32" s="26">
        <f t="shared" si="1"/>
        <v>1115190000</v>
      </c>
      <c r="DM32" s="26">
        <f t="shared" si="1"/>
        <v>1115190000</v>
      </c>
      <c r="DN32" s="31">
        <f t="shared" si="1"/>
        <v>1115190000</v>
      </c>
      <c r="DO32" s="31">
        <f t="shared" si="1"/>
        <v>10160000</v>
      </c>
      <c r="DP32" s="31">
        <f t="shared" si="1"/>
        <v>1125200000</v>
      </c>
      <c r="DQ32" s="31">
        <f t="shared" si="1"/>
        <v>-1115040000</v>
      </c>
      <c r="DR32" s="26"/>
    </row>
    <row r="33" spans="2:122">
      <c r="B33" s="58" t="s">
        <v>23</v>
      </c>
      <c r="C33" s="51" t="str">
        <f>[4]!AUDCAD</f>
        <v>0.98286</v>
      </c>
      <c r="D33" s="59" t="str">
        <f>[4]!AUDCHF</f>
        <v>0.74123</v>
      </c>
      <c r="E33" s="52">
        <f>[4]!AUDJPY</f>
        <v>78625</v>
      </c>
      <c r="F33" s="51">
        <f>[4]!AUDNZD</f>
        <v>103863</v>
      </c>
      <c r="G33" s="51" t="str">
        <f>[4]!AUDUSD</f>
        <v>0.75667</v>
      </c>
      <c r="H33" s="51" t="str">
        <f>[4]!CADCHF</f>
        <v>0.75342</v>
      </c>
      <c r="I33" s="52">
        <f>[4]!CADJPY</f>
        <v>79940</v>
      </c>
      <c r="J33" s="52">
        <f>[4]!CHFJPY</f>
        <v>105914</v>
      </c>
      <c r="K33" s="51">
        <f>[4]!EURAUD</f>
        <v>147213</v>
      </c>
      <c r="L33" s="51">
        <f>[4]!EURCAD</f>
        <v>144770</v>
      </c>
      <c r="M33" s="51">
        <f>[4]!EURCHF</f>
        <v>109267</v>
      </c>
      <c r="N33" s="51" t="str">
        <f>[4]!EURGBP</f>
        <v>0.83859</v>
      </c>
      <c r="O33" s="52">
        <f>[4]!EURJPY</f>
        <v>115787</v>
      </c>
      <c r="P33" s="51">
        <f>[4]!EURNZD</f>
        <v>152997</v>
      </c>
      <c r="Q33" s="51">
        <f>[4]!EURUSD</f>
        <v>111519</v>
      </c>
      <c r="R33" s="51">
        <f>[4]!GBPAUD</f>
        <v>175442</v>
      </c>
      <c r="S33" s="51">
        <f>[4]!GBPCAD</f>
        <v>172540</v>
      </c>
      <c r="T33" s="51">
        <f>[4]!GBPCHF</f>
        <v>130252</v>
      </c>
      <c r="U33" s="52">
        <f>[4]!GBPJPY</f>
        <v>138017</v>
      </c>
      <c r="V33" s="51">
        <f>[4]!GBPNZD</f>
        <v>182310</v>
      </c>
      <c r="W33" s="51">
        <f>[4]!GBPUSD</f>
        <v>132900</v>
      </c>
      <c r="X33" s="51" t="str">
        <f>[4]!NZDCAD</f>
        <v>0.94587</v>
      </c>
      <c r="Y33" s="51" t="str">
        <f>[4]!NZDCHF</f>
        <v>0.71391</v>
      </c>
      <c r="Z33" s="52">
        <f>[4]!NZDJPY</f>
        <v>75639</v>
      </c>
      <c r="AA33" s="51" t="str">
        <f>[4]!NZDUSD</f>
        <v>0.72754</v>
      </c>
      <c r="AB33" s="51">
        <f>[4]!USDCAD</f>
        <v>129860</v>
      </c>
      <c r="AC33" s="51" t="str">
        <f>[4]!USDCHF</f>
        <v>0.97961</v>
      </c>
      <c r="AD33" s="53">
        <f>[4]!USDJPY</f>
        <v>103850</v>
      </c>
      <c r="AE33" s="54"/>
      <c r="AF33" s="55" t="str">
        <f>[4]!XAUUSD</f>
        <v>N\A</v>
      </c>
      <c r="AG33" s="48">
        <v>25</v>
      </c>
      <c r="AH33" s="48">
        <v>3</v>
      </c>
      <c r="AO33" s="30" t="s">
        <v>9</v>
      </c>
      <c r="AP33" s="49" t="e">
        <f>J46</f>
        <v>#VALUE!</v>
      </c>
      <c r="CB33" s="56" t="e">
        <f t="shared" si="14"/>
        <v>#VALUE!</v>
      </c>
      <c r="CC33" s="57" t="e">
        <f t="shared" si="15"/>
        <v>#VALUE!</v>
      </c>
      <c r="CE33" s="26"/>
      <c r="CF33" s="36">
        <f>[1]!EURUSD</f>
        <v>42615.999305555553</v>
      </c>
      <c r="CG33" s="26" t="s">
        <v>53</v>
      </c>
      <c r="CH33" s="26"/>
      <c r="CI33" s="37">
        <f>[2]!EURUSD</f>
        <v>112520</v>
      </c>
      <c r="CJ33" s="37">
        <f>[3]!EURUSD</f>
        <v>111504</v>
      </c>
      <c r="CK33" s="37">
        <f>[4]!EURUSD</f>
        <v>111519</v>
      </c>
      <c r="CL33" s="37">
        <f>[5]!EURUSD</f>
        <v>111602</v>
      </c>
      <c r="CM33" s="38">
        <f t="shared" si="2"/>
        <v>1.4763779527559055E-2</v>
      </c>
      <c r="CN33" s="38">
        <f t="shared" si="13"/>
        <v>0.90354330708661412</v>
      </c>
      <c r="CO33" s="26">
        <v>10000</v>
      </c>
      <c r="CP33" s="39">
        <f t="shared" si="6"/>
        <v>0.98523622047244097</v>
      </c>
      <c r="CQ33" s="26">
        <f t="shared" si="7"/>
        <v>830000</v>
      </c>
      <c r="CR33" s="38" t="s">
        <v>38</v>
      </c>
      <c r="CS33" s="39">
        <f t="shared" si="8"/>
        <v>1.4763779527559055E-2</v>
      </c>
      <c r="CT33" s="40">
        <f>LOOKUP(100*CM33,CV28:CV49,CW28:CW49)</f>
        <v>0</v>
      </c>
      <c r="CU33" s="40">
        <f t="shared" si="9"/>
        <v>9</v>
      </c>
      <c r="CV33" s="26">
        <v>10</v>
      </c>
      <c r="CW33" s="26">
        <v>2</v>
      </c>
      <c r="CX33" s="26"/>
      <c r="CY33" s="26"/>
      <c r="CZ33" s="27">
        <f>[6]Input!T28</f>
        <v>0</v>
      </c>
      <c r="DA33" s="28">
        <f>[6]Input!U28</f>
        <v>0</v>
      </c>
      <c r="DB33" s="28">
        <f>[6]Input!V28</f>
        <v>0</v>
      </c>
      <c r="DC33" s="29"/>
      <c r="DD33" s="26">
        <f t="shared" si="10"/>
        <v>1115190000</v>
      </c>
      <c r="DE33" s="26">
        <f t="shared" si="11"/>
        <v>1115190000</v>
      </c>
      <c r="DF33" s="26">
        <f t="shared" si="12"/>
        <v>1115190000</v>
      </c>
      <c r="DG33" s="26">
        <f t="shared" si="3"/>
        <v>10160000</v>
      </c>
      <c r="DH33" s="26">
        <f t="shared" si="4"/>
        <v>1125200000</v>
      </c>
      <c r="DI33" s="26">
        <f t="shared" si="5"/>
        <v>-1115040000</v>
      </c>
      <c r="DJ33" s="26"/>
      <c r="DK33" s="26" t="s">
        <v>52</v>
      </c>
      <c r="DL33" s="26">
        <f t="shared" si="1"/>
        <v>11578700</v>
      </c>
      <c r="DM33" s="26">
        <f t="shared" si="1"/>
        <v>11578700</v>
      </c>
      <c r="DN33" s="31">
        <f t="shared" si="1"/>
        <v>11578700</v>
      </c>
      <c r="DO33" s="31">
        <f t="shared" si="1"/>
        <v>87200</v>
      </c>
      <c r="DP33" s="31">
        <f t="shared" si="1"/>
        <v>11636400</v>
      </c>
      <c r="DQ33" s="31">
        <f t="shared" si="1"/>
        <v>-11549200</v>
      </c>
      <c r="DR33" s="26"/>
    </row>
    <row r="34" spans="2:122" ht="15" customHeight="1" thickBot="1">
      <c r="B34" s="60" t="s">
        <v>22</v>
      </c>
      <c r="C34" s="61" t="str">
        <f>[3]!AUDCAD</f>
        <v>0.98211</v>
      </c>
      <c r="D34" s="61" t="str">
        <f>[3]!AUDCHF</f>
        <v>0.73738</v>
      </c>
      <c r="E34" s="62">
        <f>[3]!AUDJPY</f>
        <v>77863</v>
      </c>
      <c r="F34" s="61">
        <f>[3]!AUDNZD</f>
        <v>103385</v>
      </c>
      <c r="G34" s="61" t="str">
        <f>[3]!AUDUSD</f>
        <v>0.75359</v>
      </c>
      <c r="H34" s="61" t="str">
        <f>[3]!CADCHF</f>
        <v>0.74626</v>
      </c>
      <c r="I34" s="62">
        <f>[3]!CADJPY</f>
        <v>78749</v>
      </c>
      <c r="J34" s="62">
        <f>[3]!CHFJPY</f>
        <v>105257</v>
      </c>
      <c r="K34" s="61">
        <f>[3]!EURAUD</f>
        <v>147213</v>
      </c>
      <c r="L34" s="61">
        <f>[3]!EURCAD</f>
        <v>144766</v>
      </c>
      <c r="M34" s="61">
        <f>[3]!EURCHF</f>
        <v>109166</v>
      </c>
      <c r="N34" s="61" t="str">
        <f>[3]!EURGBP</f>
        <v>0.83754</v>
      </c>
      <c r="O34" s="62">
        <f>[3]!EURJPY</f>
        <v>115492</v>
      </c>
      <c r="P34" s="61">
        <f>[3]!EURNZD</f>
        <v>152605</v>
      </c>
      <c r="Q34" s="61">
        <f>[3]!EURUSD</f>
        <v>111504</v>
      </c>
      <c r="R34" s="61">
        <f>[3]!GBPAUD</f>
        <v>174873</v>
      </c>
      <c r="S34" s="61">
        <f>[3]!GBPCAD</f>
        <v>172534</v>
      </c>
      <c r="T34" s="61">
        <f>[3]!GBPCHF</f>
        <v>129708</v>
      </c>
      <c r="U34" s="62">
        <f>[3]!GBPJPY</f>
        <v>136896</v>
      </c>
      <c r="V34" s="61">
        <f>[3]!GBPNZD</f>
        <v>180909</v>
      </c>
      <c r="W34" s="61">
        <f>[3]!GBPUSD</f>
        <v>132523</v>
      </c>
      <c r="X34" s="61" t="str">
        <f>[3]!NZDCAD</f>
        <v>0.94587</v>
      </c>
      <c r="Y34" s="61" t="str">
        <f>[3]!NZDCHF</f>
        <v>0.71252</v>
      </c>
      <c r="Z34" s="62">
        <f>[3]!NZDJPY</f>
        <v>75122</v>
      </c>
      <c r="AA34" s="61" t="str">
        <f>[3]!NZDUSD</f>
        <v>0.72681</v>
      </c>
      <c r="AB34" s="61">
        <f>[3]!USDCAD</f>
        <v>129801</v>
      </c>
      <c r="AC34" s="61" t="str">
        <f>[3]!USDCHF</f>
        <v>0.97392</v>
      </c>
      <c r="AD34" s="63">
        <f>[3]!USDJPY</f>
        <v>102801</v>
      </c>
      <c r="AE34" s="54"/>
      <c r="AF34" s="64" t="str">
        <f>[3]!XAUUSD</f>
        <v>N\A</v>
      </c>
      <c r="AG34" s="48">
        <v>40</v>
      </c>
      <c r="AH34" s="48">
        <v>4</v>
      </c>
      <c r="AO34" s="30" t="s">
        <v>17</v>
      </c>
      <c r="AP34" s="49" t="e">
        <f>H46</f>
        <v>#VALUE!</v>
      </c>
      <c r="CB34" s="56" t="e">
        <f t="shared" si="14"/>
        <v>#VALUE!</v>
      </c>
      <c r="CC34" s="57" t="e">
        <f t="shared" si="15"/>
        <v>#VALUE!</v>
      </c>
      <c r="CE34" s="26"/>
      <c r="CF34" s="36">
        <f>[1]!EURJPY</f>
        <v>42615.999305555553</v>
      </c>
      <c r="CG34" s="26" t="s">
        <v>52</v>
      </c>
      <c r="CH34" s="26"/>
      <c r="CI34" s="37">
        <f>[2]!EURJPY</f>
        <v>116364</v>
      </c>
      <c r="CJ34" s="37">
        <f>[3]!EURJPY</f>
        <v>115492</v>
      </c>
      <c r="CK34" s="37">
        <f>[4]!EURJPY</f>
        <v>115787</v>
      </c>
      <c r="CL34" s="37">
        <f>[5]!EURJPY</f>
        <v>116081</v>
      </c>
      <c r="CM34" s="38">
        <f t="shared" si="2"/>
        <v>0.33830275229357798</v>
      </c>
      <c r="CN34" s="38">
        <f t="shared" si="13"/>
        <v>0.32454128440366975</v>
      </c>
      <c r="CO34" s="26">
        <v>100</v>
      </c>
      <c r="CP34" s="39">
        <f t="shared" si="6"/>
        <v>0.66169724770642202</v>
      </c>
      <c r="CQ34" s="26">
        <f t="shared" si="7"/>
        <v>29400</v>
      </c>
      <c r="CR34" s="38" t="s">
        <v>38</v>
      </c>
      <c r="CS34" s="39">
        <f t="shared" si="8"/>
        <v>0.33830275229357798</v>
      </c>
      <c r="CT34" s="40">
        <f>LOOKUP(100*CM34,CV28:CV49,CW28:CW49)</f>
        <v>3.5</v>
      </c>
      <c r="CU34" s="40">
        <f t="shared" si="9"/>
        <v>5.5</v>
      </c>
      <c r="CV34" s="26">
        <v>17.5</v>
      </c>
      <c r="CW34" s="26">
        <v>2.5</v>
      </c>
      <c r="CX34" s="26"/>
      <c r="CY34" s="26"/>
      <c r="CZ34" s="27">
        <f>[6]Input!T29</f>
        <v>0</v>
      </c>
      <c r="DA34" s="28">
        <f>[6]Input!U29</f>
        <v>0</v>
      </c>
      <c r="DB34" s="28">
        <f>[6]Input!V29</f>
        <v>0</v>
      </c>
      <c r="DC34" s="29"/>
      <c r="DD34" s="26">
        <f t="shared" si="10"/>
        <v>11578700</v>
      </c>
      <c r="DE34" s="26">
        <f t="shared" si="11"/>
        <v>11578700</v>
      </c>
      <c r="DF34" s="26">
        <f t="shared" si="12"/>
        <v>11578700</v>
      </c>
      <c r="DG34" s="26">
        <f t="shared" si="3"/>
        <v>87200</v>
      </c>
      <c r="DH34" s="26">
        <f t="shared" si="4"/>
        <v>11636400</v>
      </c>
      <c r="DI34" s="26">
        <f t="shared" si="5"/>
        <v>-11549200</v>
      </c>
      <c r="DJ34" s="26"/>
      <c r="DK34" s="26"/>
      <c r="DL34" s="26" t="e">
        <f t="shared" ref="DL34:DQ34" si="16">SUM(DL27:DL33)</f>
        <v>#VALUE!</v>
      </c>
      <c r="DM34" s="26" t="e">
        <f t="shared" si="16"/>
        <v>#VALUE!</v>
      </c>
      <c r="DN34" s="31" t="e">
        <f t="shared" si="16"/>
        <v>#VALUE!</v>
      </c>
      <c r="DO34" s="31" t="e">
        <f t="shared" si="16"/>
        <v>#VALUE!</v>
      </c>
      <c r="DP34" s="31" t="e">
        <f t="shared" si="16"/>
        <v>#VALUE!</v>
      </c>
      <c r="DQ34" s="31" t="e">
        <f t="shared" si="16"/>
        <v>#VALUE!</v>
      </c>
      <c r="DR34" s="26"/>
    </row>
    <row r="35" spans="2:122" ht="15" customHeight="1" thickBot="1">
      <c r="B35" s="65" t="s">
        <v>28</v>
      </c>
      <c r="C35" s="66" t="e">
        <f>(C32-C33)*10000</f>
        <v>#VALUE!</v>
      </c>
      <c r="D35" s="67" t="e">
        <f>(D32-D33)*10000</f>
        <v>#VALUE!</v>
      </c>
      <c r="E35" s="67">
        <f>(E32-E33)*100</f>
        <v>9900</v>
      </c>
      <c r="F35" s="67">
        <f>(F32-F33)*10000</f>
        <v>1100000</v>
      </c>
      <c r="G35" s="67" t="e">
        <f>(G32-G33)*10000</f>
        <v>#VALUE!</v>
      </c>
      <c r="H35" s="67" t="e">
        <f>(H32-H33)*10000</f>
        <v>#VALUE!</v>
      </c>
      <c r="I35" s="67">
        <f>(I32-I33)*100</f>
        <v>9900</v>
      </c>
      <c r="J35" s="67">
        <f>(J32-J33)*100</f>
        <v>9900</v>
      </c>
      <c r="K35" s="67">
        <f>(K32-K33)*10000</f>
        <v>2710000</v>
      </c>
      <c r="L35" s="67">
        <f>(L32-L33)*10000</f>
        <v>2320000</v>
      </c>
      <c r="M35" s="67">
        <f>(M32-M33)*10000</f>
        <v>2180000</v>
      </c>
      <c r="N35" s="67" t="e">
        <f>(N32-N33)*10000</f>
        <v>#VALUE!</v>
      </c>
      <c r="O35" s="67">
        <f>(O32-O33)*100</f>
        <v>29400</v>
      </c>
      <c r="P35" s="67">
        <f>(P32-P33)*10000</f>
        <v>2490000</v>
      </c>
      <c r="Q35" s="67">
        <f>(Q32-Q33)*10000</f>
        <v>830000</v>
      </c>
      <c r="R35" s="67">
        <f>(R32-R33)*10000</f>
        <v>2850000</v>
      </c>
      <c r="S35" s="67">
        <f>(S32-S33)*10000</f>
        <v>2640000</v>
      </c>
      <c r="T35" s="67">
        <f>(T32-T33)*10000</f>
        <v>1960000</v>
      </c>
      <c r="U35" s="67">
        <f>(U32-U33)*100</f>
        <v>24900</v>
      </c>
      <c r="V35" s="67">
        <f>(V32-V33)*10000</f>
        <v>2990000</v>
      </c>
      <c r="W35" s="67">
        <f>(W32-W33)*10000</f>
        <v>620000</v>
      </c>
      <c r="X35" s="67" t="e">
        <f>(X32-X33)*10000</f>
        <v>#VALUE!</v>
      </c>
      <c r="Y35" s="67" t="e">
        <f>(Y32-Y33)*10000</f>
        <v>#VALUE!</v>
      </c>
      <c r="Z35" s="67">
        <f>(Z32-Z33)*100</f>
        <v>14900</v>
      </c>
      <c r="AA35" s="67" t="e">
        <f>(AA32-AA33)*10000</f>
        <v>#VALUE!</v>
      </c>
      <c r="AB35" s="67">
        <f>(AB32-AB33)*10000</f>
        <v>1490000</v>
      </c>
      <c r="AC35" s="67" t="e">
        <f>(AC32-AC33)*10000</f>
        <v>#VALUE!</v>
      </c>
      <c r="AD35" s="68">
        <f>(AD32-AD33)*100</f>
        <v>9900</v>
      </c>
      <c r="AE35" s="41"/>
      <c r="AF35" s="69" t="e">
        <f>(AF32-AF33)*10</f>
        <v>#VALUE!</v>
      </c>
      <c r="AG35" s="48">
        <v>50</v>
      </c>
      <c r="AH35" s="48">
        <v>5</v>
      </c>
      <c r="AO35" s="30" t="s">
        <v>13</v>
      </c>
      <c r="AP35" s="49" t="e">
        <f>G46</f>
        <v>#VALUE!</v>
      </c>
      <c r="CB35" s="56" t="e">
        <f t="shared" si="14"/>
        <v>#VALUE!</v>
      </c>
      <c r="CC35" s="57" t="e">
        <f t="shared" si="15"/>
        <v>#VALUE!</v>
      </c>
      <c r="CE35" s="26"/>
      <c r="CF35" s="36">
        <f>[1]!GBPAUD</f>
        <v>42615.999305555553</v>
      </c>
      <c r="CG35" s="26" t="s">
        <v>54</v>
      </c>
      <c r="CH35" s="26"/>
      <c r="CI35" s="37">
        <f>[2]!GBPAUD</f>
        <v>176487</v>
      </c>
      <c r="CJ35" s="37">
        <f>[3]!GBPAUD</f>
        <v>174873</v>
      </c>
      <c r="CK35" s="37">
        <f>[4]!GBPAUD</f>
        <v>175442</v>
      </c>
      <c r="CL35" s="37">
        <f>[5]!GBPAUD</f>
        <v>175727</v>
      </c>
      <c r="CM35" s="38">
        <f t="shared" si="2"/>
        <v>0.35254027261462206</v>
      </c>
      <c r="CN35" s="38">
        <f t="shared" si="13"/>
        <v>0.4708798017348203</v>
      </c>
      <c r="CO35" s="26">
        <v>10000</v>
      </c>
      <c r="CP35" s="39">
        <f t="shared" si="6"/>
        <v>0.64745972738537794</v>
      </c>
      <c r="CQ35" s="26">
        <f t="shared" si="7"/>
        <v>2850000</v>
      </c>
      <c r="CR35" s="38" t="s">
        <v>38</v>
      </c>
      <c r="CS35" s="39">
        <f t="shared" si="8"/>
        <v>0.35254027261462206</v>
      </c>
      <c r="CT35" s="40">
        <f>LOOKUP(100*CM35,CV28:CV49,CW28:CW49)</f>
        <v>3.5</v>
      </c>
      <c r="CU35" s="40">
        <f t="shared" si="9"/>
        <v>5.5</v>
      </c>
      <c r="CV35" s="26">
        <v>25</v>
      </c>
      <c r="CW35" s="26">
        <v>3</v>
      </c>
      <c r="CX35" s="26"/>
      <c r="CY35" s="26"/>
      <c r="CZ35" s="27">
        <f>[6]Input!T30</f>
        <v>0</v>
      </c>
      <c r="DA35" s="28">
        <f>[6]Input!U30</f>
        <v>0</v>
      </c>
      <c r="DB35" s="28">
        <f>[6]Input!V30</f>
        <v>0</v>
      </c>
      <c r="DC35" s="29"/>
      <c r="DD35" s="26">
        <f t="shared" si="10"/>
        <v>1754420000</v>
      </c>
      <c r="DE35" s="26">
        <f t="shared" si="11"/>
        <v>1754420000</v>
      </c>
      <c r="DF35" s="26">
        <f t="shared" si="12"/>
        <v>1754420000</v>
      </c>
      <c r="DG35" s="26">
        <f t="shared" si="3"/>
        <v>16140000</v>
      </c>
      <c r="DH35" s="26">
        <f t="shared" si="4"/>
        <v>1764870000</v>
      </c>
      <c r="DI35" s="26">
        <f t="shared" si="5"/>
        <v>-1748730000</v>
      </c>
      <c r="DJ35" s="26"/>
      <c r="DK35" s="26" t="s">
        <v>67</v>
      </c>
      <c r="DL35" s="26"/>
      <c r="DM35" s="26"/>
      <c r="DN35" s="31" t="e">
        <f>SUM(DP34+DN34)</f>
        <v>#VALUE!</v>
      </c>
      <c r="DO35" s="31"/>
      <c r="DP35" s="31"/>
      <c r="DQ35" s="31"/>
      <c r="DR35" s="26"/>
    </row>
    <row r="36" spans="2:122" ht="15.75" thickBot="1">
      <c r="B36" s="70"/>
      <c r="C36" s="33"/>
      <c r="D36" s="33"/>
      <c r="E36" s="33"/>
      <c r="F36" s="33"/>
      <c r="G36" s="33"/>
      <c r="H36" s="33"/>
      <c r="I36" s="33"/>
      <c r="J36" s="33"/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33"/>
      <c r="V36" s="33"/>
      <c r="W36" s="33"/>
      <c r="X36" s="33"/>
      <c r="Y36" s="33"/>
      <c r="Z36" s="33"/>
      <c r="AA36" s="33"/>
      <c r="AB36" s="33"/>
      <c r="AC36" s="33"/>
      <c r="AD36" s="33"/>
      <c r="AE36" s="41"/>
      <c r="AF36" s="33"/>
      <c r="AG36" s="48">
        <v>60</v>
      </c>
      <c r="AH36" s="48">
        <v>6</v>
      </c>
      <c r="AO36" s="30" t="s">
        <v>15</v>
      </c>
      <c r="AP36" s="49" t="e">
        <f>D46</f>
        <v>#VALUE!</v>
      </c>
      <c r="CB36" s="56" t="e">
        <f t="shared" si="14"/>
        <v>#VALUE!</v>
      </c>
      <c r="CC36" s="57" t="e">
        <f t="shared" si="15"/>
        <v>#VALUE!</v>
      </c>
      <c r="CE36" s="26"/>
      <c r="CF36" s="36">
        <f>[1]!GBPNZD</f>
        <v>42615.999305555553</v>
      </c>
      <c r="CG36" s="26" t="s">
        <v>58</v>
      </c>
      <c r="CH36" s="26"/>
      <c r="CI36" s="37">
        <f>[2]!GBPNZD</f>
        <v>183113</v>
      </c>
      <c r="CJ36" s="37">
        <f>[3]!GBPNZD</f>
        <v>180909</v>
      </c>
      <c r="CK36" s="37">
        <f>[4]!GBPNZD</f>
        <v>182310</v>
      </c>
      <c r="CL36" s="37">
        <f>[5]!GBPNZD</f>
        <v>182609</v>
      </c>
      <c r="CM36" s="38">
        <f t="shared" si="2"/>
        <v>0.63566243194192373</v>
      </c>
      <c r="CN36" s="38">
        <f t="shared" si="13"/>
        <v>0.22867513611615245</v>
      </c>
      <c r="CO36" s="26">
        <v>10000</v>
      </c>
      <c r="CP36" s="39">
        <f t="shared" si="6"/>
        <v>0.36433756805807627</v>
      </c>
      <c r="CQ36" s="26">
        <f t="shared" si="7"/>
        <v>2990000</v>
      </c>
      <c r="CR36" s="38" t="s">
        <v>38</v>
      </c>
      <c r="CS36" s="39">
        <f t="shared" si="8"/>
        <v>0.63566243194192373</v>
      </c>
      <c r="CT36" s="40">
        <f>LOOKUP(100*CM36,CV28:CV49,CW28:CW49)</f>
        <v>6</v>
      </c>
      <c r="CU36" s="40">
        <f t="shared" si="9"/>
        <v>3</v>
      </c>
      <c r="CV36" s="26">
        <v>32.5</v>
      </c>
      <c r="CW36" s="26">
        <v>3.5</v>
      </c>
      <c r="CX36" s="26"/>
      <c r="CY36" s="26"/>
      <c r="CZ36" s="27">
        <f>[6]Input!T31</f>
        <v>0</v>
      </c>
      <c r="DA36" s="28">
        <f>[6]Input!U31</f>
        <v>0</v>
      </c>
      <c r="DB36" s="28">
        <f>[6]Input!V31</f>
        <v>0</v>
      </c>
      <c r="DC36" s="29"/>
      <c r="DD36" s="26">
        <f t="shared" si="10"/>
        <v>1823100000</v>
      </c>
      <c r="DE36" s="26">
        <f t="shared" si="11"/>
        <v>1823100000</v>
      </c>
      <c r="DF36" s="26">
        <f t="shared" si="12"/>
        <v>1823100000</v>
      </c>
      <c r="DG36" s="26">
        <f t="shared" si="3"/>
        <v>22040000</v>
      </c>
      <c r="DH36" s="26">
        <f t="shared" si="4"/>
        <v>1831130000</v>
      </c>
      <c r="DI36" s="26">
        <f t="shared" si="5"/>
        <v>-1809090000</v>
      </c>
      <c r="DJ36" s="26"/>
      <c r="DK36" s="26" t="s">
        <v>68</v>
      </c>
      <c r="DL36" s="26"/>
      <c r="DM36" s="26"/>
      <c r="DN36" s="31" t="e">
        <f>SUM(DQ34-DN34)*-1</f>
        <v>#VALUE!</v>
      </c>
      <c r="DO36" s="31"/>
      <c r="DP36" s="31"/>
      <c r="DQ36" s="31"/>
      <c r="DR36" s="26"/>
    </row>
    <row r="37" spans="2:122">
      <c r="B37" s="71" t="s">
        <v>69</v>
      </c>
      <c r="C37" s="72" t="e">
        <f>($C31:$AD31-$C34:$AD34)*10000</f>
        <v>#VALUE!</v>
      </c>
      <c r="D37" s="73" t="e">
        <f>($C31:$AD31-$C34:$AD34)*10000</f>
        <v>#VALUE!</v>
      </c>
      <c r="E37" s="73">
        <f>($C31:$AD31-$C34:$AD34)*100</f>
        <v>90800</v>
      </c>
      <c r="F37" s="73">
        <f>($C31:$AD31-$C34:$AD34)*10000</f>
        <v>4780000</v>
      </c>
      <c r="G37" s="73" t="e">
        <f>($C31:$AD31-$C34:$AD34)*10000</f>
        <v>#VALUE!</v>
      </c>
      <c r="H37" s="73" t="e">
        <f>($C31:$AD31-$C34:$AD34)*10000</f>
        <v>#VALUE!</v>
      </c>
      <c r="I37" s="73">
        <f>($C31:$AD31-$C34:$AD34)*100</f>
        <v>140200</v>
      </c>
      <c r="J37" s="73">
        <f>($C31:$AD31-$C34:$AD34)*100</f>
        <v>105500</v>
      </c>
      <c r="K37" s="73">
        <f>($C31:$AD31-$C34:$AD34)*10000</f>
        <v>12550000</v>
      </c>
      <c r="L37" s="73">
        <f>($C31:$AD31-$C34:$AD34)*10000</f>
        <v>20680000</v>
      </c>
      <c r="M37" s="73">
        <f>($C31:$AD31-$C34:$AD34)*10000</f>
        <v>6540000</v>
      </c>
      <c r="N37" s="73" t="e">
        <f>($C31:$AD31-$C34:$AD34)*10000</f>
        <v>#VALUE!</v>
      </c>
      <c r="O37" s="73">
        <f>($C31:$AD31-$C34:$AD34)*100</f>
        <v>87200</v>
      </c>
      <c r="P37" s="73">
        <f>($C31:$AD31-$C34:$AD34)*10000</f>
        <v>12540000</v>
      </c>
      <c r="Q37" s="73">
        <f>($C31:$AD31-$C34:$AD34)*10000</f>
        <v>10160000</v>
      </c>
      <c r="R37" s="73">
        <f>($C31:$AD31-$C34:$AD34)*10000</f>
        <v>16140000</v>
      </c>
      <c r="S37" s="73">
        <f>($C31:$AD31-$C34:$AD34)*10000</f>
        <v>16780000</v>
      </c>
      <c r="T37" s="73">
        <f>($C31:$AD31-$C34:$AD34)*10000</f>
        <v>9910000</v>
      </c>
      <c r="U37" s="73">
        <f>($C31:$AD31-$C34:$AD34)*100</f>
        <v>193700</v>
      </c>
      <c r="V37" s="73">
        <f>($C31:$AD31-$C34:$AD34)*10000</f>
        <v>22040000</v>
      </c>
      <c r="W37" s="73">
        <f>($C31:$AD31-$C34:$AD34)*10000</f>
        <v>9980000</v>
      </c>
      <c r="X37" s="73" t="e">
        <f>($C31:$AD31-$C34:$AD34)*10000</f>
        <v>#VALUE!</v>
      </c>
      <c r="Y37" s="73" t="e">
        <f>($C31:$AD31-$C34:$AD34)*10000</f>
        <v>#VALUE!</v>
      </c>
      <c r="Z37" s="73">
        <f>($C31:$AD31-$C34:$AD34)*100</f>
        <v>87100</v>
      </c>
      <c r="AA37" s="73" t="e">
        <f>($C31:$AD31-$C34:$AD34)*10000</f>
        <v>#VALUE!</v>
      </c>
      <c r="AB37" s="73">
        <f>($C31:$AD31-$C34:$AD34)*10000</f>
        <v>13420000</v>
      </c>
      <c r="AC37" s="73" t="e">
        <f>($C31:$AD31-$C34:$AD34)*10000</f>
        <v>#VALUE!</v>
      </c>
      <c r="AD37" s="74">
        <f>($C31:$AD31-$C34:$AD34)*100</f>
        <v>151700</v>
      </c>
      <c r="AE37" s="41"/>
      <c r="AF37" s="75"/>
      <c r="AG37" s="48">
        <v>75</v>
      </c>
      <c r="AH37" s="48">
        <v>7</v>
      </c>
      <c r="AO37" s="30" t="s">
        <v>11</v>
      </c>
      <c r="AP37" s="49">
        <f>K46</f>
        <v>3.4285714285714284</v>
      </c>
      <c r="CB37" s="56" t="e">
        <f t="shared" si="14"/>
        <v>#VALUE!</v>
      </c>
      <c r="CC37" s="57" t="e">
        <f t="shared" si="15"/>
        <v>#VALUE!</v>
      </c>
      <c r="CE37" s="26"/>
      <c r="CF37" s="36">
        <f>[1]!GBPCAD</f>
        <v>42615.999305555553</v>
      </c>
      <c r="CG37" s="26" t="s">
        <v>55</v>
      </c>
      <c r="CH37" s="26"/>
      <c r="CI37" s="37">
        <f>[2]!GBPCAD</f>
        <v>174212</v>
      </c>
      <c r="CJ37" s="37">
        <f>[3]!GBPCAD</f>
        <v>172534</v>
      </c>
      <c r="CK37" s="37">
        <f>[4]!GBPCAD</f>
        <v>172540</v>
      </c>
      <c r="CL37" s="37">
        <f>[5]!GBPCAD</f>
        <v>172804</v>
      </c>
      <c r="CM37" s="38">
        <f t="shared" si="2"/>
        <v>3.5756853396901071E-3</v>
      </c>
      <c r="CN37" s="38">
        <f t="shared" si="13"/>
        <v>0.83909415971394519</v>
      </c>
      <c r="CO37" s="26">
        <v>10000</v>
      </c>
      <c r="CP37" s="39">
        <f t="shared" si="6"/>
        <v>0.9964243146603099</v>
      </c>
      <c r="CQ37" s="26">
        <f t="shared" si="7"/>
        <v>2640000</v>
      </c>
      <c r="CR37" s="38" t="s">
        <v>38</v>
      </c>
      <c r="CS37" s="39">
        <f t="shared" si="8"/>
        <v>3.5756853396901071E-3</v>
      </c>
      <c r="CT37" s="40">
        <f>LOOKUP(100*CM37,CV28:CV49,CW28:CW49)</f>
        <v>0</v>
      </c>
      <c r="CU37" s="40">
        <f t="shared" si="9"/>
        <v>9</v>
      </c>
      <c r="CV37" s="26">
        <v>40</v>
      </c>
      <c r="CW37" s="26">
        <v>4</v>
      </c>
      <c r="CX37" s="26"/>
      <c r="CY37" s="26"/>
      <c r="CZ37" s="27">
        <f>[6]Input!T32</f>
        <v>0</v>
      </c>
      <c r="DA37" s="28">
        <f>[6]Input!U32</f>
        <v>0</v>
      </c>
      <c r="DB37" s="28">
        <f>[6]Input!V32</f>
        <v>0</v>
      </c>
      <c r="DC37" s="29"/>
      <c r="DD37" s="26">
        <f t="shared" si="10"/>
        <v>1725400000</v>
      </c>
      <c r="DE37" s="26">
        <f t="shared" si="11"/>
        <v>1725400000</v>
      </c>
      <c r="DF37" s="26">
        <f t="shared" si="12"/>
        <v>1725400000</v>
      </c>
      <c r="DG37" s="26">
        <f t="shared" si="3"/>
        <v>16780000</v>
      </c>
      <c r="DH37" s="26">
        <f t="shared" si="4"/>
        <v>1742120000</v>
      </c>
      <c r="DI37" s="26">
        <f t="shared" si="5"/>
        <v>-1725340000</v>
      </c>
      <c r="DJ37" s="26"/>
      <c r="DK37" s="26"/>
      <c r="DL37" s="26"/>
      <c r="DM37" s="26"/>
      <c r="DN37" s="31"/>
      <c r="DO37" s="31"/>
      <c r="DP37" s="31"/>
      <c r="DQ37" s="31"/>
      <c r="DR37" s="26"/>
    </row>
    <row r="38" spans="2:122" ht="15.75" thickBot="1">
      <c r="B38" s="76" t="s">
        <v>70</v>
      </c>
      <c r="C38" s="77" t="e">
        <f>($C33:$AD33-$C34:$AD34)/$C37:$AD37*10000</f>
        <v>#VALUE!</v>
      </c>
      <c r="D38" s="78" t="e">
        <f>($C33:$AD33-$C34:$AD34)/$C37:$AD37*10000</f>
        <v>#VALUE!</v>
      </c>
      <c r="E38" s="78">
        <f>($C33:$AD33-$C34:$AD34)/$C37:$AD37*100</f>
        <v>0.83920704845814975</v>
      </c>
      <c r="F38" s="78">
        <f>($C33:$AD33-$C34:$AD34)/$C37:$AD37*10000</f>
        <v>1</v>
      </c>
      <c r="G38" s="78" t="e">
        <f>($C33:$AD33-$C34:$AD34)/$C37:$AD37*10000</f>
        <v>#VALUE!</v>
      </c>
      <c r="H38" s="78" t="e">
        <f>($C33:$AD33-$C34:$AD34)/$C37:$AD37*10000</f>
        <v>#VALUE!</v>
      </c>
      <c r="I38" s="78">
        <f>($C33:$AD33-$C34:$AD34)/$C37:$AD37*100</f>
        <v>0.84950071326676169</v>
      </c>
      <c r="J38" s="78">
        <f>($C33:$AD33-$C34:$AD34)/$C37:$AD37*100</f>
        <v>0.62274881516587677</v>
      </c>
      <c r="K38" s="78">
        <f>($C33:$AD33-$C34:$AD34)/$C37:$AD37*10000</f>
        <v>0</v>
      </c>
      <c r="L38" s="78">
        <f>($C33:$AD33-$C34:$AD34)/$C37:$AD37*10000</f>
        <v>1.9342359767891683E-3</v>
      </c>
      <c r="M38" s="78">
        <f>($C33:$AD33-$C34:$AD34)/$C37:$AD37*10000</f>
        <v>0.15443425076452597</v>
      </c>
      <c r="N38" s="78" t="e">
        <f>($C33:$AD33-$C34:$AD34)/$C37:$AD37*10000</f>
        <v>#VALUE!</v>
      </c>
      <c r="O38" s="78">
        <f>($C33:$AD33-$C34:$AD34)/$C37:$AD37*100</f>
        <v>0.33830275229357798</v>
      </c>
      <c r="P38" s="78">
        <f>($C33:$AD33-$C34:$AD34)/$C37:$AD37*10000</f>
        <v>0.31259968102073366</v>
      </c>
      <c r="Q38" s="78">
        <f>($C33:$AD33-$C34:$AD34)/$C37:$AD37*10000</f>
        <v>1.4763779527559055E-2</v>
      </c>
      <c r="R38" s="78">
        <f>($C33:$AD33-$C34:$AD34)/$C37:$AD37*10000</f>
        <v>0.35254027261462201</v>
      </c>
      <c r="S38" s="78">
        <f>($C33:$AD33-$C34:$AD34)/$C37:$AD37*10000</f>
        <v>3.5756853396901075E-3</v>
      </c>
      <c r="T38" s="78">
        <f>($C33:$AD33-$C34:$AD34)/$C37:$AD37*10000</f>
        <v>0.54894046417759845</v>
      </c>
      <c r="U38" s="78">
        <f>($C33:$AD33-$C34:$AD34)/$C37:$AD37*100</f>
        <v>0.57872999483737741</v>
      </c>
      <c r="V38" s="78">
        <f>($C33:$AD33-$C34:$AD34)/$C37:$AD37*10000</f>
        <v>0.63566243194192373</v>
      </c>
      <c r="W38" s="78">
        <f>($C33:$AD33-$C34:$AD34)/$C37:$AD37*10000</f>
        <v>0.37775551102204408</v>
      </c>
      <c r="X38" s="78" t="e">
        <f>($C33:$AD33-$C34:$AD34)/$C37:$AD37*10000</f>
        <v>#VALUE!</v>
      </c>
      <c r="Y38" s="78" t="e">
        <f>($C33:$AD33-$C34:$AD34)/$C37:$AD37*10000</f>
        <v>#VALUE!</v>
      </c>
      <c r="Z38" s="78">
        <f>($C33:$AD33-$C34:$AD34)/$C37:$AD37*100</f>
        <v>0.59357060849598153</v>
      </c>
      <c r="AA38" s="78" t="e">
        <f>($C33:$AD33-$C34:$AD34)/$C37:$AD37*10000</f>
        <v>#VALUE!</v>
      </c>
      <c r="AB38" s="78">
        <f>($C33:$AD33-$C34:$AD34)/$C37:$AD37*10000</f>
        <v>4.3964232488822648E-2</v>
      </c>
      <c r="AC38" s="78" t="e">
        <f>($C33:$AD33-$C34:$AD34)/$C37:$AD37*10000</f>
        <v>#VALUE!</v>
      </c>
      <c r="AD38" s="79">
        <f>($C33:$AD33-$C34:$AD34)/$C37:$AD37*100</f>
        <v>0.69149637442320366</v>
      </c>
      <c r="AE38" s="80"/>
      <c r="AF38" s="81" t="e">
        <f>(AF33-AF34)/(AF31-AF34)</f>
        <v>#VALUE!</v>
      </c>
      <c r="AG38" s="48">
        <v>90</v>
      </c>
      <c r="AH38" s="48">
        <v>8</v>
      </c>
      <c r="CB38" s="56" t="e">
        <f t="shared" si="14"/>
        <v>#VALUE!</v>
      </c>
      <c r="CC38" s="57" t="e">
        <f t="shared" si="15"/>
        <v>#VALUE!</v>
      </c>
      <c r="CE38" s="26"/>
      <c r="CF38" s="36">
        <f>[1]!GBPCHF</f>
        <v>42615.999305555553</v>
      </c>
      <c r="CG38" s="26" t="s">
        <v>56</v>
      </c>
      <c r="CH38" s="26"/>
      <c r="CI38" s="37">
        <f>[2]!GBPCHF</f>
        <v>130699</v>
      </c>
      <c r="CJ38" s="37">
        <f>[3]!GBPCHF</f>
        <v>129708</v>
      </c>
      <c r="CK38" s="37">
        <f>[4]!GBPCHF</f>
        <v>130252</v>
      </c>
      <c r="CL38" s="37">
        <f>[5]!GBPCHF</f>
        <v>130448</v>
      </c>
      <c r="CM38" s="38">
        <f t="shared" si="2"/>
        <v>0.54894046417759834</v>
      </c>
      <c r="CN38" s="38">
        <f t="shared" si="13"/>
        <v>0.25327951564076689</v>
      </c>
      <c r="CO38" s="26">
        <v>10000</v>
      </c>
      <c r="CP38" s="39">
        <f t="shared" si="6"/>
        <v>0.45105953582240166</v>
      </c>
      <c r="CQ38" s="26">
        <f t="shared" si="7"/>
        <v>1960000</v>
      </c>
      <c r="CR38" s="38" t="s">
        <v>38</v>
      </c>
      <c r="CS38" s="39">
        <f t="shared" si="8"/>
        <v>0.54894046417759834</v>
      </c>
      <c r="CT38" s="40">
        <f>LOOKUP(100*CM38,CV28:CV49,CW28:CW49)</f>
        <v>5</v>
      </c>
      <c r="CU38" s="40">
        <f t="shared" si="9"/>
        <v>4</v>
      </c>
      <c r="CV38" s="26">
        <v>45</v>
      </c>
      <c r="CW38" s="26">
        <v>4.5</v>
      </c>
      <c r="CX38" s="26"/>
      <c r="CY38" s="26"/>
      <c r="CZ38" s="27">
        <f>[6]Input!T33</f>
        <v>0</v>
      </c>
      <c r="DA38" s="28">
        <f>[6]Input!U33</f>
        <v>0</v>
      </c>
      <c r="DB38" s="28">
        <f>[6]Input!V33</f>
        <v>0</v>
      </c>
      <c r="DC38" s="29"/>
      <c r="DD38" s="26">
        <f t="shared" si="10"/>
        <v>1302520000</v>
      </c>
      <c r="DE38" s="26">
        <f t="shared" si="11"/>
        <v>1302520000</v>
      </c>
      <c r="DF38" s="26">
        <f t="shared" si="12"/>
        <v>1302520000</v>
      </c>
      <c r="DG38" s="26">
        <f t="shared" si="3"/>
        <v>9910000</v>
      </c>
      <c r="DH38" s="26">
        <f t="shared" si="4"/>
        <v>1306990000</v>
      </c>
      <c r="DI38" s="26">
        <f t="shared" si="5"/>
        <v>-1297080000</v>
      </c>
      <c r="DJ38" s="26"/>
      <c r="DK38" s="30" t="s">
        <v>5</v>
      </c>
      <c r="DL38" s="26" t="s">
        <v>31</v>
      </c>
      <c r="DM38" s="26" t="s">
        <v>32</v>
      </c>
      <c r="DN38" s="26" t="s">
        <v>33</v>
      </c>
      <c r="DO38" s="31" t="s">
        <v>34</v>
      </c>
      <c r="DP38" s="31" t="s">
        <v>35</v>
      </c>
      <c r="DQ38" s="31" t="s">
        <v>36</v>
      </c>
      <c r="DR38" s="26"/>
    </row>
    <row r="39" spans="2:122" ht="15.75" thickBot="1">
      <c r="B39" s="32"/>
      <c r="C39" s="32"/>
      <c r="D39" s="33"/>
      <c r="E39" s="33"/>
      <c r="F39" s="33"/>
      <c r="G39" s="33"/>
      <c r="H39" s="33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33"/>
      <c r="V39" s="33"/>
      <c r="W39" s="33"/>
      <c r="X39" s="33"/>
      <c r="Y39" s="33"/>
      <c r="Z39" s="33"/>
      <c r="AA39" s="33"/>
      <c r="AB39" s="33"/>
      <c r="AC39" s="33"/>
      <c r="AD39" s="33"/>
      <c r="AE39" s="33"/>
      <c r="AG39" s="48">
        <v>97</v>
      </c>
      <c r="AH39" s="48">
        <v>9</v>
      </c>
      <c r="CB39" s="56" t="str">
        <f>CG56</f>
        <v>XAUUSD</v>
      </c>
      <c r="CC39" s="57" t="e">
        <f>CM56</f>
        <v>#VALUE!</v>
      </c>
      <c r="CE39" s="26"/>
      <c r="CF39" s="36">
        <f>[1]!GBPUSD</f>
        <v>42615.999305555553</v>
      </c>
      <c r="CG39" s="26" t="s">
        <v>59</v>
      </c>
      <c r="CH39" s="26"/>
      <c r="CI39" s="37">
        <f>[2]!GBPUSD</f>
        <v>133521</v>
      </c>
      <c r="CJ39" s="37">
        <f>[3]!GBPUSD</f>
        <v>132523</v>
      </c>
      <c r="CK39" s="37">
        <f>[4]!GBPUSD</f>
        <v>132900</v>
      </c>
      <c r="CL39" s="37">
        <f>[5]!GBPUSD</f>
        <v>132962</v>
      </c>
      <c r="CM39" s="38">
        <f t="shared" si="2"/>
        <v>0.37775551102204408</v>
      </c>
      <c r="CN39" s="38">
        <f>(CI39-CL39)/(CI39-CJ39)</f>
        <v>0.56012024048096187</v>
      </c>
      <c r="CO39" s="26">
        <v>10000</v>
      </c>
      <c r="CP39" s="39">
        <f t="shared" si="6"/>
        <v>0.62224448897795592</v>
      </c>
      <c r="CQ39" s="26">
        <f t="shared" si="7"/>
        <v>620000</v>
      </c>
      <c r="CR39" s="38" t="s">
        <v>38</v>
      </c>
      <c r="CS39" s="39">
        <f t="shared" si="8"/>
        <v>0.37775551102204408</v>
      </c>
      <c r="CT39" s="40">
        <f>LOOKUP(100*CM39,CV28:CV49,CW28:CW49)</f>
        <v>3.5</v>
      </c>
      <c r="CU39" s="40">
        <f t="shared" si="9"/>
        <v>5.5</v>
      </c>
      <c r="CV39" s="26">
        <v>50</v>
      </c>
      <c r="CW39" s="26">
        <v>5</v>
      </c>
      <c r="CX39" s="26"/>
      <c r="CY39" s="26"/>
      <c r="CZ39" s="27">
        <f>[6]Input!T34</f>
        <v>0</v>
      </c>
      <c r="DA39" s="28">
        <f>[6]Input!U34</f>
        <v>0</v>
      </c>
      <c r="DB39" s="28">
        <f>[6]Input!V34</f>
        <v>0</v>
      </c>
      <c r="DC39" s="29"/>
      <c r="DD39" s="26">
        <f t="shared" si="10"/>
        <v>1329000000</v>
      </c>
      <c r="DE39" s="26">
        <f t="shared" si="11"/>
        <v>1329000000</v>
      </c>
      <c r="DF39" s="26">
        <f t="shared" si="12"/>
        <v>1329000000</v>
      </c>
      <c r="DG39" s="26">
        <f t="shared" si="3"/>
        <v>9980000</v>
      </c>
      <c r="DH39" s="26">
        <f t="shared" si="4"/>
        <v>1335210000</v>
      </c>
      <c r="DI39" s="26">
        <f t="shared" si="5"/>
        <v>-1325230000</v>
      </c>
      <c r="DJ39" s="26"/>
      <c r="DK39" s="26" t="s">
        <v>37</v>
      </c>
      <c r="DL39" s="26" t="e">
        <f t="shared" ref="DL39:DQ39" si="17">DL27</f>
        <v>#VALUE!</v>
      </c>
      <c r="DM39" s="26" t="e">
        <f t="shared" si="17"/>
        <v>#VALUE!</v>
      </c>
      <c r="DN39" s="31" t="e">
        <f t="shared" si="17"/>
        <v>#VALUE!</v>
      </c>
      <c r="DO39" s="31" t="e">
        <f t="shared" si="17"/>
        <v>#VALUE!</v>
      </c>
      <c r="DP39" s="31" t="e">
        <f t="shared" si="17"/>
        <v>#VALUE!</v>
      </c>
      <c r="DQ39" s="31" t="e">
        <f t="shared" si="17"/>
        <v>#VALUE!</v>
      </c>
      <c r="DR39" s="26"/>
    </row>
    <row r="40" spans="2:122">
      <c r="B40" s="82" t="s">
        <v>71</v>
      </c>
      <c r="C40" s="82" t="str">
        <f t="shared" ref="C40:AD40" si="18">LEFT(C30,3)</f>
        <v>AUD</v>
      </c>
      <c r="D40" s="83" t="str">
        <f t="shared" si="18"/>
        <v>AUD</v>
      </c>
      <c r="E40" s="83" t="str">
        <f t="shared" si="18"/>
        <v>AUD</v>
      </c>
      <c r="F40" s="83" t="str">
        <f t="shared" si="18"/>
        <v>AUD</v>
      </c>
      <c r="G40" s="83" t="str">
        <f t="shared" si="18"/>
        <v>AUD</v>
      </c>
      <c r="H40" s="83" t="str">
        <f t="shared" si="18"/>
        <v>CAD</v>
      </c>
      <c r="I40" s="83" t="str">
        <f t="shared" si="18"/>
        <v>CAD</v>
      </c>
      <c r="J40" s="83" t="str">
        <f t="shared" si="18"/>
        <v>CHF</v>
      </c>
      <c r="K40" s="83" t="str">
        <f t="shared" si="18"/>
        <v>EUR</v>
      </c>
      <c r="L40" s="83" t="str">
        <f t="shared" si="18"/>
        <v>EUR</v>
      </c>
      <c r="M40" s="83" t="str">
        <f t="shared" si="18"/>
        <v>EUR</v>
      </c>
      <c r="N40" s="83" t="str">
        <f t="shared" si="18"/>
        <v>EUR</v>
      </c>
      <c r="O40" s="83" t="str">
        <f t="shared" si="18"/>
        <v>EUR</v>
      </c>
      <c r="P40" s="83" t="str">
        <f t="shared" si="18"/>
        <v>EUR</v>
      </c>
      <c r="Q40" s="83" t="str">
        <f t="shared" si="18"/>
        <v>EUR</v>
      </c>
      <c r="R40" s="83" t="str">
        <f t="shared" si="18"/>
        <v>GBP</v>
      </c>
      <c r="S40" s="83" t="str">
        <f t="shared" si="18"/>
        <v>GBP</v>
      </c>
      <c r="T40" s="83" t="str">
        <f t="shared" si="18"/>
        <v>GBP</v>
      </c>
      <c r="U40" s="83" t="str">
        <f t="shared" si="18"/>
        <v>GBP</v>
      </c>
      <c r="V40" s="83" t="str">
        <f t="shared" si="18"/>
        <v>GBP</v>
      </c>
      <c r="W40" s="83" t="str">
        <f t="shared" si="18"/>
        <v>GBP</v>
      </c>
      <c r="X40" s="83" t="str">
        <f t="shared" si="18"/>
        <v>NZD</v>
      </c>
      <c r="Y40" s="83" t="str">
        <f t="shared" si="18"/>
        <v>NZD</v>
      </c>
      <c r="Z40" s="83" t="str">
        <f t="shared" si="18"/>
        <v>NZD</v>
      </c>
      <c r="AA40" s="83" t="str">
        <f t="shared" si="18"/>
        <v>NZD</v>
      </c>
      <c r="AB40" s="83" t="str">
        <f t="shared" si="18"/>
        <v>USD</v>
      </c>
      <c r="AC40" s="83" t="str">
        <f t="shared" si="18"/>
        <v>USD</v>
      </c>
      <c r="AD40" s="84" t="str">
        <f t="shared" si="18"/>
        <v>USD</v>
      </c>
      <c r="AE40" s="33"/>
      <c r="CB40" s="56" t="str">
        <f>CG29</f>
        <v>EURAUD</v>
      </c>
      <c r="CC40" s="57">
        <f>CM29</f>
        <v>0</v>
      </c>
      <c r="CE40" s="26"/>
      <c r="CF40" s="36">
        <f>[1]!GBPJPY</f>
        <v>42615.999305555553</v>
      </c>
      <c r="CG40" s="26" t="s">
        <v>57</v>
      </c>
      <c r="CH40" s="26"/>
      <c r="CI40" s="37">
        <f>[2]!GBPJPY</f>
        <v>138833</v>
      </c>
      <c r="CJ40" s="37">
        <f>[3]!GBPJPY</f>
        <v>136896</v>
      </c>
      <c r="CK40" s="37">
        <f>[4]!GBPJPY</f>
        <v>138017</v>
      </c>
      <c r="CL40" s="37">
        <f>[5]!GBPJPY</f>
        <v>138266</v>
      </c>
      <c r="CM40" s="38">
        <f t="shared" si="2"/>
        <v>0.57872999483737741</v>
      </c>
      <c r="CN40" s="38">
        <f t="shared" si="13"/>
        <v>0.29272070211667528</v>
      </c>
      <c r="CO40" s="26">
        <v>100</v>
      </c>
      <c r="CP40" s="39">
        <f t="shared" si="6"/>
        <v>0.42127000516262259</v>
      </c>
      <c r="CQ40" s="31">
        <f t="shared" si="7"/>
        <v>24900</v>
      </c>
      <c r="CR40" s="38" t="s">
        <v>38</v>
      </c>
      <c r="CS40" s="39">
        <f t="shared" si="8"/>
        <v>0.57872999483737741</v>
      </c>
      <c r="CT40" s="40">
        <f>LOOKUP(100*CM40,CV28:CV49,CW28:CW49)</f>
        <v>5.5</v>
      </c>
      <c r="CU40" s="40">
        <f t="shared" si="9"/>
        <v>3.5</v>
      </c>
      <c r="CV40" s="26">
        <v>55</v>
      </c>
      <c r="CW40" s="26">
        <v>5.5</v>
      </c>
      <c r="CX40" s="26"/>
      <c r="CY40" s="26"/>
      <c r="CZ40" s="27">
        <f>[6]Input!T35</f>
        <v>0</v>
      </c>
      <c r="DA40" s="28">
        <f>[6]Input!U35</f>
        <v>0</v>
      </c>
      <c r="DB40" s="28">
        <f>[6]Input!V35</f>
        <v>0</v>
      </c>
      <c r="DC40" s="29"/>
      <c r="DD40" s="31">
        <f t="shared" si="10"/>
        <v>13801700</v>
      </c>
      <c r="DE40" s="31">
        <f t="shared" si="11"/>
        <v>13801700</v>
      </c>
      <c r="DF40" s="31">
        <f t="shared" si="12"/>
        <v>13801700</v>
      </c>
      <c r="DG40" s="31">
        <f t="shared" si="3"/>
        <v>193700</v>
      </c>
      <c r="DH40" s="31">
        <f t="shared" si="4"/>
        <v>13883300</v>
      </c>
      <c r="DI40" s="31">
        <f t="shared" si="5"/>
        <v>-13689600</v>
      </c>
      <c r="DJ40" s="26"/>
      <c r="DK40" s="26" t="s">
        <v>54</v>
      </c>
      <c r="DL40" s="26">
        <f t="shared" ref="DL40:DQ45" si="19">DD35</f>
        <v>1754420000</v>
      </c>
      <c r="DM40" s="26">
        <f t="shared" si="19"/>
        <v>1754420000</v>
      </c>
      <c r="DN40" s="31">
        <f t="shared" si="19"/>
        <v>1754420000</v>
      </c>
      <c r="DO40" s="31">
        <f t="shared" si="19"/>
        <v>16140000</v>
      </c>
      <c r="DP40" s="31">
        <f t="shared" si="19"/>
        <v>1764870000</v>
      </c>
      <c r="DQ40" s="31">
        <f t="shared" si="19"/>
        <v>-1748730000</v>
      </c>
      <c r="DR40" s="26"/>
    </row>
    <row r="41" spans="2:122">
      <c r="B41" s="85"/>
      <c r="C41" s="86" t="e">
        <f t="shared" ref="C41:AD41" si="20">LOOKUP(100*C38,$AG30:$AG39,$AH30:$AH39)</f>
        <v>#VALUE!</v>
      </c>
      <c r="D41" s="87" t="e">
        <f t="shared" si="20"/>
        <v>#VALUE!</v>
      </c>
      <c r="E41" s="87">
        <f t="shared" si="20"/>
        <v>7</v>
      </c>
      <c r="F41" s="87">
        <f t="shared" si="20"/>
        <v>9</v>
      </c>
      <c r="G41" s="87" t="e">
        <f t="shared" si="20"/>
        <v>#VALUE!</v>
      </c>
      <c r="H41" s="87" t="e">
        <f t="shared" si="20"/>
        <v>#VALUE!</v>
      </c>
      <c r="I41" s="87">
        <f t="shared" si="20"/>
        <v>7</v>
      </c>
      <c r="J41" s="87">
        <f t="shared" si="20"/>
        <v>6</v>
      </c>
      <c r="K41" s="87">
        <f t="shared" si="20"/>
        <v>0</v>
      </c>
      <c r="L41" s="87">
        <f t="shared" si="20"/>
        <v>0</v>
      </c>
      <c r="M41" s="87">
        <f t="shared" si="20"/>
        <v>2</v>
      </c>
      <c r="N41" s="87" t="e">
        <f t="shared" si="20"/>
        <v>#VALUE!</v>
      </c>
      <c r="O41" s="87">
        <f t="shared" si="20"/>
        <v>3</v>
      </c>
      <c r="P41" s="87">
        <f t="shared" si="20"/>
        <v>3</v>
      </c>
      <c r="Q41" s="87">
        <f t="shared" si="20"/>
        <v>0</v>
      </c>
      <c r="R41" s="87">
        <f t="shared" si="20"/>
        <v>3</v>
      </c>
      <c r="S41" s="87">
        <f t="shared" si="20"/>
        <v>0</v>
      </c>
      <c r="T41" s="87">
        <f t="shared" si="20"/>
        <v>5</v>
      </c>
      <c r="U41" s="87">
        <f t="shared" si="20"/>
        <v>5</v>
      </c>
      <c r="V41" s="87">
        <f t="shared" si="20"/>
        <v>6</v>
      </c>
      <c r="W41" s="87">
        <f t="shared" si="20"/>
        <v>3</v>
      </c>
      <c r="X41" s="87" t="e">
        <f t="shared" si="20"/>
        <v>#VALUE!</v>
      </c>
      <c r="Y41" s="87" t="e">
        <f t="shared" si="20"/>
        <v>#VALUE!</v>
      </c>
      <c r="Z41" s="87">
        <f t="shared" si="20"/>
        <v>5</v>
      </c>
      <c r="AA41" s="87" t="e">
        <f t="shared" si="20"/>
        <v>#VALUE!</v>
      </c>
      <c r="AB41" s="87">
        <f t="shared" si="20"/>
        <v>1</v>
      </c>
      <c r="AC41" s="87" t="e">
        <f t="shared" si="20"/>
        <v>#VALUE!</v>
      </c>
      <c r="AD41" s="88">
        <f t="shared" si="20"/>
        <v>6</v>
      </c>
      <c r="AE41" s="33"/>
      <c r="AF41" s="33"/>
      <c r="AG41" s="33"/>
      <c r="AH41" s="33"/>
      <c r="CB41" s="56" t="str">
        <f>CG31</f>
        <v>EURCAD</v>
      </c>
      <c r="CC41" s="57">
        <f>CM31</f>
        <v>1.9342359767891683E-3</v>
      </c>
      <c r="CE41" s="26"/>
      <c r="CF41" s="36">
        <f>[1]!AUDNZD</f>
        <v>42615.999305555553</v>
      </c>
      <c r="CG41" s="26" t="s">
        <v>45</v>
      </c>
      <c r="CH41" s="26"/>
      <c r="CI41" s="37">
        <f>[2]!AUDNZD</f>
        <v>103863</v>
      </c>
      <c r="CJ41" s="37">
        <f>[3]!AUDNZD</f>
        <v>103385</v>
      </c>
      <c r="CK41" s="37">
        <f>[4]!AUDNZD</f>
        <v>103863</v>
      </c>
      <c r="CL41" s="37">
        <f>[5]!AUDNZD</f>
        <v>103973</v>
      </c>
      <c r="CM41" s="38">
        <f t="shared" si="2"/>
        <v>1</v>
      </c>
      <c r="CN41" s="38">
        <f t="shared" si="13"/>
        <v>-0.23012552301255229</v>
      </c>
      <c r="CO41" s="26">
        <v>10000</v>
      </c>
      <c r="CP41" s="39">
        <f t="shared" si="6"/>
        <v>0</v>
      </c>
      <c r="CQ41" s="26">
        <f t="shared" si="7"/>
        <v>1100000</v>
      </c>
      <c r="CR41" s="38" t="s">
        <v>38</v>
      </c>
      <c r="CS41" s="39">
        <f t="shared" si="8"/>
        <v>1</v>
      </c>
      <c r="CT41" s="40">
        <f>LOOKUP(100*CM41,CV28:CV49,CW28:CW49)</f>
        <v>9</v>
      </c>
      <c r="CU41" s="40">
        <f t="shared" si="9"/>
        <v>0</v>
      </c>
      <c r="CV41" s="26">
        <v>60</v>
      </c>
      <c r="CW41" s="26">
        <v>6</v>
      </c>
      <c r="CX41" s="26"/>
      <c r="CY41" s="26"/>
      <c r="CZ41" s="27">
        <f>[6]Input!T36</f>
        <v>0</v>
      </c>
      <c r="DA41" s="28">
        <f>[6]Input!U36</f>
        <v>0</v>
      </c>
      <c r="DB41" s="28">
        <f>[6]Input!V36</f>
        <v>0</v>
      </c>
      <c r="DC41" s="29"/>
      <c r="DD41" s="26">
        <f t="shared" si="10"/>
        <v>1038630000</v>
      </c>
      <c r="DE41" s="26">
        <f t="shared" si="11"/>
        <v>1038630000</v>
      </c>
      <c r="DF41" s="26">
        <f t="shared" si="12"/>
        <v>1038630000</v>
      </c>
      <c r="DG41" s="26">
        <f t="shared" si="3"/>
        <v>4780000</v>
      </c>
      <c r="DH41" s="26">
        <f t="shared" si="4"/>
        <v>1038630000</v>
      </c>
      <c r="DI41" s="26">
        <f t="shared" si="5"/>
        <v>-1033850000</v>
      </c>
      <c r="DJ41" s="26"/>
      <c r="DK41" s="26" t="s">
        <v>58</v>
      </c>
      <c r="DL41" s="26">
        <f t="shared" si="19"/>
        <v>1823100000</v>
      </c>
      <c r="DM41" s="26">
        <f t="shared" si="19"/>
        <v>1823100000</v>
      </c>
      <c r="DN41" s="31">
        <f t="shared" si="19"/>
        <v>1823100000</v>
      </c>
      <c r="DO41" s="31">
        <f t="shared" si="19"/>
        <v>22040000</v>
      </c>
      <c r="DP41" s="31">
        <f t="shared" si="19"/>
        <v>1831130000</v>
      </c>
      <c r="DQ41" s="31">
        <f t="shared" si="19"/>
        <v>-1809090000</v>
      </c>
      <c r="DR41" s="26"/>
    </row>
    <row r="42" spans="2:122">
      <c r="B42" s="85" t="s">
        <v>72</v>
      </c>
      <c r="C42" s="85" t="str">
        <f t="shared" ref="C42:AD42" si="21">RIGHT(C30,3)</f>
        <v>CAD</v>
      </c>
      <c r="D42" s="89" t="str">
        <f t="shared" si="21"/>
        <v>CHF</v>
      </c>
      <c r="E42" s="89" t="str">
        <f t="shared" si="21"/>
        <v>JPY</v>
      </c>
      <c r="F42" s="89" t="str">
        <f t="shared" si="21"/>
        <v>NZD</v>
      </c>
      <c r="G42" s="89" t="str">
        <f t="shared" si="21"/>
        <v>USD</v>
      </c>
      <c r="H42" s="89" t="str">
        <f t="shared" si="21"/>
        <v>CHF</v>
      </c>
      <c r="I42" s="89" t="str">
        <f t="shared" si="21"/>
        <v>JPY</v>
      </c>
      <c r="J42" s="89" t="str">
        <f t="shared" si="21"/>
        <v>JPY</v>
      </c>
      <c r="K42" s="89" t="str">
        <f t="shared" si="21"/>
        <v>AUD</v>
      </c>
      <c r="L42" s="89" t="str">
        <f t="shared" si="21"/>
        <v>CAD</v>
      </c>
      <c r="M42" s="89" t="str">
        <f t="shared" si="21"/>
        <v>CHF</v>
      </c>
      <c r="N42" s="89" t="str">
        <f t="shared" si="21"/>
        <v>GBP</v>
      </c>
      <c r="O42" s="89" t="str">
        <f t="shared" si="21"/>
        <v>JPY</v>
      </c>
      <c r="P42" s="89" t="str">
        <f t="shared" si="21"/>
        <v>NZD</v>
      </c>
      <c r="Q42" s="89" t="str">
        <f t="shared" si="21"/>
        <v>USD</v>
      </c>
      <c r="R42" s="89" t="str">
        <f t="shared" si="21"/>
        <v>AUD</v>
      </c>
      <c r="S42" s="89" t="str">
        <f t="shared" si="21"/>
        <v>CAD</v>
      </c>
      <c r="T42" s="89" t="str">
        <f t="shared" si="21"/>
        <v>CHF</v>
      </c>
      <c r="U42" s="89" t="str">
        <f t="shared" si="21"/>
        <v>JPY</v>
      </c>
      <c r="V42" s="89" t="str">
        <f t="shared" si="21"/>
        <v>NZD</v>
      </c>
      <c r="W42" s="89" t="str">
        <f t="shared" si="21"/>
        <v>USD</v>
      </c>
      <c r="X42" s="89" t="str">
        <f t="shared" si="21"/>
        <v>CAD</v>
      </c>
      <c r="Y42" s="89" t="str">
        <f t="shared" si="21"/>
        <v>CHF</v>
      </c>
      <c r="Z42" s="89" t="str">
        <f t="shared" si="21"/>
        <v>JPY</v>
      </c>
      <c r="AA42" s="89" t="str">
        <f t="shared" si="21"/>
        <v>USD</v>
      </c>
      <c r="AB42" s="89" t="str">
        <f t="shared" si="21"/>
        <v>CAD</v>
      </c>
      <c r="AC42" s="89" t="str">
        <f t="shared" si="21"/>
        <v>CHF</v>
      </c>
      <c r="AD42" s="90" t="str">
        <f t="shared" si="21"/>
        <v>JPY</v>
      </c>
      <c r="AE42" s="33"/>
      <c r="AF42" s="33"/>
      <c r="AG42" s="33"/>
      <c r="AH42" s="33"/>
      <c r="CB42" s="56" t="str">
        <f>CG34</f>
        <v>EURJPY</v>
      </c>
      <c r="CC42" s="57">
        <f>CM34</f>
        <v>0.33830275229357798</v>
      </c>
      <c r="CE42" s="26"/>
      <c r="CF42" s="36">
        <f>[1]!AUDCAD</f>
        <v>42615.999305555553</v>
      </c>
      <c r="CG42" s="26" t="s">
        <v>42</v>
      </c>
      <c r="CH42" s="26"/>
      <c r="CI42" s="37" t="str">
        <f>[2]!AUDCAD</f>
        <v>0.99163</v>
      </c>
      <c r="CJ42" s="37" t="str">
        <f>[3]!AUDCAD</f>
        <v>0.98211</v>
      </c>
      <c r="CK42" s="37" t="str">
        <f>[4]!AUDCAD</f>
        <v>0.98286</v>
      </c>
      <c r="CL42" s="37" t="str">
        <f>[5]!AUDCAD</f>
        <v>0.98385</v>
      </c>
      <c r="CM42" s="38" t="e">
        <f t="shared" si="2"/>
        <v>#VALUE!</v>
      </c>
      <c r="CN42" s="38" t="e">
        <f t="shared" si="13"/>
        <v>#VALUE!</v>
      </c>
      <c r="CO42" s="26">
        <v>10000</v>
      </c>
      <c r="CP42" s="39" t="e">
        <f t="shared" si="6"/>
        <v>#VALUE!</v>
      </c>
      <c r="CQ42" s="26" t="e">
        <f t="shared" si="7"/>
        <v>#VALUE!</v>
      </c>
      <c r="CR42" s="38" t="s">
        <v>38</v>
      </c>
      <c r="CS42" s="39" t="e">
        <f t="shared" si="8"/>
        <v>#VALUE!</v>
      </c>
      <c r="CT42" s="40" t="e">
        <f>LOOKUP(100*CM42,CV28:CV49,CW28:CW49)</f>
        <v>#VALUE!</v>
      </c>
      <c r="CU42" s="40" t="e">
        <f t="shared" si="9"/>
        <v>#VALUE!</v>
      </c>
      <c r="CV42" s="26">
        <v>67.5</v>
      </c>
      <c r="CW42" s="26">
        <v>6.5</v>
      </c>
      <c r="CX42" s="26"/>
      <c r="CY42" s="26"/>
      <c r="CZ42" s="27">
        <f>[6]Input!T37</f>
        <v>0</v>
      </c>
      <c r="DA42" s="28">
        <f>[6]Input!U37</f>
        <v>0</v>
      </c>
      <c r="DB42" s="28">
        <f>[6]Input!V37</f>
        <v>0</v>
      </c>
      <c r="DC42" s="29"/>
      <c r="DD42" s="26" t="e">
        <f t="shared" si="10"/>
        <v>#VALUE!</v>
      </c>
      <c r="DE42" s="26" t="e">
        <f t="shared" si="11"/>
        <v>#VALUE!</v>
      </c>
      <c r="DF42" s="26" t="e">
        <f t="shared" si="12"/>
        <v>#VALUE!</v>
      </c>
      <c r="DG42" s="26" t="e">
        <f t="shared" si="3"/>
        <v>#VALUE!</v>
      </c>
      <c r="DH42" s="26" t="e">
        <f t="shared" si="4"/>
        <v>#VALUE!</v>
      </c>
      <c r="DI42" s="26" t="e">
        <f t="shared" si="5"/>
        <v>#VALUE!</v>
      </c>
      <c r="DJ42" s="26"/>
      <c r="DK42" s="26" t="s">
        <v>55</v>
      </c>
      <c r="DL42" s="26">
        <f t="shared" si="19"/>
        <v>1725400000</v>
      </c>
      <c r="DM42" s="26">
        <f t="shared" si="19"/>
        <v>1725400000</v>
      </c>
      <c r="DN42" s="31">
        <f t="shared" si="19"/>
        <v>1725400000</v>
      </c>
      <c r="DO42" s="31">
        <f t="shared" si="19"/>
        <v>16780000</v>
      </c>
      <c r="DP42" s="31">
        <f t="shared" si="19"/>
        <v>1742120000</v>
      </c>
      <c r="DQ42" s="31">
        <f t="shared" si="19"/>
        <v>-1725340000</v>
      </c>
      <c r="DR42" s="26"/>
    </row>
    <row r="43" spans="2:122" ht="15.75" thickBot="1">
      <c r="B43" s="91"/>
      <c r="C43" s="92" t="e">
        <f t="shared" ref="C43:AD43" si="22">9-C41</f>
        <v>#VALUE!</v>
      </c>
      <c r="D43" s="93" t="e">
        <f t="shared" si="22"/>
        <v>#VALUE!</v>
      </c>
      <c r="E43" s="93">
        <f t="shared" si="22"/>
        <v>2</v>
      </c>
      <c r="F43" s="93">
        <f t="shared" si="22"/>
        <v>0</v>
      </c>
      <c r="G43" s="93" t="e">
        <f t="shared" si="22"/>
        <v>#VALUE!</v>
      </c>
      <c r="H43" s="93" t="e">
        <f t="shared" si="22"/>
        <v>#VALUE!</v>
      </c>
      <c r="I43" s="93">
        <f t="shared" si="22"/>
        <v>2</v>
      </c>
      <c r="J43" s="93">
        <f t="shared" si="22"/>
        <v>3</v>
      </c>
      <c r="K43" s="93">
        <f t="shared" si="22"/>
        <v>9</v>
      </c>
      <c r="L43" s="93">
        <f t="shared" si="22"/>
        <v>9</v>
      </c>
      <c r="M43" s="93">
        <f t="shared" si="22"/>
        <v>7</v>
      </c>
      <c r="N43" s="93" t="e">
        <f t="shared" si="22"/>
        <v>#VALUE!</v>
      </c>
      <c r="O43" s="93">
        <f t="shared" si="22"/>
        <v>6</v>
      </c>
      <c r="P43" s="93">
        <f t="shared" si="22"/>
        <v>6</v>
      </c>
      <c r="Q43" s="93">
        <f t="shared" si="22"/>
        <v>9</v>
      </c>
      <c r="R43" s="93">
        <f t="shared" si="22"/>
        <v>6</v>
      </c>
      <c r="S43" s="93">
        <f t="shared" si="22"/>
        <v>9</v>
      </c>
      <c r="T43" s="93">
        <f t="shared" si="22"/>
        <v>4</v>
      </c>
      <c r="U43" s="93">
        <f t="shared" si="22"/>
        <v>4</v>
      </c>
      <c r="V43" s="93">
        <f t="shared" si="22"/>
        <v>3</v>
      </c>
      <c r="W43" s="93">
        <f t="shared" si="22"/>
        <v>6</v>
      </c>
      <c r="X43" s="93" t="e">
        <f t="shared" si="22"/>
        <v>#VALUE!</v>
      </c>
      <c r="Y43" s="93" t="e">
        <f t="shared" si="22"/>
        <v>#VALUE!</v>
      </c>
      <c r="Z43" s="93">
        <f t="shared" si="22"/>
        <v>4</v>
      </c>
      <c r="AA43" s="93" t="e">
        <f t="shared" si="22"/>
        <v>#VALUE!</v>
      </c>
      <c r="AB43" s="93">
        <f t="shared" si="22"/>
        <v>8</v>
      </c>
      <c r="AC43" s="93" t="e">
        <f t="shared" si="22"/>
        <v>#VALUE!</v>
      </c>
      <c r="AD43" s="94">
        <f t="shared" si="22"/>
        <v>3</v>
      </c>
      <c r="AE43" s="33"/>
      <c r="AF43" s="33"/>
      <c r="AG43" s="33"/>
      <c r="AH43" s="33"/>
      <c r="CB43" s="56" t="str">
        <f>CG30</f>
        <v>EURNZD</v>
      </c>
      <c r="CC43" s="57">
        <f>CM30</f>
        <v>0.31259968102073366</v>
      </c>
      <c r="CE43" s="26"/>
      <c r="CF43" s="36">
        <f>[1]!AUDCHF</f>
        <v>42615.999305555553</v>
      </c>
      <c r="CG43" s="26" t="s">
        <v>43</v>
      </c>
      <c r="CH43" s="26"/>
      <c r="CI43" s="37" t="str">
        <f>[2]!AUDCHF</f>
        <v>0.74292</v>
      </c>
      <c r="CJ43" s="37" t="str">
        <f>[3]!AUDCHF</f>
        <v>0.73738</v>
      </c>
      <c r="CK43" s="37" t="str">
        <f>[4]!AUDCHF</f>
        <v>0.74123</v>
      </c>
      <c r="CL43" s="37" t="str">
        <f>[5]!AUDCHF</f>
        <v>0.74358</v>
      </c>
      <c r="CM43" s="38" t="e">
        <f t="shared" si="2"/>
        <v>#VALUE!</v>
      </c>
      <c r="CN43" s="38" t="e">
        <f t="shared" si="13"/>
        <v>#VALUE!</v>
      </c>
      <c r="CO43" s="26">
        <v>10000</v>
      </c>
      <c r="CP43" s="39" t="e">
        <f t="shared" si="6"/>
        <v>#VALUE!</v>
      </c>
      <c r="CQ43" s="26" t="e">
        <f t="shared" si="7"/>
        <v>#VALUE!</v>
      </c>
      <c r="CR43" s="38" t="s">
        <v>38</v>
      </c>
      <c r="CS43" s="39" t="e">
        <f t="shared" si="8"/>
        <v>#VALUE!</v>
      </c>
      <c r="CT43" s="40" t="e">
        <f>LOOKUP(100*CM43,CV28:CV49,CW28:CW49)</f>
        <v>#VALUE!</v>
      </c>
      <c r="CU43" s="40" t="e">
        <f t="shared" si="9"/>
        <v>#VALUE!</v>
      </c>
      <c r="CV43" s="26">
        <v>75</v>
      </c>
      <c r="CW43" s="26">
        <v>7</v>
      </c>
      <c r="CX43" s="26"/>
      <c r="CY43" s="26"/>
      <c r="CZ43" s="27">
        <f>[6]Input!T38</f>
        <v>0</v>
      </c>
      <c r="DA43" s="28">
        <f>[6]Input!U38</f>
        <v>0</v>
      </c>
      <c r="DB43" s="28">
        <f>[6]Input!V38</f>
        <v>0</v>
      </c>
      <c r="DC43" s="29"/>
      <c r="DD43" s="26" t="e">
        <f t="shared" si="10"/>
        <v>#VALUE!</v>
      </c>
      <c r="DE43" s="26" t="e">
        <f t="shared" si="11"/>
        <v>#VALUE!</v>
      </c>
      <c r="DF43" s="26" t="e">
        <f t="shared" si="12"/>
        <v>#VALUE!</v>
      </c>
      <c r="DG43" s="26" t="e">
        <f t="shared" si="3"/>
        <v>#VALUE!</v>
      </c>
      <c r="DH43" s="26" t="e">
        <f t="shared" si="4"/>
        <v>#VALUE!</v>
      </c>
      <c r="DI43" s="26" t="e">
        <f t="shared" si="5"/>
        <v>#VALUE!</v>
      </c>
      <c r="DJ43" s="26"/>
      <c r="DK43" s="26" t="s">
        <v>56</v>
      </c>
      <c r="DL43" s="26">
        <f t="shared" si="19"/>
        <v>1302520000</v>
      </c>
      <c r="DM43" s="26">
        <f t="shared" si="19"/>
        <v>1302520000</v>
      </c>
      <c r="DN43" s="31">
        <f t="shared" si="19"/>
        <v>1302520000</v>
      </c>
      <c r="DO43" s="31">
        <f t="shared" si="19"/>
        <v>9910000</v>
      </c>
      <c r="DP43" s="31">
        <f t="shared" si="19"/>
        <v>1306990000</v>
      </c>
      <c r="DQ43" s="31">
        <f t="shared" si="19"/>
        <v>-1297080000</v>
      </c>
      <c r="DR43" s="26"/>
    </row>
    <row r="44" spans="2:122" ht="15.75" thickBot="1">
      <c r="B44" s="32"/>
      <c r="C44" s="33"/>
      <c r="D44" s="33"/>
      <c r="E44" s="33"/>
      <c r="F44" s="33"/>
      <c r="G44" s="33"/>
      <c r="H44" s="33"/>
      <c r="I44" s="33"/>
      <c r="J44" s="33"/>
      <c r="K44" s="33"/>
      <c r="L44" s="33"/>
      <c r="M44" s="33"/>
      <c r="N44" s="33"/>
      <c r="O44" s="33"/>
      <c r="P44" s="33"/>
      <c r="Q44" s="33"/>
      <c r="R44" s="33"/>
      <c r="S44" s="33"/>
      <c r="T44" s="33"/>
      <c r="U44" s="33"/>
      <c r="V44" s="33"/>
      <c r="W44" s="33"/>
      <c r="X44" s="33"/>
      <c r="Y44" s="33"/>
      <c r="Z44" s="33"/>
      <c r="AA44" s="33"/>
      <c r="AB44" s="33"/>
      <c r="AC44" s="33"/>
      <c r="AD44" s="33"/>
      <c r="AE44" s="33"/>
      <c r="AF44" s="33"/>
      <c r="AG44" s="33"/>
      <c r="AH44" s="33"/>
      <c r="CB44" s="56" t="str">
        <f>CG35</f>
        <v>GBPAUD</v>
      </c>
      <c r="CC44" s="57">
        <f>CM35</f>
        <v>0.35254027261462206</v>
      </c>
      <c r="CE44" s="26"/>
      <c r="CF44" s="36">
        <f>[1]!AUDUSD</f>
        <v>42615.999305555553</v>
      </c>
      <c r="CG44" s="26" t="s">
        <v>46</v>
      </c>
      <c r="CH44" s="26"/>
      <c r="CI44" s="37" t="str">
        <f>[2]!AUDUSD</f>
        <v>0.76156</v>
      </c>
      <c r="CJ44" s="37" t="str">
        <f>[3]!AUDUSD</f>
        <v>0.75359</v>
      </c>
      <c r="CK44" s="37" t="str">
        <f>[4]!AUDUSD</f>
        <v>0.75667</v>
      </c>
      <c r="CL44" s="37" t="str">
        <f>[5]!AUDUSD</f>
        <v>0.75753</v>
      </c>
      <c r="CM44" s="38" t="e">
        <f t="shared" si="2"/>
        <v>#VALUE!</v>
      </c>
      <c r="CN44" s="38" t="e">
        <f t="shared" si="13"/>
        <v>#VALUE!</v>
      </c>
      <c r="CO44" s="26">
        <v>10000</v>
      </c>
      <c r="CP44" s="39" t="e">
        <f t="shared" si="6"/>
        <v>#VALUE!</v>
      </c>
      <c r="CQ44" s="26" t="e">
        <f t="shared" si="7"/>
        <v>#VALUE!</v>
      </c>
      <c r="CR44" s="38" t="s">
        <v>38</v>
      </c>
      <c r="CS44" s="39" t="e">
        <f t="shared" si="8"/>
        <v>#VALUE!</v>
      </c>
      <c r="CT44" s="40" t="e">
        <f>LOOKUP(100*CM44,CV28:CV49,CW28:CW49)</f>
        <v>#VALUE!</v>
      </c>
      <c r="CU44" s="40" t="e">
        <f t="shared" si="9"/>
        <v>#VALUE!</v>
      </c>
      <c r="CV44" s="26">
        <v>82.5</v>
      </c>
      <c r="CW44" s="26">
        <v>7.5</v>
      </c>
      <c r="CX44" s="26"/>
      <c r="CY44" s="26"/>
      <c r="CZ44" s="27">
        <f>[6]Input!T39</f>
        <v>0</v>
      </c>
      <c r="DA44" s="28">
        <f>[6]Input!U39</f>
        <v>0</v>
      </c>
      <c r="DB44" s="28">
        <f>[6]Input!V39</f>
        <v>0</v>
      </c>
      <c r="DC44" s="29"/>
      <c r="DD44" s="26" t="e">
        <f t="shared" si="10"/>
        <v>#VALUE!</v>
      </c>
      <c r="DE44" s="26" t="e">
        <f t="shared" si="11"/>
        <v>#VALUE!</v>
      </c>
      <c r="DF44" s="26" t="e">
        <f t="shared" si="12"/>
        <v>#VALUE!</v>
      </c>
      <c r="DG44" s="26" t="e">
        <f t="shared" si="3"/>
        <v>#VALUE!</v>
      </c>
      <c r="DH44" s="26" t="e">
        <f t="shared" si="4"/>
        <v>#VALUE!</v>
      </c>
      <c r="DI44" s="26" t="e">
        <f t="shared" si="5"/>
        <v>#VALUE!</v>
      </c>
      <c r="DJ44" s="26"/>
      <c r="DK44" s="26" t="s">
        <v>59</v>
      </c>
      <c r="DL44" s="26">
        <f t="shared" si="19"/>
        <v>1329000000</v>
      </c>
      <c r="DM44" s="26">
        <f t="shared" si="19"/>
        <v>1329000000</v>
      </c>
      <c r="DN44" s="31">
        <f t="shared" si="19"/>
        <v>1329000000</v>
      </c>
      <c r="DO44" s="31">
        <f t="shared" si="19"/>
        <v>9980000</v>
      </c>
      <c r="DP44" s="31">
        <f t="shared" si="19"/>
        <v>1335210000</v>
      </c>
      <c r="DQ44" s="31">
        <f t="shared" si="19"/>
        <v>-1325230000</v>
      </c>
      <c r="DR44" s="26"/>
    </row>
    <row r="45" spans="2:122" ht="15.75" customHeight="1" thickBot="1">
      <c r="B45" s="162" t="s">
        <v>73</v>
      </c>
      <c r="C45" s="163"/>
      <c r="D45" s="95" t="s">
        <v>15</v>
      </c>
      <c r="E45" s="95" t="s">
        <v>3</v>
      </c>
      <c r="F45" s="95" t="s">
        <v>5</v>
      </c>
      <c r="G45" s="95" t="s">
        <v>13</v>
      </c>
      <c r="H45" s="96" t="s">
        <v>17</v>
      </c>
      <c r="I45" s="97" t="s">
        <v>7</v>
      </c>
      <c r="J45" s="98" t="s">
        <v>9</v>
      </c>
      <c r="K45" s="99" t="s">
        <v>11</v>
      </c>
      <c r="L45" s="33"/>
      <c r="M45" s="33"/>
      <c r="N45" s="100" t="s">
        <v>74</v>
      </c>
      <c r="O45" s="33"/>
      <c r="P45" s="166" t="s">
        <v>75</v>
      </c>
      <c r="Q45" s="167"/>
      <c r="R45" s="33"/>
      <c r="S45" s="33"/>
      <c r="T45" s="33"/>
      <c r="U45" s="33"/>
      <c r="V45" s="33"/>
      <c r="W45" s="33"/>
      <c r="X45" s="33"/>
      <c r="Y45" s="33"/>
      <c r="Z45" s="33"/>
      <c r="AA45" s="33"/>
      <c r="AB45" s="33"/>
      <c r="AC45" s="33"/>
      <c r="AD45" s="33"/>
      <c r="AE45" s="33"/>
      <c r="AF45" s="33"/>
      <c r="AG45" s="33"/>
      <c r="AH45" s="33"/>
      <c r="CB45" s="56" t="str">
        <f>CG37</f>
        <v>GBPCAD</v>
      </c>
      <c r="CC45" s="57">
        <f>CM37</f>
        <v>3.5756853396901071E-3</v>
      </c>
      <c r="CE45" s="26"/>
      <c r="CF45" s="36">
        <f>[1]!AUDJPY</f>
        <v>42615.999305555553</v>
      </c>
      <c r="CG45" s="26" t="s">
        <v>44</v>
      </c>
      <c r="CH45" s="26"/>
      <c r="CI45" s="37">
        <f>[2]!AUDJPY</f>
        <v>78771</v>
      </c>
      <c r="CJ45" s="37">
        <f>[3]!AUDJPY</f>
        <v>77863</v>
      </c>
      <c r="CK45" s="37">
        <f>[4]!AUDJPY</f>
        <v>78625</v>
      </c>
      <c r="CL45" s="37">
        <f>[5]!AUDJPY</f>
        <v>78724</v>
      </c>
      <c r="CM45" s="38">
        <f t="shared" si="2"/>
        <v>0.83920704845814975</v>
      </c>
      <c r="CN45" s="38">
        <f t="shared" si="13"/>
        <v>5.1762114537444934E-2</v>
      </c>
      <c r="CO45" s="26">
        <v>100</v>
      </c>
      <c r="CP45" s="39">
        <f t="shared" si="6"/>
        <v>0.16079295154185025</v>
      </c>
      <c r="CQ45" s="26">
        <f t="shared" si="7"/>
        <v>9900</v>
      </c>
      <c r="CR45" s="38" t="s">
        <v>38</v>
      </c>
      <c r="CS45" s="39">
        <f t="shared" si="8"/>
        <v>0.83920704845814975</v>
      </c>
      <c r="CT45" s="40">
        <f>LOOKUP(100*CM45,CV28:CV49,CW28:CW49)</f>
        <v>7.5</v>
      </c>
      <c r="CU45" s="40">
        <f t="shared" si="9"/>
        <v>1.5</v>
      </c>
      <c r="CV45" s="26">
        <v>90</v>
      </c>
      <c r="CW45" s="26">
        <v>8</v>
      </c>
      <c r="CX45" s="26"/>
      <c r="CY45" s="26"/>
      <c r="CZ45" s="27">
        <f>[6]Input!T40</f>
        <v>0</v>
      </c>
      <c r="DA45" s="28">
        <f>[6]Input!U40</f>
        <v>0</v>
      </c>
      <c r="DB45" s="28">
        <f>[6]Input!V40</f>
        <v>0</v>
      </c>
      <c r="DC45" s="29"/>
      <c r="DD45" s="26">
        <f t="shared" si="10"/>
        <v>7862500</v>
      </c>
      <c r="DE45" s="26">
        <f t="shared" si="11"/>
        <v>7862500</v>
      </c>
      <c r="DF45" s="26">
        <f t="shared" si="12"/>
        <v>7862500</v>
      </c>
      <c r="DG45" s="26">
        <f t="shared" si="3"/>
        <v>90800</v>
      </c>
      <c r="DH45" s="26">
        <f t="shared" si="4"/>
        <v>7877100</v>
      </c>
      <c r="DI45" s="26">
        <f t="shared" si="5"/>
        <v>-7786300</v>
      </c>
      <c r="DJ45" s="26"/>
      <c r="DK45" s="26" t="s">
        <v>57</v>
      </c>
      <c r="DL45" s="26">
        <f t="shared" si="19"/>
        <v>13801700</v>
      </c>
      <c r="DM45" s="26">
        <f t="shared" si="19"/>
        <v>13801700</v>
      </c>
      <c r="DN45" s="31">
        <f t="shared" si="19"/>
        <v>13801700</v>
      </c>
      <c r="DO45" s="31">
        <f t="shared" si="19"/>
        <v>193700</v>
      </c>
      <c r="DP45" s="31">
        <f t="shared" si="19"/>
        <v>13883300</v>
      </c>
      <c r="DQ45" s="31">
        <f t="shared" si="19"/>
        <v>-13689600</v>
      </c>
      <c r="DR45" s="26"/>
    </row>
    <row r="46" spans="2:122" ht="16.5" thickBot="1">
      <c r="B46" s="164"/>
      <c r="C46" s="165"/>
      <c r="D46" s="101" t="e">
        <f>(G43+Q43+W43+AA43+AB41+AC41+AD41)/D47</f>
        <v>#VALUE!</v>
      </c>
      <c r="E46" s="101" t="e">
        <f>(K41+L41+M41+N41+O41+P41+Q41)/E47</f>
        <v>#VALUE!</v>
      </c>
      <c r="F46" s="101" t="e">
        <f>(N43+R41+S41+T41+U41+V41+W41)/F47</f>
        <v>#VALUE!</v>
      </c>
      <c r="G46" s="101" t="e">
        <f>(D43+H43+J41+M43+T43+Y43+AC43)/G47</f>
        <v>#VALUE!</v>
      </c>
      <c r="H46" s="102" t="e">
        <f>(C43+H41+I41+L43+S43+X43+AB43)/H47</f>
        <v>#VALUE!</v>
      </c>
      <c r="I46" s="102" t="e">
        <f>(C41+D41+E41+F41+G41+K43+R43)/I47</f>
        <v>#VALUE!</v>
      </c>
      <c r="J46" s="101" t="e">
        <f>(F43+P43+V43+X41+Y41+Z41+AA41)/J47</f>
        <v>#VALUE!</v>
      </c>
      <c r="K46" s="103">
        <f>(E43+I43+J43+O43+U43+Z43+AD43)/K47</f>
        <v>3.4285714285714284</v>
      </c>
      <c r="L46" s="33"/>
      <c r="M46" s="33"/>
      <c r="N46" s="104" t="s">
        <v>76</v>
      </c>
      <c r="O46" s="33"/>
      <c r="P46" s="105" t="s">
        <v>77</v>
      </c>
      <c r="Q46" s="106" t="e">
        <f>AVERAGE(D46:K46)*0.75</f>
        <v>#VALUE!</v>
      </c>
      <c r="R46" s="33"/>
      <c r="S46" s="33"/>
      <c r="T46" s="33"/>
      <c r="U46" s="33"/>
      <c r="V46" s="33"/>
      <c r="W46" s="33"/>
      <c r="X46" s="33"/>
      <c r="Y46" s="33"/>
      <c r="Z46" s="33"/>
      <c r="AA46" s="33"/>
      <c r="AB46" s="33"/>
      <c r="AC46" s="33"/>
      <c r="AD46" s="33"/>
      <c r="AE46" s="33"/>
      <c r="AF46" s="33"/>
      <c r="AG46" s="33"/>
      <c r="AH46" s="33"/>
      <c r="CB46" s="56" t="str">
        <f>CG40</f>
        <v>GBPJPY</v>
      </c>
      <c r="CC46" s="57">
        <f>CM40</f>
        <v>0.57872999483737741</v>
      </c>
      <c r="CE46" s="26"/>
      <c r="CF46" s="36">
        <f>[1]!NZDCAD</f>
        <v>42615.999305555553</v>
      </c>
      <c r="CG46" s="26" t="s">
        <v>60</v>
      </c>
      <c r="CH46" s="26"/>
      <c r="CI46" s="37" t="str">
        <f>[2]!NZDCAD</f>
        <v>0.95833</v>
      </c>
      <c r="CJ46" s="37" t="str">
        <f>[3]!NZDCAD</f>
        <v>0.94587</v>
      </c>
      <c r="CK46" s="37" t="str">
        <f>[4]!NZDCAD</f>
        <v>0.94587</v>
      </c>
      <c r="CL46" s="37" t="str">
        <f>[5]!NZDCAD</f>
        <v>0.94736</v>
      </c>
      <c r="CM46" s="38" t="e">
        <f t="shared" si="2"/>
        <v>#VALUE!</v>
      </c>
      <c r="CN46" s="38" t="e">
        <f t="shared" si="13"/>
        <v>#VALUE!</v>
      </c>
      <c r="CO46" s="26">
        <v>10000</v>
      </c>
      <c r="CP46" s="39" t="e">
        <f t="shared" si="6"/>
        <v>#VALUE!</v>
      </c>
      <c r="CQ46" s="26" t="e">
        <f t="shared" si="7"/>
        <v>#VALUE!</v>
      </c>
      <c r="CR46" s="38" t="s">
        <v>38</v>
      </c>
      <c r="CS46" s="39" t="e">
        <f t="shared" si="8"/>
        <v>#VALUE!</v>
      </c>
      <c r="CT46" s="40" t="e">
        <f>LOOKUP(100*CM46,CV28:CV49,CW28:CW49)</f>
        <v>#VALUE!</v>
      </c>
      <c r="CU46" s="40" t="e">
        <f t="shared" si="9"/>
        <v>#VALUE!</v>
      </c>
      <c r="CV46" s="26">
        <v>93.5</v>
      </c>
      <c r="CW46" s="26">
        <v>8.5</v>
      </c>
      <c r="CX46" s="26"/>
      <c r="CY46" s="26"/>
      <c r="CZ46" s="27">
        <f>[6]Input!T41</f>
        <v>0</v>
      </c>
      <c r="DA46" s="28">
        <f>[6]Input!U41</f>
        <v>0</v>
      </c>
      <c r="DB46" s="28">
        <f>[6]Input!V41</f>
        <v>0</v>
      </c>
      <c r="DC46" s="29"/>
      <c r="DD46" s="26" t="e">
        <f t="shared" si="10"/>
        <v>#VALUE!</v>
      </c>
      <c r="DE46" s="26" t="e">
        <f t="shared" si="11"/>
        <v>#VALUE!</v>
      </c>
      <c r="DF46" s="26" t="e">
        <f t="shared" si="12"/>
        <v>#VALUE!</v>
      </c>
      <c r="DG46" s="26" t="e">
        <f t="shared" si="3"/>
        <v>#VALUE!</v>
      </c>
      <c r="DH46" s="26" t="e">
        <f t="shared" si="4"/>
        <v>#VALUE!</v>
      </c>
      <c r="DI46" s="26" t="e">
        <f t="shared" si="5"/>
        <v>#VALUE!</v>
      </c>
      <c r="DJ46" s="26"/>
      <c r="DK46" s="26"/>
      <c r="DL46" s="26" t="e">
        <f t="shared" ref="DL46:DQ46" si="23">SUM(DL39:DL45)</f>
        <v>#VALUE!</v>
      </c>
      <c r="DM46" s="26" t="e">
        <f t="shared" si="23"/>
        <v>#VALUE!</v>
      </c>
      <c r="DN46" s="31" t="e">
        <f t="shared" si="23"/>
        <v>#VALUE!</v>
      </c>
      <c r="DO46" s="31" t="e">
        <f t="shared" si="23"/>
        <v>#VALUE!</v>
      </c>
      <c r="DP46" s="31" t="e">
        <f t="shared" si="23"/>
        <v>#VALUE!</v>
      </c>
      <c r="DQ46" s="31" t="e">
        <f t="shared" si="23"/>
        <v>#VALUE!</v>
      </c>
      <c r="DR46" s="26"/>
    </row>
    <row r="47" spans="2:122" ht="16.5" thickBot="1">
      <c r="B47" s="107"/>
      <c r="C47" s="108" t="s">
        <v>78</v>
      </c>
      <c r="D47" s="109">
        <f>COUNTIF($C$40:$AD$43,"=USD")</f>
        <v>7</v>
      </c>
      <c r="E47" s="109">
        <f>COUNTIF($C$40:$AD$43,"=EUR")</f>
        <v>7</v>
      </c>
      <c r="F47" s="109">
        <v>7</v>
      </c>
      <c r="G47" s="109">
        <f>COUNTIF($C$40:$AD$43,"=CHF")</f>
        <v>7</v>
      </c>
      <c r="H47" s="109">
        <f>COUNTIF($C$40:$AD$43,"=CAD")</f>
        <v>7</v>
      </c>
      <c r="I47" s="109">
        <f>COUNTIF($C$40:$AD$43,"=AUD")</f>
        <v>7</v>
      </c>
      <c r="J47" s="109">
        <v>7</v>
      </c>
      <c r="K47" s="110">
        <f>COUNTIF($C$40:$AD$43,"=JPY")</f>
        <v>7</v>
      </c>
      <c r="L47" s="33"/>
      <c r="M47" s="33"/>
      <c r="N47" s="111" t="s">
        <v>79</v>
      </c>
      <c r="O47" s="33"/>
      <c r="P47" s="112" t="s">
        <v>80</v>
      </c>
      <c r="Q47" s="106" t="e">
        <f>AVERAGE(D46:K46)*0.75*-1</f>
        <v>#VALUE!</v>
      </c>
      <c r="R47" s="33"/>
      <c r="S47" s="33"/>
      <c r="T47" s="33"/>
      <c r="U47" s="33"/>
      <c r="V47" s="33"/>
      <c r="W47" s="33"/>
      <c r="X47" s="33"/>
      <c r="Y47" s="33"/>
      <c r="Z47" s="33"/>
      <c r="AA47" s="33"/>
      <c r="AB47" s="33"/>
      <c r="AC47" s="33"/>
      <c r="AD47" s="33"/>
      <c r="AE47" s="33"/>
      <c r="AF47" s="33"/>
      <c r="AG47" s="33"/>
      <c r="AH47" s="33"/>
      <c r="CB47" s="56" t="str">
        <f>CG36</f>
        <v>GBPNZD</v>
      </c>
      <c r="CC47" s="57">
        <f>CM36</f>
        <v>0.63566243194192373</v>
      </c>
      <c r="CE47" s="26"/>
      <c r="CF47" s="36">
        <f>[1]!NZDCHF</f>
        <v>42615.999305555553</v>
      </c>
      <c r="CG47" s="26" t="s">
        <v>61</v>
      </c>
      <c r="CH47" s="26"/>
      <c r="CI47" s="37" t="str">
        <f>[2]!NZDCHF</f>
        <v>0.71805</v>
      </c>
      <c r="CJ47" s="37" t="str">
        <f>[3]!NZDCHF</f>
        <v>0.71252</v>
      </c>
      <c r="CK47" s="37" t="str">
        <f>[4]!NZDCHF</f>
        <v>0.71391</v>
      </c>
      <c r="CL47" s="37" t="str">
        <f>[5]!NZDCHF</f>
        <v>0.71613</v>
      </c>
      <c r="CM47" s="38" t="e">
        <f t="shared" si="2"/>
        <v>#VALUE!</v>
      </c>
      <c r="CN47" s="38" t="e">
        <f t="shared" si="13"/>
        <v>#VALUE!</v>
      </c>
      <c r="CO47" s="26">
        <v>10000</v>
      </c>
      <c r="CP47" s="39" t="e">
        <f t="shared" si="6"/>
        <v>#VALUE!</v>
      </c>
      <c r="CQ47" s="26" t="e">
        <f t="shared" si="7"/>
        <v>#VALUE!</v>
      </c>
      <c r="CR47" s="38" t="s">
        <v>38</v>
      </c>
      <c r="CS47" s="39" t="e">
        <f t="shared" si="8"/>
        <v>#VALUE!</v>
      </c>
      <c r="CT47" s="40" t="e">
        <f>LOOKUP(100*CM47,CV28:CV49,CW28:CW49)</f>
        <v>#VALUE!</v>
      </c>
      <c r="CU47" s="40" t="e">
        <f t="shared" si="9"/>
        <v>#VALUE!</v>
      </c>
      <c r="CV47" s="26">
        <v>97</v>
      </c>
      <c r="CW47" s="26">
        <v>9</v>
      </c>
      <c r="CX47" s="26"/>
      <c r="CY47" s="26"/>
      <c r="CZ47" s="27">
        <f>[6]Input!T42</f>
        <v>0</v>
      </c>
      <c r="DA47" s="28">
        <f>[6]Input!U42</f>
        <v>0</v>
      </c>
      <c r="DB47" s="28">
        <f>[6]Input!V42</f>
        <v>0</v>
      </c>
      <c r="DC47" s="29"/>
      <c r="DD47" s="26" t="e">
        <f t="shared" si="10"/>
        <v>#VALUE!</v>
      </c>
      <c r="DE47" s="26" t="e">
        <f t="shared" si="11"/>
        <v>#VALUE!</v>
      </c>
      <c r="DF47" s="26" t="e">
        <f t="shared" si="12"/>
        <v>#VALUE!</v>
      </c>
      <c r="DG47" s="26" t="e">
        <f t="shared" si="3"/>
        <v>#VALUE!</v>
      </c>
      <c r="DH47" s="26" t="e">
        <f t="shared" si="4"/>
        <v>#VALUE!</v>
      </c>
      <c r="DI47" s="26" t="e">
        <f t="shared" si="5"/>
        <v>#VALUE!</v>
      </c>
      <c r="DJ47" s="26"/>
      <c r="DK47" s="26" t="s">
        <v>67</v>
      </c>
      <c r="DL47" s="26"/>
      <c r="DM47" s="26"/>
      <c r="DN47" s="31" t="e">
        <f>SUM(DP46+DN46)</f>
        <v>#VALUE!</v>
      </c>
      <c r="DO47" s="31"/>
      <c r="DP47" s="31"/>
      <c r="DQ47" s="31"/>
      <c r="DR47" s="26"/>
    </row>
    <row r="48" spans="2:122" ht="15.75" thickBot="1">
      <c r="B48" s="32"/>
      <c r="C48" s="33"/>
      <c r="D48" s="33"/>
      <c r="E48" s="33"/>
      <c r="F48" s="33"/>
      <c r="G48" s="33"/>
      <c r="H48" s="33"/>
      <c r="I48" s="33"/>
      <c r="J48" s="33"/>
      <c r="K48" s="33"/>
      <c r="L48" s="33"/>
      <c r="M48" s="33"/>
      <c r="N48" s="113" t="s">
        <v>81</v>
      </c>
      <c r="O48" s="33"/>
      <c r="P48" s="33"/>
      <c r="Q48" s="33"/>
      <c r="R48" s="33"/>
      <c r="S48" s="33"/>
      <c r="T48" s="33"/>
      <c r="U48" s="33"/>
      <c r="V48" s="33"/>
      <c r="W48" s="33"/>
      <c r="X48" s="33"/>
      <c r="Y48" s="33"/>
      <c r="Z48" s="33"/>
      <c r="AA48" s="33"/>
      <c r="AB48" s="33"/>
      <c r="AC48" s="33"/>
      <c r="AD48" s="33"/>
      <c r="AE48" s="33"/>
      <c r="AF48" s="33"/>
      <c r="AG48" s="33"/>
      <c r="AH48" s="33"/>
      <c r="CE48" s="26"/>
      <c r="CF48" s="36">
        <f>[1]!NZDUSD</f>
        <v>42615.999305555553</v>
      </c>
      <c r="CG48" s="26" t="s">
        <v>63</v>
      </c>
      <c r="CH48" s="26"/>
      <c r="CI48" s="37" t="str">
        <f>[2]!NZDUSD</f>
        <v>0.73596</v>
      </c>
      <c r="CJ48" s="37" t="str">
        <f>[3]!NZDUSD</f>
        <v>0.72681</v>
      </c>
      <c r="CK48" s="37" t="str">
        <f>[4]!NZDUSD</f>
        <v>0.72754</v>
      </c>
      <c r="CL48" s="37" t="str">
        <f>[5]!NZDUSD</f>
        <v>0.72953</v>
      </c>
      <c r="CM48" s="38" t="e">
        <f>(CK48-CJ48)/(CI48-CJ48)</f>
        <v>#VALUE!</v>
      </c>
      <c r="CN48" s="38" t="e">
        <f t="shared" si="13"/>
        <v>#VALUE!</v>
      </c>
      <c r="CO48" s="26">
        <v>10000</v>
      </c>
      <c r="CP48" s="39" t="e">
        <f t="shared" si="6"/>
        <v>#VALUE!</v>
      </c>
      <c r="CQ48" s="26" t="e">
        <f t="shared" si="7"/>
        <v>#VALUE!</v>
      </c>
      <c r="CR48" s="38" t="s">
        <v>38</v>
      </c>
      <c r="CS48" s="39" t="e">
        <f t="shared" si="8"/>
        <v>#VALUE!</v>
      </c>
      <c r="CT48" s="40" t="e">
        <f>LOOKUP(100*CM48,CV28:CV49,CW28:CW49)</f>
        <v>#VALUE!</v>
      </c>
      <c r="CU48" s="40" t="e">
        <f t="shared" si="9"/>
        <v>#VALUE!</v>
      </c>
      <c r="CV48" s="26">
        <v>100</v>
      </c>
      <c r="CW48" s="26">
        <v>9</v>
      </c>
      <c r="CX48" s="26"/>
      <c r="CY48" s="26"/>
      <c r="CZ48" s="27">
        <f>[6]Input!T43</f>
        <v>0</v>
      </c>
      <c r="DA48" s="28">
        <f>[6]Input!U43</f>
        <v>0</v>
      </c>
      <c r="DB48" s="28">
        <f>[6]Input!V43</f>
        <v>0</v>
      </c>
      <c r="DC48" s="29"/>
      <c r="DD48" s="26" t="e">
        <f t="shared" si="10"/>
        <v>#VALUE!</v>
      </c>
      <c r="DE48" s="26" t="e">
        <f t="shared" si="11"/>
        <v>#VALUE!</v>
      </c>
      <c r="DF48" s="26" t="e">
        <f t="shared" si="12"/>
        <v>#VALUE!</v>
      </c>
      <c r="DG48" s="26" t="e">
        <f t="shared" si="3"/>
        <v>#VALUE!</v>
      </c>
      <c r="DH48" s="26" t="e">
        <f t="shared" si="4"/>
        <v>#VALUE!</v>
      </c>
      <c r="DI48" s="26" t="e">
        <f t="shared" si="5"/>
        <v>#VALUE!</v>
      </c>
      <c r="DJ48" s="26"/>
      <c r="DK48" s="26" t="s">
        <v>68</v>
      </c>
      <c r="DL48" s="26"/>
      <c r="DM48" s="26"/>
      <c r="DN48" s="31" t="e">
        <f>SUM(DQ46-DN46)*-1</f>
        <v>#VALUE!</v>
      </c>
      <c r="DO48" s="31"/>
      <c r="DP48" s="31"/>
      <c r="DQ48" s="31"/>
      <c r="DR48" s="26"/>
    </row>
    <row r="49" spans="2:122" ht="16.5" thickBot="1">
      <c r="B49" s="114" t="s">
        <v>82</v>
      </c>
      <c r="C49" s="114" t="s">
        <v>28</v>
      </c>
      <c r="D49" s="115" t="s">
        <v>41</v>
      </c>
      <c r="E49" s="116" t="s">
        <v>83</v>
      </c>
      <c r="F49" s="117" t="s">
        <v>84</v>
      </c>
      <c r="G49" s="118" t="s">
        <v>85</v>
      </c>
      <c r="H49" s="119" t="s">
        <v>86</v>
      </c>
      <c r="I49" s="120" t="s">
        <v>87</v>
      </c>
      <c r="J49" s="33"/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33"/>
      <c r="V49" s="33"/>
      <c r="W49" s="33"/>
      <c r="X49" s="33"/>
      <c r="Y49" s="33"/>
      <c r="Z49" s="33"/>
      <c r="AA49" s="33"/>
      <c r="AB49" s="33"/>
      <c r="AC49" s="33"/>
      <c r="AD49" s="33"/>
      <c r="AE49" s="33"/>
      <c r="AF49" s="33"/>
      <c r="AG49" s="33"/>
      <c r="AH49" s="33"/>
      <c r="CE49" s="26"/>
      <c r="CF49" s="36">
        <f>[1]!NZDJPY</f>
        <v>42615.999305555553</v>
      </c>
      <c r="CG49" s="26" t="s">
        <v>62</v>
      </c>
      <c r="CH49" s="26"/>
      <c r="CI49" s="37">
        <f>[2]!NZDJPY</f>
        <v>75993</v>
      </c>
      <c r="CJ49" s="37">
        <f>[3]!NZDJPY</f>
        <v>75122</v>
      </c>
      <c r="CK49" s="37">
        <f>[4]!NZDJPY</f>
        <v>75639</v>
      </c>
      <c r="CL49" s="37">
        <f>[5]!NZDJPY</f>
        <v>75788</v>
      </c>
      <c r="CM49" s="38">
        <f t="shared" si="2"/>
        <v>0.59357060849598164</v>
      </c>
      <c r="CN49" s="38">
        <f t="shared" si="13"/>
        <v>0.23536165327210104</v>
      </c>
      <c r="CO49" s="26">
        <v>100</v>
      </c>
      <c r="CP49" s="39">
        <f t="shared" si="6"/>
        <v>0.40642939150401836</v>
      </c>
      <c r="CQ49" s="26">
        <f t="shared" si="7"/>
        <v>14900</v>
      </c>
      <c r="CR49" s="38" t="s">
        <v>38</v>
      </c>
      <c r="CS49" s="39">
        <f t="shared" si="8"/>
        <v>0.59357060849598164</v>
      </c>
      <c r="CT49" s="40">
        <f>LOOKUP(100*CM49,CV28:CV49,CW28:CW49)</f>
        <v>5.5</v>
      </c>
      <c r="CU49" s="40">
        <f t="shared" si="9"/>
        <v>3.5</v>
      </c>
      <c r="CV49" s="26">
        <v>250</v>
      </c>
      <c r="CW49" s="26">
        <v>9</v>
      </c>
      <c r="CX49" s="26"/>
      <c r="CY49" s="26"/>
      <c r="CZ49" s="27">
        <f>[6]Input!T44</f>
        <v>0</v>
      </c>
      <c r="DA49" s="28">
        <f>[6]Input!U44</f>
        <v>0</v>
      </c>
      <c r="DB49" s="28">
        <f>[6]Input!V44</f>
        <v>0</v>
      </c>
      <c r="DC49" s="29"/>
      <c r="DD49" s="26">
        <f t="shared" si="10"/>
        <v>7563900</v>
      </c>
      <c r="DE49" s="26">
        <f t="shared" si="11"/>
        <v>7563900</v>
      </c>
      <c r="DF49" s="26">
        <f t="shared" si="12"/>
        <v>7563900</v>
      </c>
      <c r="DG49" s="26">
        <f t="shared" si="3"/>
        <v>87100</v>
      </c>
      <c r="DH49" s="26">
        <f t="shared" si="4"/>
        <v>7599300</v>
      </c>
      <c r="DI49" s="26">
        <f t="shared" si="5"/>
        <v>-7512200</v>
      </c>
      <c r="DJ49" s="26"/>
      <c r="DK49" s="26"/>
      <c r="DL49" s="26"/>
      <c r="DM49" s="26"/>
      <c r="DN49" s="31"/>
      <c r="DO49" s="31"/>
      <c r="DP49" s="31"/>
      <c r="DQ49" s="31"/>
      <c r="DR49" s="26"/>
    </row>
    <row r="50" spans="2:122" ht="15.75">
      <c r="B50" s="121" t="s">
        <v>7</v>
      </c>
      <c r="C50" s="121" t="e">
        <f>$C$35</f>
        <v>#VALUE!</v>
      </c>
      <c r="D50" s="122" t="s">
        <v>42</v>
      </c>
      <c r="E50" s="24" t="e">
        <f t="shared" ref="E50:E77" si="24">IF(I50&gt;=$Q$46,$P$46,IF(I50&lt;=$Q$47,$P$47,"WAIT"))</f>
        <v>#VALUE!</v>
      </c>
      <c r="F50" s="123" t="e">
        <f>C38</f>
        <v>#VALUE!</v>
      </c>
      <c r="G50" s="124" t="e">
        <f t="shared" ref="G50:G77" si="25">HLOOKUP(LEFT(D50,3),$D$45:$K$46,2,FALSE)</f>
        <v>#VALUE!</v>
      </c>
      <c r="H50" s="125" t="e">
        <f t="shared" ref="H50:H77" si="26">HLOOKUP(RIGHT(D50,3),$D$45:$K$46,2,FALSE)</f>
        <v>#VALUE!</v>
      </c>
      <c r="I50" s="126" t="e">
        <f t="shared" ref="I50:I77" si="27">+G50-H50</f>
        <v>#VALUE!</v>
      </c>
      <c r="J50" s="33"/>
      <c r="K50" s="33"/>
      <c r="L50" s="33"/>
      <c r="M50" s="33"/>
      <c r="N50" s="33"/>
      <c r="O50" s="33"/>
      <c r="P50" s="33"/>
      <c r="Q50" s="33"/>
      <c r="R50" s="33"/>
      <c r="S50" s="33"/>
      <c r="T50" s="33"/>
      <c r="U50" s="33"/>
      <c r="V50" s="33"/>
      <c r="W50" s="33"/>
      <c r="X50" s="33"/>
      <c r="Y50" s="33"/>
      <c r="Z50" s="33"/>
      <c r="AA50" s="33"/>
      <c r="AB50" s="33"/>
      <c r="AC50" s="33"/>
      <c r="AD50" s="33"/>
      <c r="AE50" s="33"/>
      <c r="AF50" s="33"/>
      <c r="AG50" s="33"/>
      <c r="AH50" s="33"/>
      <c r="CE50" s="26"/>
      <c r="CF50" s="36">
        <f>[1]!CADCHF</f>
        <v>42615.999305555553</v>
      </c>
      <c r="CG50" s="26" t="s">
        <v>47</v>
      </c>
      <c r="CH50" s="26"/>
      <c r="CI50" s="37" t="str">
        <f>[2]!CADCHF</f>
        <v>0.75497</v>
      </c>
      <c r="CJ50" s="37" t="str">
        <f>[3]!CADCHF</f>
        <v>0.74626</v>
      </c>
      <c r="CK50" s="37" t="str">
        <f>[4]!CADCHF</f>
        <v>0.75342</v>
      </c>
      <c r="CL50" s="37" t="str">
        <f>[5]!CADCHF</f>
        <v>0.75641</v>
      </c>
      <c r="CM50" s="38" t="e">
        <f t="shared" si="2"/>
        <v>#VALUE!</v>
      </c>
      <c r="CN50" s="38" t="e">
        <f t="shared" si="13"/>
        <v>#VALUE!</v>
      </c>
      <c r="CO50" s="26">
        <v>10000</v>
      </c>
      <c r="CP50" s="39" t="e">
        <f t="shared" si="6"/>
        <v>#VALUE!</v>
      </c>
      <c r="CQ50" s="26" t="e">
        <f t="shared" si="7"/>
        <v>#VALUE!</v>
      </c>
      <c r="CR50" s="38" t="s">
        <v>38</v>
      </c>
      <c r="CS50" s="39" t="e">
        <f t="shared" si="8"/>
        <v>#VALUE!</v>
      </c>
      <c r="CT50" s="40" t="e">
        <f>LOOKUP(100*CM50,CV28:CV49,CW28:CW49)</f>
        <v>#VALUE!</v>
      </c>
      <c r="CU50" s="40" t="e">
        <f t="shared" si="9"/>
        <v>#VALUE!</v>
      </c>
      <c r="CV50" s="26"/>
      <c r="CW50" s="26" t="s">
        <v>88</v>
      </c>
      <c r="CX50" s="26" t="s">
        <v>89</v>
      </c>
      <c r="CY50" s="26"/>
      <c r="CZ50" s="27">
        <f>[6]Input!T45</f>
        <v>0</v>
      </c>
      <c r="DA50" s="28">
        <f>[6]Input!U45</f>
        <v>0</v>
      </c>
      <c r="DB50" s="28">
        <f>[6]Input!V45</f>
        <v>0</v>
      </c>
      <c r="DC50" s="29"/>
      <c r="DD50" s="26" t="e">
        <f t="shared" si="10"/>
        <v>#VALUE!</v>
      </c>
      <c r="DE50" s="26" t="e">
        <f t="shared" si="11"/>
        <v>#VALUE!</v>
      </c>
      <c r="DF50" s="26" t="e">
        <f t="shared" si="12"/>
        <v>#VALUE!</v>
      </c>
      <c r="DG50" s="26" t="e">
        <f t="shared" si="3"/>
        <v>#VALUE!</v>
      </c>
      <c r="DH50" s="26" t="e">
        <f t="shared" si="4"/>
        <v>#VALUE!</v>
      </c>
      <c r="DI50" s="26" t="e">
        <f t="shared" si="5"/>
        <v>#VALUE!</v>
      </c>
      <c r="DJ50" s="26"/>
      <c r="DK50" s="30" t="s">
        <v>7</v>
      </c>
      <c r="DL50" s="26" t="s">
        <v>31</v>
      </c>
      <c r="DM50" s="26" t="s">
        <v>32</v>
      </c>
      <c r="DN50" s="26" t="s">
        <v>33</v>
      </c>
      <c r="DO50" s="31" t="s">
        <v>34</v>
      </c>
      <c r="DP50" s="31" t="s">
        <v>35</v>
      </c>
      <c r="DQ50" s="31" t="s">
        <v>36</v>
      </c>
      <c r="DR50" s="26"/>
    </row>
    <row r="51" spans="2:122" ht="15.75">
      <c r="B51" s="127" t="s">
        <v>7</v>
      </c>
      <c r="C51" s="127" t="e">
        <f>$D$35</f>
        <v>#VALUE!</v>
      </c>
      <c r="D51" s="128" t="s">
        <v>43</v>
      </c>
      <c r="E51" s="129" t="e">
        <f t="shared" si="24"/>
        <v>#VALUE!</v>
      </c>
      <c r="F51" s="130" t="e">
        <f>D38</f>
        <v>#VALUE!</v>
      </c>
      <c r="G51" s="124" t="e">
        <f t="shared" si="25"/>
        <v>#VALUE!</v>
      </c>
      <c r="H51" s="125" t="e">
        <f t="shared" si="26"/>
        <v>#VALUE!</v>
      </c>
      <c r="I51" s="127" t="e">
        <f t="shared" si="27"/>
        <v>#VALUE!</v>
      </c>
      <c r="J51" s="33"/>
      <c r="K51" s="33"/>
      <c r="L51" s="33"/>
      <c r="M51" s="33"/>
      <c r="N51" s="33"/>
      <c r="O51" s="33"/>
      <c r="P51" s="33"/>
      <c r="Q51" s="33"/>
      <c r="T51" s="33"/>
      <c r="U51" s="33"/>
      <c r="V51" s="33"/>
      <c r="W51" s="33"/>
      <c r="X51" s="33"/>
      <c r="Y51" s="33"/>
      <c r="Z51" s="33"/>
      <c r="AA51" s="33"/>
      <c r="AB51" s="33"/>
      <c r="AC51" s="33"/>
      <c r="AD51" s="33"/>
      <c r="AE51" s="33"/>
      <c r="AF51" s="33"/>
      <c r="AG51" s="33"/>
      <c r="AH51" s="33"/>
      <c r="CE51" s="26"/>
      <c r="CF51" s="36">
        <f>[1]!CADJPY</f>
        <v>42615.999305555553</v>
      </c>
      <c r="CG51" s="26" t="s">
        <v>48</v>
      </c>
      <c r="CH51" s="26"/>
      <c r="CI51" s="37">
        <f>[2]!CADJPY</f>
        <v>80151</v>
      </c>
      <c r="CJ51" s="37">
        <f>[3]!CADJPY</f>
        <v>78749</v>
      </c>
      <c r="CK51" s="37">
        <f>[4]!CADJPY</f>
        <v>79940</v>
      </c>
      <c r="CL51" s="37">
        <f>[5]!CADJPY</f>
        <v>80039</v>
      </c>
      <c r="CM51" s="38">
        <f t="shared" si="2"/>
        <v>0.8495007132667618</v>
      </c>
      <c r="CN51" s="38">
        <f t="shared" si="13"/>
        <v>7.9885877318116971E-2</v>
      </c>
      <c r="CO51" s="26">
        <v>100</v>
      </c>
      <c r="CP51" s="39">
        <f t="shared" si="6"/>
        <v>0.1504992867332382</v>
      </c>
      <c r="CQ51" s="26">
        <f t="shared" si="7"/>
        <v>9900</v>
      </c>
      <c r="CR51" s="38" t="s">
        <v>38</v>
      </c>
      <c r="CS51" s="39">
        <f t="shared" si="8"/>
        <v>0.8495007132667618</v>
      </c>
      <c r="CT51" s="40">
        <f>LOOKUP(100*CM51,CV28:CV49,CW28:CW49)</f>
        <v>7.5</v>
      </c>
      <c r="CU51" s="40">
        <f t="shared" si="9"/>
        <v>1.5</v>
      </c>
      <c r="CV51" s="26" t="s">
        <v>3</v>
      </c>
      <c r="CW51" s="37" t="e">
        <f>(CT28+CT29+CT30+CT31+CT32+CT33+CT34)/7</f>
        <v>#VALUE!</v>
      </c>
      <c r="CX51" s="38" t="e">
        <f>(CS28+CS29+CS30+CS31+CS32+CS33+CS34)/7</f>
        <v>#VALUE!</v>
      </c>
      <c r="CY51" s="38" t="e">
        <f>CX51*7/28</f>
        <v>#VALUE!</v>
      </c>
      <c r="CZ51" s="27">
        <f>[6]Input!T46</f>
        <v>0</v>
      </c>
      <c r="DA51" s="28">
        <f>[6]Input!U46</f>
        <v>0</v>
      </c>
      <c r="DB51" s="28">
        <f>[6]Input!V46</f>
        <v>0</v>
      </c>
      <c r="DC51" s="29"/>
      <c r="DD51" s="26">
        <f t="shared" si="10"/>
        <v>7994000</v>
      </c>
      <c r="DE51" s="26">
        <f t="shared" si="11"/>
        <v>7994000</v>
      </c>
      <c r="DF51" s="26">
        <f t="shared" si="12"/>
        <v>7994000</v>
      </c>
      <c r="DG51" s="26">
        <f t="shared" si="3"/>
        <v>140200</v>
      </c>
      <c r="DH51" s="26">
        <f t="shared" si="4"/>
        <v>8015100</v>
      </c>
      <c r="DI51" s="26">
        <f t="shared" si="5"/>
        <v>-7874900</v>
      </c>
      <c r="DJ51" s="26"/>
      <c r="DK51" s="26" t="s">
        <v>45</v>
      </c>
      <c r="DL51" s="26">
        <f t="shared" ref="DL51:DQ55" si="28">DD41</f>
        <v>1038630000</v>
      </c>
      <c r="DM51" s="26">
        <f t="shared" si="28"/>
        <v>1038630000</v>
      </c>
      <c r="DN51" s="31">
        <f t="shared" si="28"/>
        <v>1038630000</v>
      </c>
      <c r="DO51" s="31">
        <f t="shared" si="28"/>
        <v>4780000</v>
      </c>
      <c r="DP51" s="31">
        <f t="shared" si="28"/>
        <v>1038630000</v>
      </c>
      <c r="DQ51" s="31">
        <f t="shared" si="28"/>
        <v>-1033850000</v>
      </c>
      <c r="DR51" s="26"/>
    </row>
    <row r="52" spans="2:122" ht="15.75">
      <c r="B52" s="131" t="s">
        <v>7</v>
      </c>
      <c r="C52" s="131">
        <f>$E$35</f>
        <v>9900</v>
      </c>
      <c r="D52" s="128" t="s">
        <v>44</v>
      </c>
      <c r="E52" s="129" t="e">
        <f t="shared" si="24"/>
        <v>#VALUE!</v>
      </c>
      <c r="F52" s="130">
        <f>E38</f>
        <v>0.83920704845814975</v>
      </c>
      <c r="G52" s="124" t="e">
        <f t="shared" si="25"/>
        <v>#VALUE!</v>
      </c>
      <c r="H52" s="125">
        <f t="shared" si="26"/>
        <v>3.4285714285714284</v>
      </c>
      <c r="I52" s="126" t="e">
        <f t="shared" si="27"/>
        <v>#VALUE!</v>
      </c>
      <c r="J52" s="33"/>
      <c r="K52" s="33"/>
      <c r="L52" s="33"/>
      <c r="M52" s="33"/>
      <c r="N52" s="33"/>
      <c r="O52" s="33"/>
      <c r="P52" s="33"/>
      <c r="Q52" s="33"/>
      <c r="T52" s="33"/>
      <c r="U52" s="33"/>
      <c r="V52" s="33"/>
      <c r="W52" s="33"/>
      <c r="X52" s="33"/>
      <c r="Y52" s="33"/>
      <c r="Z52" s="33"/>
      <c r="AA52" s="33"/>
      <c r="AB52" s="33"/>
      <c r="AC52" s="33"/>
      <c r="AD52" s="33"/>
      <c r="AE52" s="33"/>
      <c r="AF52" s="33"/>
      <c r="AG52" s="33"/>
      <c r="AH52" s="33"/>
      <c r="CE52" s="26"/>
      <c r="CF52" s="36">
        <f>[1]!CHFJPY</f>
        <v>42615.999305555553</v>
      </c>
      <c r="CG52" s="26" t="s">
        <v>49</v>
      </c>
      <c r="CH52" s="26"/>
      <c r="CI52" s="37">
        <f>[2]!CHFJPY</f>
        <v>106312</v>
      </c>
      <c r="CJ52" s="37">
        <f>[3]!CHFJPY</f>
        <v>105257</v>
      </c>
      <c r="CK52" s="37">
        <f>[4]!CHFJPY</f>
        <v>105914</v>
      </c>
      <c r="CL52" s="37">
        <f>[5]!CHFJPY</f>
        <v>106013</v>
      </c>
      <c r="CM52" s="38">
        <f t="shared" si="2"/>
        <v>0.62274881516587677</v>
      </c>
      <c r="CN52" s="38">
        <f t="shared" si="13"/>
        <v>0.2834123222748815</v>
      </c>
      <c r="CO52" s="26">
        <v>100</v>
      </c>
      <c r="CP52" s="39">
        <f t="shared" si="6"/>
        <v>0.37725118483412323</v>
      </c>
      <c r="CQ52" s="26">
        <f t="shared" si="7"/>
        <v>9900</v>
      </c>
      <c r="CR52" s="38" t="s">
        <v>38</v>
      </c>
      <c r="CS52" s="39">
        <f t="shared" si="8"/>
        <v>0.62274881516587677</v>
      </c>
      <c r="CT52" s="40">
        <f>LOOKUP(100*CM52,CV28:CV49,CW28:CW49)</f>
        <v>6</v>
      </c>
      <c r="CU52" s="40">
        <f t="shared" si="9"/>
        <v>3</v>
      </c>
      <c r="CV52" s="26" t="s">
        <v>5</v>
      </c>
      <c r="CW52" s="37" t="e">
        <f>(CU28+CT35+CT36+CT37+CT38+CT39+CT40)/7</f>
        <v>#VALUE!</v>
      </c>
      <c r="CX52" s="38" t="e">
        <f>(CP28+CM35+CM36+CM37+CM38+CM39+CM40)/7</f>
        <v>#VALUE!</v>
      </c>
      <c r="CY52" s="38" t="e">
        <f t="shared" ref="CY52:CY58" si="29">CX52*7/28</f>
        <v>#VALUE!</v>
      </c>
      <c r="CZ52" s="27">
        <f>[6]Input!T47</f>
        <v>0</v>
      </c>
      <c r="DA52" s="28">
        <f>[6]Input!U47</f>
        <v>0</v>
      </c>
      <c r="DB52" s="28">
        <f>[6]Input!V47</f>
        <v>0</v>
      </c>
      <c r="DC52" s="29"/>
      <c r="DD52" s="26">
        <f t="shared" si="10"/>
        <v>10591400</v>
      </c>
      <c r="DE52" s="26">
        <f t="shared" si="11"/>
        <v>10591400</v>
      </c>
      <c r="DF52" s="26">
        <f t="shared" si="12"/>
        <v>10591400</v>
      </c>
      <c r="DG52" s="26">
        <f t="shared" si="3"/>
        <v>105500</v>
      </c>
      <c r="DH52" s="26">
        <f t="shared" si="4"/>
        <v>10631200</v>
      </c>
      <c r="DI52" s="26">
        <f t="shared" si="5"/>
        <v>-10525700</v>
      </c>
      <c r="DJ52" s="26"/>
      <c r="DK52" s="26" t="s">
        <v>42</v>
      </c>
      <c r="DL52" s="26" t="e">
        <f t="shared" si="28"/>
        <v>#VALUE!</v>
      </c>
      <c r="DM52" s="26" t="e">
        <f t="shared" si="28"/>
        <v>#VALUE!</v>
      </c>
      <c r="DN52" s="31" t="e">
        <f t="shared" si="28"/>
        <v>#VALUE!</v>
      </c>
      <c r="DO52" s="31" t="e">
        <f t="shared" si="28"/>
        <v>#VALUE!</v>
      </c>
      <c r="DP52" s="31" t="e">
        <f t="shared" si="28"/>
        <v>#VALUE!</v>
      </c>
      <c r="DQ52" s="31" t="e">
        <f t="shared" si="28"/>
        <v>#VALUE!</v>
      </c>
      <c r="DR52" s="26"/>
    </row>
    <row r="53" spans="2:122" ht="15.75">
      <c r="B53" s="127" t="s">
        <v>7</v>
      </c>
      <c r="C53" s="127">
        <f>$F$35</f>
        <v>1100000</v>
      </c>
      <c r="D53" s="128" t="s">
        <v>45</v>
      </c>
      <c r="E53" s="129" t="e">
        <f t="shared" si="24"/>
        <v>#VALUE!</v>
      </c>
      <c r="F53" s="130">
        <f>F38</f>
        <v>1</v>
      </c>
      <c r="G53" s="124" t="e">
        <f t="shared" si="25"/>
        <v>#VALUE!</v>
      </c>
      <c r="H53" s="125" t="e">
        <f t="shared" si="26"/>
        <v>#VALUE!</v>
      </c>
      <c r="I53" s="127" t="e">
        <f t="shared" si="27"/>
        <v>#VALUE!</v>
      </c>
      <c r="J53" s="33"/>
      <c r="K53" s="33"/>
      <c r="L53" s="33"/>
      <c r="M53" s="33"/>
      <c r="N53" s="33"/>
      <c r="O53" s="33"/>
      <c r="P53" s="33"/>
      <c r="Q53" s="33"/>
      <c r="T53" s="33"/>
      <c r="U53" s="33"/>
      <c r="V53" s="33"/>
      <c r="W53" s="33"/>
      <c r="X53" s="33"/>
      <c r="Y53" s="33"/>
      <c r="Z53" s="33"/>
      <c r="AA53" s="33"/>
      <c r="AB53" s="33"/>
      <c r="AC53" s="33"/>
      <c r="AD53" s="33"/>
      <c r="AE53" s="33"/>
      <c r="AF53" s="33"/>
      <c r="AG53" s="33"/>
      <c r="AH53" s="33"/>
      <c r="CE53" s="26"/>
      <c r="CF53" s="36">
        <f>[1]!USDCAD</f>
        <v>42615.999305555553</v>
      </c>
      <c r="CG53" s="26" t="s">
        <v>64</v>
      </c>
      <c r="CH53" s="26"/>
      <c r="CI53" s="37">
        <f>[2]!USDCAD</f>
        <v>131143</v>
      </c>
      <c r="CJ53" s="37">
        <f>[3]!USDCAD</f>
        <v>129801</v>
      </c>
      <c r="CK53" s="37">
        <f>[4]!USDCAD</f>
        <v>129860</v>
      </c>
      <c r="CL53" s="37">
        <f>[5]!USDCAD</f>
        <v>130009</v>
      </c>
      <c r="CM53" s="38">
        <f t="shared" si="2"/>
        <v>4.3964232488822655E-2</v>
      </c>
      <c r="CN53" s="38">
        <f t="shared" si="13"/>
        <v>0.84500745156482859</v>
      </c>
      <c r="CO53" s="26">
        <v>10000</v>
      </c>
      <c r="CP53" s="39">
        <f t="shared" si="6"/>
        <v>0.95603576751117736</v>
      </c>
      <c r="CQ53" s="26">
        <f t="shared" si="7"/>
        <v>1490000</v>
      </c>
      <c r="CR53" s="38" t="s">
        <v>38</v>
      </c>
      <c r="CS53" s="39">
        <f t="shared" si="8"/>
        <v>4.3964232488822655E-2</v>
      </c>
      <c r="CT53" s="40">
        <f>LOOKUP(100*CM53,CV28:CV49,CW28:CW49)</f>
        <v>1</v>
      </c>
      <c r="CU53" s="40">
        <f t="shared" si="9"/>
        <v>8</v>
      </c>
      <c r="CV53" s="26" t="s">
        <v>7</v>
      </c>
      <c r="CW53" s="37" t="e">
        <f>(CU29+CU35+CT41+CT42+CT43+CT44+CT45)/7</f>
        <v>#VALUE!</v>
      </c>
      <c r="CX53" s="38" t="e">
        <f>(CP29+CP35+CM41+CM42+CM43+CM44+CM45)/7</f>
        <v>#VALUE!</v>
      </c>
      <c r="CY53" s="38" t="e">
        <f t="shared" si="29"/>
        <v>#VALUE!</v>
      </c>
      <c r="CZ53" s="27">
        <f>[6]Input!T48</f>
        <v>0</v>
      </c>
      <c r="DA53" s="28">
        <f>[6]Input!U48</f>
        <v>0</v>
      </c>
      <c r="DB53" s="28">
        <f>[6]Input!V48</f>
        <v>0</v>
      </c>
      <c r="DC53" s="29"/>
      <c r="DD53" s="26">
        <f t="shared" si="10"/>
        <v>1298600000</v>
      </c>
      <c r="DE53" s="26">
        <f t="shared" si="11"/>
        <v>1298600000</v>
      </c>
      <c r="DF53" s="26">
        <f t="shared" si="12"/>
        <v>1298600000</v>
      </c>
      <c r="DG53" s="26">
        <f t="shared" si="3"/>
        <v>13420000</v>
      </c>
      <c r="DH53" s="26">
        <f t="shared" si="4"/>
        <v>1311430000</v>
      </c>
      <c r="DI53" s="26">
        <f t="shared" si="5"/>
        <v>-1298010000</v>
      </c>
      <c r="DJ53" s="26"/>
      <c r="DK53" s="26" t="s">
        <v>43</v>
      </c>
      <c r="DL53" s="26" t="e">
        <f t="shared" si="28"/>
        <v>#VALUE!</v>
      </c>
      <c r="DM53" s="26" t="e">
        <f t="shared" si="28"/>
        <v>#VALUE!</v>
      </c>
      <c r="DN53" s="31" t="e">
        <f t="shared" si="28"/>
        <v>#VALUE!</v>
      </c>
      <c r="DO53" s="31" t="e">
        <f t="shared" si="28"/>
        <v>#VALUE!</v>
      </c>
      <c r="DP53" s="31" t="e">
        <f t="shared" si="28"/>
        <v>#VALUE!</v>
      </c>
      <c r="DQ53" s="31" t="e">
        <f t="shared" si="28"/>
        <v>#VALUE!</v>
      </c>
      <c r="DR53" s="26"/>
    </row>
    <row r="54" spans="2:122" ht="15.75">
      <c r="B54" s="131" t="s">
        <v>7</v>
      </c>
      <c r="C54" s="131" t="e">
        <f>$G$35</f>
        <v>#VALUE!</v>
      </c>
      <c r="D54" s="128" t="s">
        <v>46</v>
      </c>
      <c r="E54" s="129" t="e">
        <f t="shared" si="24"/>
        <v>#VALUE!</v>
      </c>
      <c r="F54" s="130" t="e">
        <f>G38</f>
        <v>#VALUE!</v>
      </c>
      <c r="G54" s="124" t="e">
        <f t="shared" si="25"/>
        <v>#VALUE!</v>
      </c>
      <c r="H54" s="125" t="e">
        <f t="shared" si="26"/>
        <v>#VALUE!</v>
      </c>
      <c r="I54" s="126" t="e">
        <f t="shared" si="27"/>
        <v>#VALUE!</v>
      </c>
      <c r="J54" s="33"/>
      <c r="K54" s="33"/>
      <c r="L54" s="33"/>
      <c r="M54" s="33"/>
      <c r="N54" s="33"/>
      <c r="O54" s="33"/>
      <c r="P54" s="33"/>
      <c r="Q54" s="33"/>
      <c r="T54" s="33"/>
      <c r="U54" s="33"/>
      <c r="V54" s="33"/>
      <c r="W54" s="33"/>
      <c r="X54" s="33"/>
      <c r="Y54" s="33"/>
      <c r="Z54" s="33"/>
      <c r="AA54" s="33"/>
      <c r="AB54" s="33"/>
      <c r="AC54" s="33"/>
      <c r="AD54" s="33"/>
      <c r="AE54" s="33"/>
      <c r="AF54" s="33"/>
      <c r="AG54" s="33"/>
      <c r="AH54" s="33"/>
      <c r="CE54" s="26"/>
      <c r="CF54" s="36">
        <f>[1]!USDCHF</f>
        <v>42615.999305555553</v>
      </c>
      <c r="CG54" s="26" t="s">
        <v>65</v>
      </c>
      <c r="CH54" s="26"/>
      <c r="CI54" s="37" t="str">
        <f>[2]!USDCHF</f>
        <v>0.98189</v>
      </c>
      <c r="CJ54" s="37" t="str">
        <f>[3]!USDCHF</f>
        <v>0.97392</v>
      </c>
      <c r="CK54" s="37" t="str">
        <f>[4]!USDCHF</f>
        <v>0.97961</v>
      </c>
      <c r="CL54" s="37" t="str">
        <f>[5]!USDCHF</f>
        <v>0.98131</v>
      </c>
      <c r="CM54" s="38" t="e">
        <f t="shared" si="2"/>
        <v>#VALUE!</v>
      </c>
      <c r="CN54" s="38" t="e">
        <f t="shared" si="13"/>
        <v>#VALUE!</v>
      </c>
      <c r="CO54" s="26">
        <v>10000</v>
      </c>
      <c r="CP54" s="39" t="e">
        <f t="shared" si="6"/>
        <v>#VALUE!</v>
      </c>
      <c r="CQ54" s="26" t="e">
        <f t="shared" si="7"/>
        <v>#VALUE!</v>
      </c>
      <c r="CR54" s="38" t="s">
        <v>38</v>
      </c>
      <c r="CS54" s="39" t="e">
        <f t="shared" si="8"/>
        <v>#VALUE!</v>
      </c>
      <c r="CT54" s="40" t="e">
        <f>LOOKUP(100*CM54,CV28:CV49,CW28:CW49)</f>
        <v>#VALUE!</v>
      </c>
      <c r="CU54" s="40" t="e">
        <f t="shared" si="9"/>
        <v>#VALUE!</v>
      </c>
      <c r="CV54" s="26" t="s">
        <v>9</v>
      </c>
      <c r="CW54" s="37" t="e">
        <f>(CU30+CU36+CU41+CT46+CT47+CT48+CT49)/7</f>
        <v>#VALUE!</v>
      </c>
      <c r="CX54" s="38" t="e">
        <f>(CP30+CP36+CP41+CM46+CM47+CM48+CM49)/7</f>
        <v>#VALUE!</v>
      </c>
      <c r="CY54" s="38" t="e">
        <f t="shared" si="29"/>
        <v>#VALUE!</v>
      </c>
      <c r="CZ54" s="27">
        <f>[6]Input!T49</f>
        <v>0</v>
      </c>
      <c r="DA54" s="28">
        <f>[6]Input!U49</f>
        <v>0</v>
      </c>
      <c r="DB54" s="28">
        <f>[6]Input!V49</f>
        <v>0</v>
      </c>
      <c r="DC54" s="29"/>
      <c r="DD54" s="26" t="e">
        <f t="shared" si="10"/>
        <v>#VALUE!</v>
      </c>
      <c r="DE54" s="26" t="e">
        <f t="shared" si="11"/>
        <v>#VALUE!</v>
      </c>
      <c r="DF54" s="26" t="e">
        <f t="shared" si="12"/>
        <v>#VALUE!</v>
      </c>
      <c r="DG54" s="26" t="e">
        <f t="shared" si="3"/>
        <v>#VALUE!</v>
      </c>
      <c r="DH54" s="26" t="e">
        <f t="shared" si="4"/>
        <v>#VALUE!</v>
      </c>
      <c r="DI54" s="26" t="e">
        <f t="shared" si="5"/>
        <v>#VALUE!</v>
      </c>
      <c r="DJ54" s="26"/>
      <c r="DK54" s="26" t="s">
        <v>46</v>
      </c>
      <c r="DL54" s="26" t="e">
        <f t="shared" si="28"/>
        <v>#VALUE!</v>
      </c>
      <c r="DM54" s="26" t="e">
        <f t="shared" si="28"/>
        <v>#VALUE!</v>
      </c>
      <c r="DN54" s="31" t="e">
        <f t="shared" si="28"/>
        <v>#VALUE!</v>
      </c>
      <c r="DO54" s="31" t="e">
        <f t="shared" si="28"/>
        <v>#VALUE!</v>
      </c>
      <c r="DP54" s="31" t="e">
        <f t="shared" si="28"/>
        <v>#VALUE!</v>
      </c>
      <c r="DQ54" s="31" t="e">
        <f t="shared" si="28"/>
        <v>#VALUE!</v>
      </c>
      <c r="DR54" s="26"/>
    </row>
    <row r="55" spans="2:122" ht="15.75">
      <c r="B55" s="127" t="s">
        <v>17</v>
      </c>
      <c r="C55" s="127" t="e">
        <f>$H$35</f>
        <v>#VALUE!</v>
      </c>
      <c r="D55" s="128" t="s">
        <v>47</v>
      </c>
      <c r="E55" s="129" t="e">
        <f t="shared" si="24"/>
        <v>#VALUE!</v>
      </c>
      <c r="F55" s="130" t="e">
        <f>H38</f>
        <v>#VALUE!</v>
      </c>
      <c r="G55" s="124" t="e">
        <f t="shared" si="25"/>
        <v>#VALUE!</v>
      </c>
      <c r="H55" s="125" t="e">
        <f t="shared" si="26"/>
        <v>#VALUE!</v>
      </c>
      <c r="I55" s="127" t="e">
        <f t="shared" si="27"/>
        <v>#VALUE!</v>
      </c>
      <c r="J55" s="33"/>
      <c r="K55" s="33"/>
      <c r="L55" s="33"/>
      <c r="M55" s="33"/>
      <c r="N55" s="33"/>
      <c r="O55" s="33"/>
      <c r="P55" s="33"/>
      <c r="Q55" s="33"/>
      <c r="T55" s="33"/>
      <c r="U55" s="33"/>
      <c r="V55" s="33"/>
      <c r="W55" s="33"/>
      <c r="X55" s="33"/>
      <c r="Y55" s="33"/>
      <c r="Z55" s="33"/>
      <c r="AA55" s="33"/>
      <c r="AB55" s="33"/>
      <c r="AC55" s="33"/>
      <c r="AD55" s="33"/>
      <c r="AE55" s="33"/>
      <c r="AF55" s="33"/>
      <c r="AG55" s="33"/>
      <c r="AH55" s="33"/>
      <c r="CE55" s="26"/>
      <c r="CF55" s="36">
        <f>[1]!USDJPY</f>
        <v>42615.999305555553</v>
      </c>
      <c r="CG55" s="26" t="s">
        <v>66</v>
      </c>
      <c r="CH55" s="26"/>
      <c r="CI55" s="37">
        <f>[2]!USDJPY</f>
        <v>104318</v>
      </c>
      <c r="CJ55" s="37">
        <f>[3]!USDJPY</f>
        <v>102801</v>
      </c>
      <c r="CK55" s="37">
        <f>[4]!USDJPY</f>
        <v>103850</v>
      </c>
      <c r="CL55" s="37">
        <f>[5]!USDJPY</f>
        <v>103949</v>
      </c>
      <c r="CM55" s="38">
        <f t="shared" si="2"/>
        <v>0.69149637442320366</v>
      </c>
      <c r="CN55" s="38">
        <f t="shared" si="13"/>
        <v>0.24324324324324326</v>
      </c>
      <c r="CO55" s="26">
        <v>100</v>
      </c>
      <c r="CP55" s="39">
        <f t="shared" si="6"/>
        <v>0.30850362557679634</v>
      </c>
      <c r="CQ55" s="26">
        <f t="shared" si="7"/>
        <v>9900</v>
      </c>
      <c r="CR55" s="38" t="s">
        <v>38</v>
      </c>
      <c r="CS55" s="39">
        <f t="shared" si="8"/>
        <v>0.69149637442320366</v>
      </c>
      <c r="CT55" s="40">
        <f>LOOKUP(100*CM55,CV28:CV49,CW28:CW49)</f>
        <v>6.5</v>
      </c>
      <c r="CU55" s="40">
        <f t="shared" si="9"/>
        <v>2.5</v>
      </c>
      <c r="CV55" s="26" t="s">
        <v>17</v>
      </c>
      <c r="CW55" s="37" t="e">
        <f>(CU31+CU37+CU42+CU46+CT50+CT51+CU53)/7</f>
        <v>#VALUE!</v>
      </c>
      <c r="CX55" s="38" t="e">
        <f>(CP31+CP37+CP42+CP46+CM50+CM51+CP53)/7</f>
        <v>#VALUE!</v>
      </c>
      <c r="CY55" s="38" t="e">
        <f t="shared" si="29"/>
        <v>#VALUE!</v>
      </c>
      <c r="CZ55" s="27">
        <f>[6]Input!T50</f>
        <v>0</v>
      </c>
      <c r="DA55" s="28">
        <f>[6]Input!U50</f>
        <v>0</v>
      </c>
      <c r="DB55" s="28">
        <f>[6]Input!V50</f>
        <v>0</v>
      </c>
      <c r="DC55" s="29"/>
      <c r="DD55" s="26">
        <f t="shared" si="10"/>
        <v>10385000</v>
      </c>
      <c r="DE55" s="26">
        <f t="shared" si="11"/>
        <v>10385000</v>
      </c>
      <c r="DF55" s="26">
        <f t="shared" si="12"/>
        <v>10385000</v>
      </c>
      <c r="DG55" s="26">
        <f t="shared" si="3"/>
        <v>151700</v>
      </c>
      <c r="DH55" s="26">
        <f t="shared" si="4"/>
        <v>10431800</v>
      </c>
      <c r="DI55" s="26">
        <f t="shared" si="5"/>
        <v>-10280100</v>
      </c>
      <c r="DJ55" s="26"/>
      <c r="DK55" s="26" t="s">
        <v>44</v>
      </c>
      <c r="DL55" s="26">
        <f t="shared" si="28"/>
        <v>7862500</v>
      </c>
      <c r="DM55" s="26">
        <f t="shared" si="28"/>
        <v>7862500</v>
      </c>
      <c r="DN55" s="31">
        <f t="shared" si="28"/>
        <v>7862500</v>
      </c>
      <c r="DO55" s="31">
        <f t="shared" si="28"/>
        <v>90800</v>
      </c>
      <c r="DP55" s="31">
        <f t="shared" si="28"/>
        <v>7877100</v>
      </c>
      <c r="DQ55" s="31">
        <f t="shared" si="28"/>
        <v>-7786300</v>
      </c>
      <c r="DR55" s="26"/>
    </row>
    <row r="56" spans="2:122" ht="16.5" thickBot="1">
      <c r="B56" s="126" t="s">
        <v>17</v>
      </c>
      <c r="C56" s="126">
        <f>$I$35</f>
        <v>9900</v>
      </c>
      <c r="D56" s="128" t="s">
        <v>48</v>
      </c>
      <c r="E56" s="129" t="e">
        <f t="shared" si="24"/>
        <v>#VALUE!</v>
      </c>
      <c r="F56" s="130">
        <f>I38</f>
        <v>0.84950071326676169</v>
      </c>
      <c r="G56" s="124" t="e">
        <f t="shared" si="25"/>
        <v>#VALUE!</v>
      </c>
      <c r="H56" s="125">
        <f t="shared" si="26"/>
        <v>3.4285714285714284</v>
      </c>
      <c r="I56" s="126" t="e">
        <f t="shared" si="27"/>
        <v>#VALUE!</v>
      </c>
      <c r="J56" s="33"/>
      <c r="K56" s="33"/>
      <c r="L56" s="33"/>
      <c r="M56" s="33"/>
      <c r="N56" s="33"/>
      <c r="O56" s="33"/>
      <c r="P56" s="33"/>
      <c r="Q56" s="33"/>
      <c r="T56" s="33"/>
      <c r="U56" s="33"/>
      <c r="V56" s="33"/>
      <c r="W56" s="33"/>
      <c r="X56" s="33"/>
      <c r="Y56" s="33"/>
      <c r="Z56" s="33"/>
      <c r="AA56" s="33"/>
      <c r="AB56" s="33"/>
      <c r="AC56" s="33"/>
      <c r="AD56" s="33"/>
      <c r="AE56" s="33"/>
      <c r="AF56" s="33"/>
      <c r="AG56" s="33"/>
      <c r="AH56" s="33"/>
      <c r="CE56" s="26"/>
      <c r="CF56" s="36" t="str">
        <f>[1]!XAUUSD</f>
        <v>N\A</v>
      </c>
      <c r="CG56" s="26" t="s">
        <v>90</v>
      </c>
      <c r="CH56" s="26"/>
      <c r="CI56" s="37" t="str">
        <f>[2]!XAUUSD</f>
        <v>N\A</v>
      </c>
      <c r="CJ56" s="37" t="str">
        <f>[3]!XAUUSD</f>
        <v>N\A</v>
      </c>
      <c r="CK56" s="37" t="str">
        <f>[4]!XAUUSD</f>
        <v>N\A</v>
      </c>
      <c r="CL56" s="37" t="str">
        <f>[5]!XAUUSD</f>
        <v>N\A</v>
      </c>
      <c r="CM56" s="38" t="e">
        <f>(CK56-CJ56)/(CI56-CJ56)</f>
        <v>#VALUE!</v>
      </c>
      <c r="CN56" s="38"/>
      <c r="CO56" s="26"/>
      <c r="CP56" s="39"/>
      <c r="CQ56" s="26"/>
      <c r="CR56" s="38"/>
      <c r="CS56" s="39"/>
      <c r="CT56" s="40"/>
      <c r="CU56" s="40"/>
      <c r="CV56" s="26" t="s">
        <v>13</v>
      </c>
      <c r="CW56" s="37" t="e">
        <f>(CU32+CU38+CU43+CU47+CU50+CT52+CU54)/7</f>
        <v>#VALUE!</v>
      </c>
      <c r="CX56" s="38" t="e">
        <f>(CP32+CP38+CP43+CP47+CP50+CM52+CP54)/7</f>
        <v>#VALUE!</v>
      </c>
      <c r="CY56" s="38" t="e">
        <f t="shared" si="29"/>
        <v>#VALUE!</v>
      </c>
      <c r="CZ56" s="132"/>
      <c r="DA56" s="133"/>
      <c r="DB56" s="133"/>
      <c r="DC56" s="134"/>
      <c r="DD56" s="26"/>
      <c r="DE56" s="26"/>
      <c r="DF56" s="26"/>
      <c r="DG56" s="26"/>
      <c r="DH56" s="26"/>
      <c r="DI56" s="26"/>
      <c r="DJ56" s="26"/>
      <c r="DK56" s="26" t="s">
        <v>39</v>
      </c>
      <c r="DL56" s="26">
        <f t="shared" ref="DL56:DQ56" si="30">DL28</f>
        <v>1472130000</v>
      </c>
      <c r="DM56" s="26">
        <f t="shared" si="30"/>
        <v>1472130000</v>
      </c>
      <c r="DN56" s="31">
        <f t="shared" si="30"/>
        <v>1472130000</v>
      </c>
      <c r="DO56" s="31">
        <f t="shared" si="30"/>
        <v>12550000</v>
      </c>
      <c r="DP56" s="31">
        <f t="shared" si="30"/>
        <v>1484680000</v>
      </c>
      <c r="DQ56" s="31">
        <f t="shared" si="30"/>
        <v>-1472130000</v>
      </c>
      <c r="DR56" s="26"/>
    </row>
    <row r="57" spans="2:122" ht="15.75">
      <c r="B57" s="127" t="s">
        <v>13</v>
      </c>
      <c r="C57" s="135">
        <f>$J$35</f>
        <v>9900</v>
      </c>
      <c r="D57" s="128" t="s">
        <v>49</v>
      </c>
      <c r="E57" s="129" t="e">
        <f t="shared" si="24"/>
        <v>#VALUE!</v>
      </c>
      <c r="F57" s="130">
        <f>J38</f>
        <v>0.62274881516587677</v>
      </c>
      <c r="G57" s="124" t="e">
        <f t="shared" si="25"/>
        <v>#VALUE!</v>
      </c>
      <c r="H57" s="125">
        <f t="shared" si="26"/>
        <v>3.4285714285714284</v>
      </c>
      <c r="I57" s="127" t="e">
        <f t="shared" si="27"/>
        <v>#VALUE!</v>
      </c>
      <c r="J57" s="33"/>
      <c r="K57" s="33"/>
      <c r="L57" s="33"/>
      <c r="M57" s="33"/>
      <c r="N57" s="33"/>
      <c r="O57" s="33"/>
      <c r="P57" s="33"/>
      <c r="Q57" s="33"/>
      <c r="T57" s="33"/>
      <c r="U57" s="33"/>
      <c r="V57" s="33"/>
      <c r="W57" s="33"/>
      <c r="X57" s="33"/>
      <c r="Y57" s="33"/>
      <c r="Z57" s="33"/>
      <c r="AA57" s="33"/>
      <c r="AB57" s="33"/>
      <c r="AC57" s="33"/>
      <c r="AD57" s="33"/>
      <c r="AE57" s="33"/>
      <c r="AF57" s="33"/>
      <c r="AG57" s="33"/>
      <c r="AH57" s="33"/>
      <c r="CE57" s="26"/>
      <c r="CF57" s="26" t="s">
        <v>91</v>
      </c>
      <c r="CG57" s="26"/>
      <c r="CH57" s="26"/>
      <c r="CI57" s="26"/>
      <c r="CJ57" s="26"/>
      <c r="CK57" s="26"/>
      <c r="CL57" s="26"/>
      <c r="CM57" s="26"/>
      <c r="CN57" s="26"/>
      <c r="CO57" s="26"/>
      <c r="CP57" s="39"/>
      <c r="CQ57" s="26"/>
      <c r="CR57" s="26"/>
      <c r="CS57" s="26"/>
      <c r="CT57" s="26"/>
      <c r="CU57" s="26"/>
      <c r="CV57" s="26" t="s">
        <v>15</v>
      </c>
      <c r="CW57" s="37" t="e">
        <f>(CU33+CU39+CU44+CU48+CT53+CT54+CT55)/7</f>
        <v>#VALUE!</v>
      </c>
      <c r="CX57" s="38" t="e">
        <f>(CP33+CP39+CP44+CP48+CM53+CM54+CM55)/7</f>
        <v>#VALUE!</v>
      </c>
      <c r="CY57" s="38" t="e">
        <f t="shared" si="29"/>
        <v>#VALUE!</v>
      </c>
      <c r="CZ57" s="26"/>
      <c r="DA57" s="26"/>
      <c r="DB57" s="26"/>
      <c r="DC57" s="26"/>
      <c r="DD57" s="26"/>
      <c r="DE57" s="26"/>
      <c r="DF57" s="26"/>
      <c r="DG57" s="26"/>
      <c r="DH57" s="26"/>
      <c r="DI57" s="26"/>
      <c r="DJ57" s="26"/>
      <c r="DK57" s="26" t="s">
        <v>54</v>
      </c>
      <c r="DL57" s="26">
        <f t="shared" ref="DL57:DQ57" si="31">DL40</f>
        <v>1754420000</v>
      </c>
      <c r="DM57" s="26">
        <f t="shared" si="31"/>
        <v>1754420000</v>
      </c>
      <c r="DN57" s="31">
        <f t="shared" si="31"/>
        <v>1754420000</v>
      </c>
      <c r="DO57" s="31">
        <f t="shared" si="31"/>
        <v>16140000</v>
      </c>
      <c r="DP57" s="31">
        <f t="shared" si="31"/>
        <v>1764870000</v>
      </c>
      <c r="DQ57" s="31">
        <f t="shared" si="31"/>
        <v>-1748730000</v>
      </c>
      <c r="DR57" s="26"/>
    </row>
    <row r="58" spans="2:122" ht="15.75">
      <c r="B58" s="127" t="s">
        <v>3</v>
      </c>
      <c r="C58" s="126">
        <f>$K$35</f>
        <v>2710000</v>
      </c>
      <c r="D58" s="128" t="s">
        <v>39</v>
      </c>
      <c r="E58" s="129" t="e">
        <f t="shared" si="24"/>
        <v>#VALUE!</v>
      </c>
      <c r="F58" s="130">
        <f>K38</f>
        <v>0</v>
      </c>
      <c r="G58" s="124" t="e">
        <f t="shared" si="25"/>
        <v>#VALUE!</v>
      </c>
      <c r="H58" s="125" t="e">
        <f t="shared" si="26"/>
        <v>#VALUE!</v>
      </c>
      <c r="I58" s="126" t="e">
        <f t="shared" si="27"/>
        <v>#VALUE!</v>
      </c>
      <c r="J58" s="33"/>
      <c r="K58" s="33"/>
      <c r="L58" s="33"/>
      <c r="M58" s="33"/>
      <c r="N58" s="33"/>
      <c r="O58" s="33"/>
      <c r="P58" s="33"/>
      <c r="Q58" s="33"/>
      <c r="T58" s="33"/>
      <c r="U58" s="33"/>
      <c r="V58" s="33"/>
      <c r="W58" s="33"/>
      <c r="X58" s="33"/>
      <c r="Y58" s="33"/>
      <c r="Z58" s="33"/>
      <c r="AA58" s="33"/>
      <c r="AB58" s="33"/>
      <c r="AC58" s="33"/>
      <c r="AD58" s="33"/>
      <c r="AE58" s="33"/>
      <c r="AF58" s="33"/>
      <c r="AG58" s="33"/>
      <c r="AH58" s="33"/>
      <c r="CE58" s="26"/>
      <c r="CF58" s="26" t="s">
        <v>92</v>
      </c>
      <c r="CG58" s="26"/>
      <c r="CH58" s="26"/>
      <c r="CI58" s="26"/>
      <c r="CJ58" s="26"/>
      <c r="CK58" s="26"/>
      <c r="CL58" s="26"/>
      <c r="CM58" s="26"/>
      <c r="CN58" s="26"/>
      <c r="CO58" s="26"/>
      <c r="CP58" s="26"/>
      <c r="CQ58" s="26"/>
      <c r="CR58" s="26"/>
      <c r="CS58" s="26"/>
      <c r="CT58" s="26"/>
      <c r="CU58" s="26"/>
      <c r="CV58" s="26" t="s">
        <v>11</v>
      </c>
      <c r="CW58" s="37">
        <f>(CU34+CU40+CU45+CU49+CU51+CU52+CU55)/7</f>
        <v>3</v>
      </c>
      <c r="CX58" s="38">
        <f>(CP34+CP40+CP45+CP49+CP51+CP52+CP55)/7</f>
        <v>0.35520624186558158</v>
      </c>
      <c r="CY58" s="38">
        <f t="shared" si="29"/>
        <v>8.8801560466395396E-2</v>
      </c>
      <c r="CZ58" s="26"/>
      <c r="DA58" s="26"/>
      <c r="DB58" s="26"/>
      <c r="DC58" s="26"/>
      <c r="DD58" s="26"/>
      <c r="DE58" s="26"/>
      <c r="DF58" s="26"/>
      <c r="DG58" s="26"/>
      <c r="DH58" s="26"/>
      <c r="DI58" s="26"/>
      <c r="DJ58" s="26"/>
      <c r="DK58" s="26"/>
      <c r="DL58" s="26" t="e">
        <f t="shared" ref="DL58:DQ58" si="32">SUM(DL51:DL57)</f>
        <v>#VALUE!</v>
      </c>
      <c r="DM58" s="26" t="e">
        <f t="shared" si="32"/>
        <v>#VALUE!</v>
      </c>
      <c r="DN58" s="31" t="e">
        <f t="shared" si="32"/>
        <v>#VALUE!</v>
      </c>
      <c r="DO58" s="31" t="e">
        <f t="shared" si="32"/>
        <v>#VALUE!</v>
      </c>
      <c r="DP58" s="31" t="e">
        <f t="shared" si="32"/>
        <v>#VALUE!</v>
      </c>
      <c r="DQ58" s="31" t="e">
        <f t="shared" si="32"/>
        <v>#VALUE!</v>
      </c>
      <c r="DR58" s="26"/>
    </row>
    <row r="59" spans="2:122" ht="15.75">
      <c r="B59" s="127" t="s">
        <v>3</v>
      </c>
      <c r="C59" s="127">
        <f>$L$35</f>
        <v>2320000</v>
      </c>
      <c r="D59" s="128" t="s">
        <v>50</v>
      </c>
      <c r="E59" s="129" t="e">
        <f t="shared" si="24"/>
        <v>#VALUE!</v>
      </c>
      <c r="F59" s="130">
        <f>L38</f>
        <v>1.9342359767891683E-3</v>
      </c>
      <c r="G59" s="124" t="e">
        <f t="shared" si="25"/>
        <v>#VALUE!</v>
      </c>
      <c r="H59" s="125" t="e">
        <f t="shared" si="26"/>
        <v>#VALUE!</v>
      </c>
      <c r="I59" s="127" t="e">
        <f t="shared" si="27"/>
        <v>#VALUE!</v>
      </c>
      <c r="J59" s="33"/>
      <c r="K59" s="33"/>
      <c r="L59" s="33"/>
      <c r="M59" s="33"/>
      <c r="N59" s="33"/>
      <c r="O59" s="33"/>
      <c r="P59" s="33"/>
      <c r="Q59" s="33"/>
      <c r="R59" s="33"/>
      <c r="S59" s="33"/>
      <c r="T59" s="33"/>
      <c r="U59" s="33"/>
      <c r="V59" s="33"/>
      <c r="W59" s="33"/>
      <c r="X59" s="33"/>
      <c r="Y59" s="33"/>
      <c r="Z59" s="33"/>
      <c r="AA59" s="33"/>
      <c r="AB59" s="33"/>
      <c r="AC59" s="33"/>
      <c r="AD59" s="33"/>
      <c r="AE59" s="33"/>
      <c r="AF59" s="33"/>
      <c r="AG59" s="33"/>
      <c r="AH59" s="33"/>
      <c r="CE59" s="26"/>
      <c r="CF59" s="26"/>
      <c r="CG59" s="26"/>
      <c r="CH59" s="26"/>
      <c r="CI59" s="26"/>
      <c r="CJ59" s="26"/>
      <c r="CK59" s="26"/>
      <c r="CL59" s="26"/>
      <c r="CM59" s="26"/>
      <c r="CN59" s="26"/>
      <c r="CO59" s="26"/>
      <c r="CP59" s="26"/>
      <c r="CQ59" s="26"/>
      <c r="CR59" s="26"/>
      <c r="CS59" s="26"/>
      <c r="CT59" s="26"/>
      <c r="CU59" s="26"/>
      <c r="CV59" s="26" t="s">
        <v>93</v>
      </c>
      <c r="CW59" s="40">
        <f>CU56</f>
        <v>0</v>
      </c>
      <c r="CX59" s="38">
        <f>CP56</f>
        <v>0</v>
      </c>
      <c r="CY59" s="26"/>
      <c r="CZ59" s="26"/>
      <c r="DA59" s="26"/>
      <c r="DB59" s="26"/>
      <c r="DC59" s="26"/>
      <c r="DD59" s="26"/>
      <c r="DE59" s="26"/>
      <c r="DF59" s="26"/>
      <c r="DG59" s="26"/>
      <c r="DH59" s="26"/>
      <c r="DI59" s="26"/>
      <c r="DJ59" s="26"/>
      <c r="DK59" s="26" t="s">
        <v>67</v>
      </c>
      <c r="DL59" s="26"/>
      <c r="DM59" s="26"/>
      <c r="DN59" s="31" t="e">
        <f>SUM(DP58+DN58)</f>
        <v>#VALUE!</v>
      </c>
      <c r="DO59" s="31"/>
      <c r="DP59" s="31"/>
      <c r="DQ59" s="31"/>
      <c r="DR59" s="26"/>
    </row>
    <row r="60" spans="2:122" ht="15.75">
      <c r="B60" s="127" t="s">
        <v>3</v>
      </c>
      <c r="C60" s="131">
        <f>$M$35</f>
        <v>2180000</v>
      </c>
      <c r="D60" s="128" t="s">
        <v>51</v>
      </c>
      <c r="E60" s="129" t="e">
        <f t="shared" si="24"/>
        <v>#VALUE!</v>
      </c>
      <c r="F60" s="130">
        <f>M38</f>
        <v>0.15443425076452597</v>
      </c>
      <c r="G60" s="124" t="e">
        <f t="shared" si="25"/>
        <v>#VALUE!</v>
      </c>
      <c r="H60" s="125" t="e">
        <f t="shared" si="26"/>
        <v>#VALUE!</v>
      </c>
      <c r="I60" s="126" t="e">
        <f t="shared" si="27"/>
        <v>#VALUE!</v>
      </c>
      <c r="J60" s="33"/>
      <c r="K60" s="33"/>
      <c r="L60" s="33"/>
      <c r="M60" s="33"/>
      <c r="N60" s="33"/>
      <c r="O60" s="33"/>
      <c r="P60" s="33"/>
      <c r="Q60" s="33"/>
      <c r="R60" s="33"/>
      <c r="S60" s="33"/>
      <c r="T60" s="33"/>
      <c r="U60" s="33"/>
      <c r="V60" s="33"/>
      <c r="W60" s="33"/>
      <c r="X60" s="33"/>
      <c r="Y60" s="33"/>
      <c r="Z60" s="33"/>
      <c r="AA60" s="33"/>
      <c r="AB60" s="33"/>
      <c r="AC60" s="33"/>
      <c r="AD60" s="33"/>
      <c r="AE60" s="33"/>
      <c r="AF60" s="33"/>
      <c r="AG60" s="33"/>
      <c r="AH60" s="33"/>
      <c r="CE60" s="26"/>
      <c r="CF60" s="26" t="s">
        <v>8</v>
      </c>
      <c r="CG60" s="26" t="s">
        <v>94</v>
      </c>
      <c r="CH60" s="136" t="s">
        <v>95</v>
      </c>
      <c r="CI60" s="137" t="str">
        <f>[2]!'6AM1'</f>
        <v>N\A</v>
      </c>
      <c r="CJ60" s="137" t="str">
        <f>[3]!'6AM1'</f>
        <v>N\A</v>
      </c>
      <c r="CK60" s="137" t="str">
        <f>[4]!'6AM1'</f>
        <v>N\A</v>
      </c>
      <c r="CL60" s="137" t="str">
        <f>[5]!'6AM1'</f>
        <v>N\A</v>
      </c>
      <c r="CM60" s="37" t="e">
        <f>CX53</f>
        <v>#VALUE!</v>
      </c>
      <c r="CN60" s="37" t="e">
        <f>CY53</f>
        <v>#VALUE!</v>
      </c>
      <c r="CO60" s="26"/>
      <c r="CP60" s="26" t="b">
        <f>ISERR(CM60)</f>
        <v>1</v>
      </c>
      <c r="CQ60" s="37">
        <f>IF(CP60=FALSE,CM60,0%)</f>
        <v>0</v>
      </c>
      <c r="CR60" s="26"/>
      <c r="CS60" s="26"/>
      <c r="CT60" s="26" t="s">
        <v>96</v>
      </c>
      <c r="CU60" s="37">
        <f>CQ63</f>
        <v>0</v>
      </c>
      <c r="CV60" s="26"/>
      <c r="CW60" s="26" t="str">
        <f t="shared" ref="CW60:CW68" si="33">CT60</f>
        <v>EURx</v>
      </c>
      <c r="CX60" s="26" t="str">
        <f t="shared" ref="CX60:CX67" si="34">CV51</f>
        <v>EUR</v>
      </c>
      <c r="CY60" s="38">
        <f t="shared" ref="CY60:CY67" si="35">CU60</f>
        <v>0</v>
      </c>
      <c r="CZ60" s="38" t="e">
        <f t="shared" ref="CZ60:CZ67" si="36">CX51</f>
        <v>#VALUE!</v>
      </c>
      <c r="DA60" s="26"/>
      <c r="DB60" s="26"/>
      <c r="DC60" s="26"/>
      <c r="DD60" s="26"/>
      <c r="DE60" s="26"/>
      <c r="DF60" s="26"/>
      <c r="DG60" s="26"/>
      <c r="DH60" s="26"/>
      <c r="DI60" s="26"/>
      <c r="DJ60" s="26"/>
      <c r="DK60" s="26" t="s">
        <v>68</v>
      </c>
      <c r="DL60" s="26"/>
      <c r="DM60" s="26"/>
      <c r="DN60" s="31" t="e">
        <f>SUM(DQ58-DN58)*-1</f>
        <v>#VALUE!</v>
      </c>
      <c r="DO60" s="31"/>
      <c r="DP60" s="31"/>
      <c r="DQ60" s="31"/>
      <c r="DR60" s="26"/>
    </row>
    <row r="61" spans="2:122" ht="15.75">
      <c r="B61" s="127" t="s">
        <v>3</v>
      </c>
      <c r="C61" s="135" t="e">
        <f>$N$35</f>
        <v>#VALUE!</v>
      </c>
      <c r="D61" s="128" t="s">
        <v>37</v>
      </c>
      <c r="E61" s="129" t="e">
        <f t="shared" si="24"/>
        <v>#VALUE!</v>
      </c>
      <c r="F61" s="130" t="e">
        <f>N38</f>
        <v>#VALUE!</v>
      </c>
      <c r="G61" s="124" t="e">
        <f t="shared" si="25"/>
        <v>#VALUE!</v>
      </c>
      <c r="H61" s="125" t="e">
        <f t="shared" si="26"/>
        <v>#VALUE!</v>
      </c>
      <c r="I61" s="127" t="e">
        <f t="shared" si="27"/>
        <v>#VALUE!</v>
      </c>
      <c r="J61" s="33"/>
      <c r="K61" s="33"/>
      <c r="L61" s="33"/>
      <c r="M61" s="33"/>
      <c r="N61" s="33"/>
      <c r="O61" s="33"/>
      <c r="P61" s="33"/>
      <c r="Q61" s="33"/>
      <c r="R61" s="33"/>
      <c r="S61" s="33"/>
      <c r="T61" s="33"/>
      <c r="U61" s="33"/>
      <c r="V61" s="33"/>
      <c r="W61" s="33"/>
      <c r="X61" s="33"/>
      <c r="Y61" s="33"/>
      <c r="Z61" s="33"/>
      <c r="AA61" s="33"/>
      <c r="AB61" s="33"/>
      <c r="AC61" s="33"/>
      <c r="AD61" s="33"/>
      <c r="AE61" s="33"/>
      <c r="AF61" s="33"/>
      <c r="AG61" s="33"/>
      <c r="AH61" s="33"/>
      <c r="CE61" s="26"/>
      <c r="CF61" s="26" t="s">
        <v>6</v>
      </c>
      <c r="CG61" s="26" t="s">
        <v>97</v>
      </c>
      <c r="CH61" s="136" t="s">
        <v>98</v>
      </c>
      <c r="CI61" s="137" t="str">
        <f>[2]!'6BM1'</f>
        <v>N\A</v>
      </c>
      <c r="CJ61" s="137" t="str">
        <f>[3]!'6BM1'</f>
        <v>N\A</v>
      </c>
      <c r="CK61" s="137" t="str">
        <f>[4]!'6BM1'</f>
        <v>N\A</v>
      </c>
      <c r="CL61" s="137" t="str">
        <f>[5]!'6BM1'</f>
        <v>N\A</v>
      </c>
      <c r="CM61" s="37" t="e">
        <f>CX52</f>
        <v>#VALUE!</v>
      </c>
      <c r="CN61" s="37" t="e">
        <f>CY52</f>
        <v>#VALUE!</v>
      </c>
      <c r="CO61" s="26"/>
      <c r="CP61" s="26" t="b">
        <f t="shared" ref="CP61:CP118" si="37">ISERR(CM61)</f>
        <v>1</v>
      </c>
      <c r="CQ61" s="37">
        <f t="shared" ref="CQ61:CQ67" si="38">IF(CP61=FALSE,CM61,0%)</f>
        <v>0</v>
      </c>
      <c r="CR61" s="26"/>
      <c r="CS61" s="26"/>
      <c r="CT61" s="26" t="s">
        <v>99</v>
      </c>
      <c r="CU61" s="37">
        <f>CQ61</f>
        <v>0</v>
      </c>
      <c r="CV61" s="26"/>
      <c r="CW61" s="26" t="str">
        <f t="shared" si="33"/>
        <v>GBPx</v>
      </c>
      <c r="CX61" s="26" t="str">
        <f t="shared" si="34"/>
        <v>GBP</v>
      </c>
      <c r="CY61" s="38">
        <f t="shared" si="35"/>
        <v>0</v>
      </c>
      <c r="CZ61" s="38" t="e">
        <f t="shared" si="36"/>
        <v>#VALUE!</v>
      </c>
      <c r="DA61" s="26"/>
      <c r="DB61" s="26"/>
      <c r="DC61" s="26"/>
      <c r="DD61" s="26"/>
      <c r="DE61" s="26"/>
      <c r="DF61" s="26"/>
      <c r="DG61" s="26"/>
      <c r="DH61" s="26"/>
      <c r="DI61" s="26"/>
      <c r="DJ61" s="26"/>
      <c r="DK61" s="26"/>
      <c r="DL61" s="26"/>
      <c r="DM61" s="26"/>
      <c r="DN61" s="31"/>
      <c r="DO61" s="31"/>
      <c r="DP61" s="31"/>
      <c r="DQ61" s="31"/>
      <c r="DR61" s="26"/>
    </row>
    <row r="62" spans="2:122" ht="15.75">
      <c r="B62" s="127" t="s">
        <v>3</v>
      </c>
      <c r="C62" s="131">
        <f>$O$35</f>
        <v>29400</v>
      </c>
      <c r="D62" s="128" t="s">
        <v>52</v>
      </c>
      <c r="E62" s="129" t="e">
        <f t="shared" si="24"/>
        <v>#VALUE!</v>
      </c>
      <c r="F62" s="130">
        <f>O38</f>
        <v>0.33830275229357798</v>
      </c>
      <c r="G62" s="124" t="e">
        <f t="shared" si="25"/>
        <v>#VALUE!</v>
      </c>
      <c r="H62" s="125">
        <f t="shared" si="26"/>
        <v>3.4285714285714284</v>
      </c>
      <c r="I62" s="126" t="e">
        <f t="shared" si="27"/>
        <v>#VALUE!</v>
      </c>
      <c r="J62" s="33"/>
      <c r="K62" s="33"/>
      <c r="L62" s="33"/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3"/>
      <c r="Y62" s="33"/>
      <c r="Z62" s="33"/>
      <c r="AA62" s="33"/>
      <c r="AB62" s="33"/>
      <c r="AC62" s="33"/>
      <c r="AD62" s="33"/>
      <c r="AE62" s="33"/>
      <c r="AF62" s="33"/>
      <c r="AG62" s="33"/>
      <c r="AH62" s="33"/>
      <c r="CE62" s="26"/>
      <c r="CF62" s="26" t="s">
        <v>18</v>
      </c>
      <c r="CG62" s="26" t="s">
        <v>100</v>
      </c>
      <c r="CH62" s="136" t="s">
        <v>101</v>
      </c>
      <c r="CI62" s="137" t="str">
        <f>[2]!'#CL'</f>
        <v>N\A</v>
      </c>
      <c r="CJ62" s="137" t="str">
        <f>[3]!'#CL'</f>
        <v>N\A</v>
      </c>
      <c r="CK62" s="137" t="str">
        <f>[4]!'#CL'</f>
        <v>N\A</v>
      </c>
      <c r="CL62" s="137" t="str">
        <f>[5]!'#CL'</f>
        <v>N\A</v>
      </c>
      <c r="CM62" s="37" t="e">
        <f>CX55</f>
        <v>#VALUE!</v>
      </c>
      <c r="CN62" s="37" t="e">
        <f>CY55</f>
        <v>#VALUE!</v>
      </c>
      <c r="CO62" s="26"/>
      <c r="CP62" s="26" t="b">
        <f t="shared" si="37"/>
        <v>1</v>
      </c>
      <c r="CQ62" s="37">
        <f t="shared" si="38"/>
        <v>0</v>
      </c>
      <c r="CR62" s="26"/>
      <c r="CS62" s="26"/>
      <c r="CT62" s="26" t="s">
        <v>102</v>
      </c>
      <c r="CU62" s="37">
        <f>CQ60</f>
        <v>0</v>
      </c>
      <c r="CV62" s="26"/>
      <c r="CW62" s="26" t="str">
        <f t="shared" si="33"/>
        <v>AUDx</v>
      </c>
      <c r="CX62" s="26" t="str">
        <f t="shared" si="34"/>
        <v>AUD</v>
      </c>
      <c r="CY62" s="38">
        <f t="shared" si="35"/>
        <v>0</v>
      </c>
      <c r="CZ62" s="38" t="e">
        <f t="shared" si="36"/>
        <v>#VALUE!</v>
      </c>
      <c r="DA62" s="26"/>
      <c r="DB62" s="26"/>
      <c r="DC62" s="26"/>
      <c r="DD62" s="26"/>
      <c r="DE62" s="26"/>
      <c r="DF62" s="26"/>
      <c r="DG62" s="26"/>
      <c r="DH62" s="26"/>
      <c r="DI62" s="26"/>
      <c r="DJ62" s="26"/>
      <c r="DK62" s="30" t="s">
        <v>9</v>
      </c>
      <c r="DL62" s="26" t="s">
        <v>31</v>
      </c>
      <c r="DM62" s="26" t="s">
        <v>32</v>
      </c>
      <c r="DN62" s="26" t="s">
        <v>33</v>
      </c>
      <c r="DO62" s="31" t="s">
        <v>34</v>
      </c>
      <c r="DP62" s="31" t="s">
        <v>35</v>
      </c>
      <c r="DQ62" s="31" t="s">
        <v>36</v>
      </c>
      <c r="DR62" s="26"/>
    </row>
    <row r="63" spans="2:122" ht="15.75">
      <c r="B63" s="127" t="s">
        <v>3</v>
      </c>
      <c r="C63" s="127">
        <f>$P$35</f>
        <v>2490000</v>
      </c>
      <c r="D63" s="138" t="s">
        <v>40</v>
      </c>
      <c r="E63" s="129" t="e">
        <f t="shared" si="24"/>
        <v>#VALUE!</v>
      </c>
      <c r="F63" s="130">
        <f>P38</f>
        <v>0.31259968102073366</v>
      </c>
      <c r="G63" s="124" t="e">
        <f t="shared" si="25"/>
        <v>#VALUE!</v>
      </c>
      <c r="H63" s="125" t="e">
        <f t="shared" si="26"/>
        <v>#VALUE!</v>
      </c>
      <c r="I63" s="127" t="e">
        <f t="shared" si="27"/>
        <v>#VALUE!</v>
      </c>
      <c r="J63" s="33"/>
      <c r="K63" s="33"/>
      <c r="L63" s="33"/>
      <c r="M63" s="33"/>
      <c r="N63" s="33"/>
      <c r="O63" s="33"/>
      <c r="P63" s="33"/>
      <c r="Q63" s="33"/>
      <c r="R63" s="33"/>
      <c r="S63" s="33"/>
      <c r="T63" s="33"/>
      <c r="U63" s="33"/>
      <c r="V63" s="33"/>
      <c r="W63" s="33"/>
      <c r="X63" s="33"/>
      <c r="Y63" s="33"/>
      <c r="Z63" s="33"/>
      <c r="AA63" s="33"/>
      <c r="AB63" s="33"/>
      <c r="AC63" s="33"/>
      <c r="AD63" s="33"/>
      <c r="AE63" s="33"/>
      <c r="AF63" s="33"/>
      <c r="AG63" s="33"/>
      <c r="AH63" s="33"/>
      <c r="CE63" s="26"/>
      <c r="CF63" s="26" t="s">
        <v>103</v>
      </c>
      <c r="CG63" s="26" t="s">
        <v>104</v>
      </c>
      <c r="CH63" s="136" t="s">
        <v>105</v>
      </c>
      <c r="CI63" s="137" t="str">
        <f>[2]!'6EM1'</f>
        <v>N\A</v>
      </c>
      <c r="CJ63" s="137" t="str">
        <f>[3]!'6EM1'</f>
        <v>N\A</v>
      </c>
      <c r="CK63" s="137" t="str">
        <f>[4]!'6EM1'</f>
        <v>N\A</v>
      </c>
      <c r="CL63" s="137" t="str">
        <f>[5]!'6EM1'</f>
        <v>N\A</v>
      </c>
      <c r="CM63" s="37" t="e">
        <f>CX51</f>
        <v>#VALUE!</v>
      </c>
      <c r="CN63" s="37" t="e">
        <f>CY51</f>
        <v>#VALUE!</v>
      </c>
      <c r="CO63" s="26"/>
      <c r="CP63" s="26" t="b">
        <f t="shared" si="37"/>
        <v>1</v>
      </c>
      <c r="CQ63" s="37">
        <f t="shared" si="38"/>
        <v>0</v>
      </c>
      <c r="CR63" s="26"/>
      <c r="CS63" s="26"/>
      <c r="CT63" s="26" t="s">
        <v>106</v>
      </c>
      <c r="CU63" s="37">
        <f>CQ65</f>
        <v>0</v>
      </c>
      <c r="CV63" s="26"/>
      <c r="CW63" s="26" t="str">
        <f t="shared" si="33"/>
        <v>NZDx</v>
      </c>
      <c r="CX63" s="26" t="str">
        <f t="shared" si="34"/>
        <v>NZD</v>
      </c>
      <c r="CY63" s="38">
        <f t="shared" si="35"/>
        <v>0</v>
      </c>
      <c r="CZ63" s="38" t="e">
        <f t="shared" si="36"/>
        <v>#VALUE!</v>
      </c>
      <c r="DA63" s="26"/>
      <c r="DB63" s="26"/>
      <c r="DC63" s="26"/>
      <c r="DD63" s="26"/>
      <c r="DE63" s="26"/>
      <c r="DF63" s="26"/>
      <c r="DG63" s="26"/>
      <c r="DH63" s="26"/>
      <c r="DI63" s="26"/>
      <c r="DJ63" s="26"/>
      <c r="DK63" s="26" t="s">
        <v>60</v>
      </c>
      <c r="DL63" s="26" t="e">
        <f t="shared" ref="DL63:DQ66" si="39">DD46</f>
        <v>#VALUE!</v>
      </c>
      <c r="DM63" s="26" t="e">
        <f t="shared" si="39"/>
        <v>#VALUE!</v>
      </c>
      <c r="DN63" s="31" t="e">
        <f t="shared" si="39"/>
        <v>#VALUE!</v>
      </c>
      <c r="DO63" s="31" t="e">
        <f t="shared" si="39"/>
        <v>#VALUE!</v>
      </c>
      <c r="DP63" s="31" t="e">
        <f t="shared" si="39"/>
        <v>#VALUE!</v>
      </c>
      <c r="DQ63" s="31" t="e">
        <f t="shared" si="39"/>
        <v>#VALUE!</v>
      </c>
      <c r="DR63" s="26"/>
    </row>
    <row r="64" spans="2:122" ht="15.75">
      <c r="B64" s="127" t="s">
        <v>3</v>
      </c>
      <c r="C64" s="126">
        <f>$Q$35</f>
        <v>830000</v>
      </c>
      <c r="D64" s="139" t="s">
        <v>53</v>
      </c>
      <c r="E64" s="129" t="e">
        <f t="shared" si="24"/>
        <v>#VALUE!</v>
      </c>
      <c r="F64" s="130">
        <f>Q38</f>
        <v>1.4763779527559055E-2</v>
      </c>
      <c r="G64" s="124" t="e">
        <f t="shared" si="25"/>
        <v>#VALUE!</v>
      </c>
      <c r="H64" s="125" t="e">
        <f t="shared" si="26"/>
        <v>#VALUE!</v>
      </c>
      <c r="I64" s="126" t="e">
        <f t="shared" si="27"/>
        <v>#VALUE!</v>
      </c>
      <c r="J64" s="33"/>
      <c r="K64" s="33"/>
      <c r="L64" s="33"/>
      <c r="M64" s="33"/>
      <c r="N64" s="33"/>
      <c r="O64" s="33"/>
      <c r="P64" s="33"/>
      <c r="Q64" s="33"/>
      <c r="R64" s="33"/>
      <c r="S64" s="33"/>
      <c r="T64" s="33"/>
      <c r="U64" s="33"/>
      <c r="V64" s="33"/>
      <c r="W64" s="33"/>
      <c r="X64" s="33"/>
      <c r="Y64" s="33"/>
      <c r="Z64" s="33"/>
      <c r="AA64" s="33"/>
      <c r="AB64" s="33"/>
      <c r="AC64" s="33"/>
      <c r="AD64" s="33"/>
      <c r="AE64" s="33"/>
      <c r="AF64" s="33"/>
      <c r="AG64" s="33"/>
      <c r="AH64" s="33"/>
      <c r="CE64" s="26"/>
      <c r="CF64" s="26" t="s">
        <v>107</v>
      </c>
      <c r="CG64" s="26" t="s">
        <v>108</v>
      </c>
      <c r="CH64" s="136" t="s">
        <v>109</v>
      </c>
      <c r="CI64" s="137" t="str">
        <f>[2]!'#N225'</f>
        <v>N\A</v>
      </c>
      <c r="CJ64" s="137" t="str">
        <f>[3]!'#N225'</f>
        <v>N\A</v>
      </c>
      <c r="CK64" s="137" t="str">
        <f>[4]!'#N225'</f>
        <v>N\A</v>
      </c>
      <c r="CL64" s="137" t="str">
        <f>[5]!'#N225'</f>
        <v>N\A</v>
      </c>
      <c r="CM64" s="37">
        <f>CX58</f>
        <v>0.35520624186558158</v>
      </c>
      <c r="CN64" s="37">
        <f>CY58</f>
        <v>8.8801560466395396E-2</v>
      </c>
      <c r="CO64" s="26"/>
      <c r="CP64" s="26" t="b">
        <f t="shared" si="37"/>
        <v>0</v>
      </c>
      <c r="CQ64" s="37">
        <f t="shared" si="38"/>
        <v>0.35520624186558158</v>
      </c>
      <c r="CR64" s="26"/>
      <c r="CS64" s="26"/>
      <c r="CT64" s="26" t="s">
        <v>110</v>
      </c>
      <c r="CU64" s="37">
        <f>CQ62</f>
        <v>0</v>
      </c>
      <c r="CV64" s="26"/>
      <c r="CW64" s="26" t="str">
        <f t="shared" si="33"/>
        <v>CADx</v>
      </c>
      <c r="CX64" s="26" t="str">
        <f t="shared" si="34"/>
        <v>CAD</v>
      </c>
      <c r="CY64" s="38">
        <f t="shared" si="35"/>
        <v>0</v>
      </c>
      <c r="CZ64" s="38" t="e">
        <f t="shared" si="36"/>
        <v>#VALUE!</v>
      </c>
      <c r="DA64" s="26"/>
      <c r="DB64" s="26"/>
      <c r="DC64" s="26"/>
      <c r="DD64" s="26"/>
      <c r="DE64" s="26"/>
      <c r="DF64" s="26"/>
      <c r="DG64" s="26"/>
      <c r="DH64" s="26"/>
      <c r="DI64" s="26"/>
      <c r="DJ64" s="26"/>
      <c r="DK64" s="26" t="s">
        <v>61</v>
      </c>
      <c r="DL64" s="26" t="e">
        <f t="shared" si="39"/>
        <v>#VALUE!</v>
      </c>
      <c r="DM64" s="26" t="e">
        <f t="shared" si="39"/>
        <v>#VALUE!</v>
      </c>
      <c r="DN64" s="31" t="e">
        <f t="shared" si="39"/>
        <v>#VALUE!</v>
      </c>
      <c r="DO64" s="31" t="e">
        <f t="shared" si="39"/>
        <v>#VALUE!</v>
      </c>
      <c r="DP64" s="31" t="e">
        <f t="shared" si="39"/>
        <v>#VALUE!</v>
      </c>
      <c r="DQ64" s="31" t="e">
        <f t="shared" si="39"/>
        <v>#VALUE!</v>
      </c>
      <c r="DR64" s="26"/>
    </row>
    <row r="65" spans="2:122" ht="15.75">
      <c r="B65" s="127" t="s">
        <v>5</v>
      </c>
      <c r="C65" s="127">
        <f>$R$35</f>
        <v>2850000</v>
      </c>
      <c r="D65" s="128" t="s">
        <v>54</v>
      </c>
      <c r="E65" s="129" t="e">
        <f t="shared" si="24"/>
        <v>#VALUE!</v>
      </c>
      <c r="F65" s="130">
        <f>R38</f>
        <v>0.35254027261462201</v>
      </c>
      <c r="G65" s="124" t="e">
        <f t="shared" si="25"/>
        <v>#VALUE!</v>
      </c>
      <c r="H65" s="125" t="e">
        <f t="shared" si="26"/>
        <v>#VALUE!</v>
      </c>
      <c r="I65" s="127" t="e">
        <f t="shared" si="27"/>
        <v>#VALUE!</v>
      </c>
      <c r="J65" s="33"/>
      <c r="K65" s="33"/>
      <c r="L65" s="33"/>
      <c r="M65" s="33"/>
      <c r="N65" s="33"/>
      <c r="O65" s="33"/>
      <c r="P65" s="33"/>
      <c r="Q65" s="33"/>
      <c r="R65" s="33"/>
      <c r="S65" s="33"/>
      <c r="T65" s="33"/>
      <c r="U65" s="33"/>
      <c r="V65" s="33"/>
      <c r="W65" s="33"/>
      <c r="X65" s="33"/>
      <c r="Y65" s="33"/>
      <c r="Z65" s="33"/>
      <c r="AA65" s="33"/>
      <c r="AB65" s="33"/>
      <c r="AC65" s="33"/>
      <c r="AD65" s="33"/>
      <c r="AE65" s="33"/>
      <c r="AF65" s="33"/>
      <c r="AG65" s="33"/>
      <c r="AH65" s="33"/>
      <c r="CE65" s="26"/>
      <c r="CF65" s="26" t="s">
        <v>10</v>
      </c>
      <c r="CG65" s="26" t="s">
        <v>111</v>
      </c>
      <c r="CH65" s="136" t="s">
        <v>112</v>
      </c>
      <c r="CI65" s="137" t="str">
        <f>[2]!'6NM1'</f>
        <v>N\A</v>
      </c>
      <c r="CJ65" s="137" t="str">
        <f>[3]!'6NM1'</f>
        <v>N\A</v>
      </c>
      <c r="CK65" s="137" t="str">
        <f>[4]!'6NM1'</f>
        <v>N\A</v>
      </c>
      <c r="CL65" s="137" t="str">
        <f>[5]!'6NM1'</f>
        <v>N\A</v>
      </c>
      <c r="CM65" s="37" t="e">
        <f>CX54</f>
        <v>#VALUE!</v>
      </c>
      <c r="CN65" s="37" t="e">
        <f>CY54</f>
        <v>#VALUE!</v>
      </c>
      <c r="CO65" s="26"/>
      <c r="CP65" s="26" t="b">
        <f t="shared" si="37"/>
        <v>1</v>
      </c>
      <c r="CQ65" s="37">
        <f t="shared" si="38"/>
        <v>0</v>
      </c>
      <c r="CR65" s="26"/>
      <c r="CS65" s="26"/>
      <c r="CT65" s="26" t="s">
        <v>113</v>
      </c>
      <c r="CU65" s="37">
        <f>CQ66</f>
        <v>0</v>
      </c>
      <c r="CV65" s="26"/>
      <c r="CW65" s="26" t="str">
        <f t="shared" si="33"/>
        <v>CHFx</v>
      </c>
      <c r="CX65" s="26" t="str">
        <f t="shared" si="34"/>
        <v>CHF</v>
      </c>
      <c r="CY65" s="38">
        <f t="shared" si="35"/>
        <v>0</v>
      </c>
      <c r="CZ65" s="38" t="e">
        <f t="shared" si="36"/>
        <v>#VALUE!</v>
      </c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 t="s">
        <v>63</v>
      </c>
      <c r="DL65" s="26" t="e">
        <f t="shared" si="39"/>
        <v>#VALUE!</v>
      </c>
      <c r="DM65" s="26" t="e">
        <f t="shared" si="39"/>
        <v>#VALUE!</v>
      </c>
      <c r="DN65" s="31" t="e">
        <f t="shared" si="39"/>
        <v>#VALUE!</v>
      </c>
      <c r="DO65" s="31" t="e">
        <f t="shared" si="39"/>
        <v>#VALUE!</v>
      </c>
      <c r="DP65" s="31" t="e">
        <f t="shared" si="39"/>
        <v>#VALUE!</v>
      </c>
      <c r="DQ65" s="31" t="e">
        <f t="shared" si="39"/>
        <v>#VALUE!</v>
      </c>
      <c r="DR65" s="26"/>
    </row>
    <row r="66" spans="2:122" ht="15.75">
      <c r="B66" s="127" t="s">
        <v>5</v>
      </c>
      <c r="C66" s="126">
        <f>$S$35</f>
        <v>2640000</v>
      </c>
      <c r="D66" s="128" t="s">
        <v>55</v>
      </c>
      <c r="E66" s="129" t="e">
        <f t="shared" si="24"/>
        <v>#VALUE!</v>
      </c>
      <c r="F66" s="130">
        <f>S38</f>
        <v>3.5756853396901075E-3</v>
      </c>
      <c r="G66" s="124" t="e">
        <f t="shared" si="25"/>
        <v>#VALUE!</v>
      </c>
      <c r="H66" s="125" t="e">
        <f t="shared" si="26"/>
        <v>#VALUE!</v>
      </c>
      <c r="I66" s="126" t="e">
        <f t="shared" si="27"/>
        <v>#VALUE!</v>
      </c>
      <c r="J66" s="33"/>
      <c r="K66" s="33"/>
      <c r="L66" s="33"/>
      <c r="M66" s="33"/>
      <c r="N66" s="33"/>
      <c r="O66" s="33"/>
      <c r="P66" s="33"/>
      <c r="Q66" s="33"/>
      <c r="R66" s="33"/>
      <c r="S66" s="33"/>
      <c r="T66" s="33"/>
      <c r="U66" s="33"/>
      <c r="V66" s="33"/>
      <c r="W66" s="33"/>
      <c r="X66" s="33"/>
      <c r="Y66" s="33"/>
      <c r="Z66" s="33"/>
      <c r="AA66" s="33"/>
      <c r="AB66" s="33"/>
      <c r="AC66" s="33"/>
      <c r="AD66" s="33"/>
      <c r="AE66" s="33"/>
      <c r="AF66" s="33"/>
      <c r="AG66" s="33"/>
      <c r="AH66" s="33"/>
      <c r="CE66" s="26"/>
      <c r="CF66" s="26" t="s">
        <v>14</v>
      </c>
      <c r="CG66" s="26" t="s">
        <v>114</v>
      </c>
      <c r="CH66" s="136" t="s">
        <v>115</v>
      </c>
      <c r="CI66" s="137" t="str">
        <f>[2]!'6SM1'</f>
        <v>N\A</v>
      </c>
      <c r="CJ66" s="137" t="str">
        <f>[3]!'6SM1'</f>
        <v>N\A</v>
      </c>
      <c r="CK66" s="137" t="str">
        <f>[4]!'6SM1'</f>
        <v>N\A</v>
      </c>
      <c r="CL66" s="137" t="str">
        <f>[5]!'6SM1'</f>
        <v>N\A</v>
      </c>
      <c r="CM66" s="37" t="e">
        <f>CX56</f>
        <v>#VALUE!</v>
      </c>
      <c r="CN66" s="37" t="e">
        <f>CY56</f>
        <v>#VALUE!</v>
      </c>
      <c r="CO66" s="26"/>
      <c r="CP66" s="26" t="b">
        <f t="shared" si="37"/>
        <v>1</v>
      </c>
      <c r="CQ66" s="37">
        <f t="shared" si="38"/>
        <v>0</v>
      </c>
      <c r="CR66" s="26"/>
      <c r="CS66" s="26"/>
      <c r="CT66" s="26" t="s">
        <v>116</v>
      </c>
      <c r="CU66" s="37">
        <f>CQ67</f>
        <v>0</v>
      </c>
      <c r="CV66" s="26"/>
      <c r="CW66" s="26" t="str">
        <f t="shared" si="33"/>
        <v>USDx</v>
      </c>
      <c r="CX66" s="26" t="str">
        <f t="shared" si="34"/>
        <v>USD</v>
      </c>
      <c r="CY66" s="38">
        <f t="shared" si="35"/>
        <v>0</v>
      </c>
      <c r="CZ66" s="38" t="e">
        <f t="shared" si="36"/>
        <v>#VALUE!</v>
      </c>
      <c r="DA66" s="26"/>
      <c r="DB66" s="26"/>
      <c r="DC66" s="26"/>
      <c r="DD66" s="26"/>
      <c r="DE66" s="26"/>
      <c r="DF66" s="26"/>
      <c r="DG66" s="26"/>
      <c r="DH66" s="26"/>
      <c r="DI66" s="26"/>
      <c r="DJ66" s="26"/>
      <c r="DK66" s="26" t="s">
        <v>62</v>
      </c>
      <c r="DL66" s="26">
        <f t="shared" si="39"/>
        <v>7563900</v>
      </c>
      <c r="DM66" s="26">
        <f t="shared" si="39"/>
        <v>7563900</v>
      </c>
      <c r="DN66" s="31">
        <f t="shared" si="39"/>
        <v>7563900</v>
      </c>
      <c r="DO66" s="31">
        <f t="shared" si="39"/>
        <v>87100</v>
      </c>
      <c r="DP66" s="31">
        <f t="shared" si="39"/>
        <v>7599300</v>
      </c>
      <c r="DQ66" s="31">
        <f t="shared" si="39"/>
        <v>-7512200</v>
      </c>
      <c r="DR66" s="26"/>
    </row>
    <row r="67" spans="2:122" ht="15.75">
      <c r="B67" s="127" t="s">
        <v>5</v>
      </c>
      <c r="C67" s="127">
        <f>$T$35</f>
        <v>1960000</v>
      </c>
      <c r="D67" s="128" t="s">
        <v>56</v>
      </c>
      <c r="E67" s="129" t="e">
        <f t="shared" si="24"/>
        <v>#VALUE!</v>
      </c>
      <c r="F67" s="130">
        <f>T38</f>
        <v>0.54894046417759845</v>
      </c>
      <c r="G67" s="124" t="e">
        <f t="shared" si="25"/>
        <v>#VALUE!</v>
      </c>
      <c r="H67" s="125" t="e">
        <f t="shared" si="26"/>
        <v>#VALUE!</v>
      </c>
      <c r="I67" s="127" t="e">
        <f t="shared" si="27"/>
        <v>#VALUE!</v>
      </c>
      <c r="J67" s="33"/>
      <c r="K67" s="33"/>
      <c r="L67" s="33"/>
      <c r="M67" s="33"/>
      <c r="N67" s="33"/>
      <c r="O67" s="33"/>
      <c r="P67" s="33"/>
      <c r="Q67" s="33"/>
      <c r="R67" s="33"/>
      <c r="S67" s="33"/>
      <c r="T67" s="33"/>
      <c r="U67" s="33"/>
      <c r="V67" s="33"/>
      <c r="W67" s="33"/>
      <c r="X67" s="33"/>
      <c r="Y67" s="33"/>
      <c r="Z67" s="33"/>
      <c r="AA67" s="33"/>
      <c r="AB67" s="33"/>
      <c r="AC67" s="33"/>
      <c r="AD67" s="33"/>
      <c r="AE67" s="33"/>
      <c r="AF67" s="33"/>
      <c r="AG67" s="33"/>
      <c r="AH67" s="33"/>
      <c r="CE67" s="26"/>
      <c r="CF67" s="26" t="s">
        <v>117</v>
      </c>
      <c r="CG67" s="26" t="s">
        <v>118</v>
      </c>
      <c r="CH67" s="26" t="s">
        <v>119</v>
      </c>
      <c r="CI67" s="40" t="str">
        <f>[2]!'#USDX'</f>
        <v>N\A</v>
      </c>
      <c r="CJ67" s="40" t="str">
        <f>[3]!'#USDX'</f>
        <v>N\A</v>
      </c>
      <c r="CK67" s="40" t="str">
        <f>[4]!'#USDX'</f>
        <v>N\A</v>
      </c>
      <c r="CL67" s="40" t="str">
        <f>[5]!'#USDX'</f>
        <v>N\A</v>
      </c>
      <c r="CM67" s="37" t="e">
        <f>CX57</f>
        <v>#VALUE!</v>
      </c>
      <c r="CN67" s="37" t="e">
        <f>CY57</f>
        <v>#VALUE!</v>
      </c>
      <c r="CO67" s="38"/>
      <c r="CP67" s="26" t="b">
        <f t="shared" si="37"/>
        <v>1</v>
      </c>
      <c r="CQ67" s="37">
        <f t="shared" si="38"/>
        <v>0</v>
      </c>
      <c r="CR67" s="26"/>
      <c r="CS67" s="26"/>
      <c r="CT67" s="26" t="s">
        <v>120</v>
      </c>
      <c r="CU67" s="37">
        <f>CQ64</f>
        <v>0.35520624186558158</v>
      </c>
      <c r="CV67" s="26"/>
      <c r="CW67" s="26" t="str">
        <f t="shared" si="33"/>
        <v>JPYx</v>
      </c>
      <c r="CX67" s="26" t="str">
        <f t="shared" si="34"/>
        <v>JPY</v>
      </c>
      <c r="CY67" s="38">
        <f t="shared" si="35"/>
        <v>0.35520624186558158</v>
      </c>
      <c r="CZ67" s="38">
        <f t="shared" si="36"/>
        <v>0.35520624186558158</v>
      </c>
      <c r="DA67" s="26"/>
      <c r="DB67" s="26"/>
      <c r="DC67" s="26"/>
      <c r="DD67" s="26"/>
      <c r="DE67" s="26"/>
      <c r="DF67" s="26"/>
      <c r="DG67" s="26"/>
      <c r="DH67" s="26"/>
      <c r="DI67" s="26"/>
      <c r="DJ67" s="26"/>
      <c r="DK67" s="26" t="s">
        <v>40</v>
      </c>
      <c r="DL67" s="26">
        <f t="shared" ref="DL67:DQ67" si="40">DL29</f>
        <v>1529970000</v>
      </c>
      <c r="DM67" s="26">
        <f t="shared" si="40"/>
        <v>1529970000</v>
      </c>
      <c r="DN67" s="31">
        <f t="shared" si="40"/>
        <v>1529970000</v>
      </c>
      <c r="DO67" s="31">
        <f t="shared" si="40"/>
        <v>12540000</v>
      </c>
      <c r="DP67" s="31">
        <f t="shared" si="40"/>
        <v>1538590000</v>
      </c>
      <c r="DQ67" s="31">
        <f t="shared" si="40"/>
        <v>-1526050000</v>
      </c>
      <c r="DR67" s="26"/>
    </row>
    <row r="68" spans="2:122" ht="15.75">
      <c r="B68" s="127" t="s">
        <v>5</v>
      </c>
      <c r="C68" s="126">
        <f>$U$35</f>
        <v>24900</v>
      </c>
      <c r="D68" s="128" t="s">
        <v>57</v>
      </c>
      <c r="E68" s="129" t="e">
        <f t="shared" si="24"/>
        <v>#VALUE!</v>
      </c>
      <c r="F68" s="130">
        <f>U38</f>
        <v>0.57872999483737741</v>
      </c>
      <c r="G68" s="124" t="e">
        <f t="shared" si="25"/>
        <v>#VALUE!</v>
      </c>
      <c r="H68" s="125">
        <f t="shared" si="26"/>
        <v>3.4285714285714284</v>
      </c>
      <c r="I68" s="126" t="e">
        <f t="shared" si="27"/>
        <v>#VALUE!</v>
      </c>
      <c r="J68" s="33"/>
      <c r="K68" s="33"/>
      <c r="L68" s="33"/>
      <c r="M68" s="33"/>
      <c r="N68" s="33"/>
      <c r="O68" s="33"/>
      <c r="P68" s="33"/>
      <c r="Q68" s="33"/>
      <c r="R68" s="33"/>
      <c r="S68" s="33"/>
      <c r="T68" s="33"/>
      <c r="U68" s="33"/>
      <c r="V68" s="33"/>
      <c r="W68" s="33"/>
      <c r="X68" s="33"/>
      <c r="Y68" s="33"/>
      <c r="Z68" s="33"/>
      <c r="AA68" s="33"/>
      <c r="AB68" s="33"/>
      <c r="AC68" s="33"/>
      <c r="AD68" s="33"/>
      <c r="AE68" s="33"/>
      <c r="AF68" s="33"/>
      <c r="AG68" s="33"/>
      <c r="AH68" s="33"/>
      <c r="CE68" s="26"/>
      <c r="CF68" s="26" t="s">
        <v>121</v>
      </c>
      <c r="CG68" s="26" t="s">
        <v>122</v>
      </c>
      <c r="CH68" s="26" t="s">
        <v>123</v>
      </c>
      <c r="CI68" s="40" t="e">
        <f>#REF!</f>
        <v>#REF!</v>
      </c>
      <c r="CJ68" s="40" t="e">
        <f>#REF!</f>
        <v>#REF!</v>
      </c>
      <c r="CK68" s="40" t="e">
        <f>#REF!</f>
        <v>#REF!</v>
      </c>
      <c r="CL68" s="40" t="e">
        <f>#REF!</f>
        <v>#REF!</v>
      </c>
      <c r="CM68" s="37" t="e">
        <f>(100*(CK68-CJ68)/(CI68-CJ68))/100</f>
        <v>#REF!</v>
      </c>
      <c r="CN68" s="37" t="e">
        <f>(CI68-CL68)/(CI68-CJ68)</f>
        <v>#REF!</v>
      </c>
      <c r="CO68" s="26"/>
      <c r="CP68" s="26" t="b">
        <f>ISERR(CM68)</f>
        <v>1</v>
      </c>
      <c r="CQ68" s="37">
        <f>IF(CP68=FALSE,CM68,0%)</f>
        <v>0</v>
      </c>
      <c r="CR68" s="26"/>
      <c r="CS68" s="26"/>
      <c r="CT68" s="26" t="s">
        <v>124</v>
      </c>
      <c r="CU68" s="140">
        <f>CQ68</f>
        <v>0</v>
      </c>
      <c r="CV68" s="26"/>
      <c r="CW68" s="26" t="str">
        <f t="shared" si="33"/>
        <v>ZARx</v>
      </c>
      <c r="CX68" s="26"/>
      <c r="CY68" s="26"/>
      <c r="CZ68" s="26"/>
      <c r="DA68" s="26"/>
      <c r="DB68" s="26"/>
      <c r="DC68" s="26"/>
      <c r="DD68" s="26"/>
      <c r="DE68" s="26"/>
      <c r="DF68" s="26"/>
      <c r="DG68" s="26"/>
      <c r="DH68" s="26"/>
      <c r="DI68" s="26"/>
      <c r="DJ68" s="26"/>
      <c r="DK68" s="26" t="s">
        <v>58</v>
      </c>
      <c r="DL68" s="26">
        <f t="shared" ref="DL68:DQ68" si="41">DL41</f>
        <v>1823100000</v>
      </c>
      <c r="DM68" s="26">
        <f t="shared" si="41"/>
        <v>1823100000</v>
      </c>
      <c r="DN68" s="31">
        <f t="shared" si="41"/>
        <v>1823100000</v>
      </c>
      <c r="DO68" s="31">
        <f t="shared" si="41"/>
        <v>22040000</v>
      </c>
      <c r="DP68" s="31">
        <f t="shared" si="41"/>
        <v>1831130000</v>
      </c>
      <c r="DQ68" s="31">
        <f t="shared" si="41"/>
        <v>-1809090000</v>
      </c>
      <c r="DR68" s="26"/>
    </row>
    <row r="69" spans="2:122" ht="15.75">
      <c r="B69" s="127" t="s">
        <v>5</v>
      </c>
      <c r="C69" s="127">
        <f>$V$35</f>
        <v>2990000</v>
      </c>
      <c r="D69" s="128" t="s">
        <v>58</v>
      </c>
      <c r="E69" s="129" t="e">
        <f t="shared" si="24"/>
        <v>#VALUE!</v>
      </c>
      <c r="F69" s="130">
        <f>V38</f>
        <v>0.63566243194192373</v>
      </c>
      <c r="G69" s="124" t="e">
        <f t="shared" si="25"/>
        <v>#VALUE!</v>
      </c>
      <c r="H69" s="125" t="e">
        <f t="shared" si="26"/>
        <v>#VALUE!</v>
      </c>
      <c r="I69" s="127" t="e">
        <f t="shared" si="27"/>
        <v>#VALUE!</v>
      </c>
      <c r="J69" s="33"/>
      <c r="K69" s="33"/>
      <c r="L69" s="33"/>
      <c r="M69" s="33"/>
      <c r="N69" s="33"/>
      <c r="O69" s="33"/>
      <c r="P69" s="33"/>
      <c r="Q69" s="33"/>
      <c r="R69" s="33"/>
      <c r="S69" s="33"/>
      <c r="T69" s="33"/>
      <c r="U69" s="33"/>
      <c r="V69" s="33"/>
      <c r="W69" s="33"/>
      <c r="X69" s="33"/>
      <c r="Y69" s="33"/>
      <c r="Z69" s="33"/>
      <c r="AA69" s="33"/>
      <c r="AB69" s="33"/>
      <c r="AC69" s="33"/>
      <c r="AD69" s="33"/>
      <c r="AE69" s="33"/>
      <c r="AF69" s="33"/>
      <c r="AG69" s="33"/>
      <c r="AH69" s="33"/>
      <c r="CE69" s="26"/>
      <c r="CF69" s="26" t="s">
        <v>125</v>
      </c>
      <c r="CG69" s="26"/>
      <c r="CH69" s="26"/>
      <c r="CI69" s="26"/>
      <c r="CJ69" s="26"/>
      <c r="CK69" s="26"/>
      <c r="CL69" s="26"/>
      <c r="CM69" s="26"/>
      <c r="CN69" s="26"/>
      <c r="CO69" s="26"/>
      <c r="CP69" s="26"/>
      <c r="CQ69" s="38"/>
      <c r="CR69" s="26"/>
      <c r="CS69" s="26"/>
      <c r="CT69" s="26"/>
      <c r="CU69" s="26"/>
      <c r="CV69" s="26"/>
      <c r="CW69" s="26"/>
      <c r="CX69" s="26"/>
      <c r="CY69" s="26"/>
      <c r="CZ69" s="26"/>
      <c r="DA69" s="26"/>
      <c r="DB69" s="26"/>
      <c r="DC69" s="26"/>
      <c r="DD69" s="26"/>
      <c r="DE69" s="26"/>
      <c r="DF69" s="26"/>
      <c r="DG69" s="26"/>
      <c r="DH69" s="26"/>
      <c r="DI69" s="26"/>
      <c r="DJ69" s="26"/>
      <c r="DK69" s="26" t="s">
        <v>45</v>
      </c>
      <c r="DL69" s="26">
        <f t="shared" ref="DL69:DQ69" si="42">DL51</f>
        <v>1038630000</v>
      </c>
      <c r="DM69" s="26">
        <f t="shared" si="42"/>
        <v>1038630000</v>
      </c>
      <c r="DN69" s="31">
        <f t="shared" si="42"/>
        <v>1038630000</v>
      </c>
      <c r="DO69" s="31">
        <f t="shared" si="42"/>
        <v>4780000</v>
      </c>
      <c r="DP69" s="31">
        <f t="shared" si="42"/>
        <v>1038630000</v>
      </c>
      <c r="DQ69" s="31">
        <f t="shared" si="42"/>
        <v>-1033850000</v>
      </c>
      <c r="DR69" s="26"/>
    </row>
    <row r="70" spans="2:122" ht="15.75">
      <c r="B70" s="127" t="s">
        <v>5</v>
      </c>
      <c r="C70" s="131">
        <f>$W$35</f>
        <v>620000</v>
      </c>
      <c r="D70" s="128" t="s">
        <v>59</v>
      </c>
      <c r="E70" s="129" t="e">
        <f t="shared" si="24"/>
        <v>#VALUE!</v>
      </c>
      <c r="F70" s="130">
        <f>W38</f>
        <v>0.37775551102204408</v>
      </c>
      <c r="G70" s="124" t="e">
        <f t="shared" si="25"/>
        <v>#VALUE!</v>
      </c>
      <c r="H70" s="125" t="e">
        <f t="shared" si="26"/>
        <v>#VALUE!</v>
      </c>
      <c r="I70" s="126" t="e">
        <f t="shared" si="27"/>
        <v>#VALUE!</v>
      </c>
      <c r="J70" s="33"/>
      <c r="K70" s="33"/>
      <c r="L70" s="33"/>
      <c r="M70" s="33"/>
      <c r="N70" s="33"/>
      <c r="O70" s="33"/>
      <c r="P70" s="33"/>
      <c r="Q70" s="33"/>
      <c r="R70" s="33"/>
      <c r="S70" s="33"/>
      <c r="T70" s="33"/>
      <c r="U70" s="33"/>
      <c r="V70" s="33"/>
      <c r="W70" s="33"/>
      <c r="X70" s="33"/>
      <c r="Y70" s="33"/>
      <c r="Z70" s="33"/>
      <c r="AA70" s="33"/>
      <c r="AB70" s="33"/>
      <c r="AC70" s="33"/>
      <c r="AD70" s="33"/>
      <c r="AE70" s="33"/>
      <c r="AF70" s="33"/>
      <c r="AG70" s="33"/>
      <c r="AH70" s="33"/>
      <c r="CE70" s="26"/>
      <c r="CF70" s="26" t="s">
        <v>126</v>
      </c>
      <c r="CG70" s="26"/>
      <c r="CH70" s="26"/>
      <c r="CI70" s="26"/>
      <c r="CJ70" s="26"/>
      <c r="CK70" s="26"/>
      <c r="CL70" s="26"/>
      <c r="CM70" s="26"/>
      <c r="CN70" s="141"/>
      <c r="CO70" s="26"/>
      <c r="CP70" s="26"/>
      <c r="CQ70" s="38"/>
      <c r="CR70" s="26"/>
      <c r="CS70" s="26"/>
      <c r="CT70" s="26"/>
      <c r="CU70" s="26"/>
      <c r="CV70" s="26"/>
      <c r="CW70" s="26"/>
      <c r="CX70" s="26"/>
      <c r="CY70" s="26" t="s">
        <v>127</v>
      </c>
      <c r="CZ70" s="26"/>
      <c r="DA70" s="26"/>
      <c r="DB70" s="26" t="s">
        <v>128</v>
      </c>
      <c r="DC70" s="26" t="s">
        <v>129</v>
      </c>
      <c r="DD70" s="26" t="s">
        <v>130</v>
      </c>
      <c r="DE70" s="26"/>
      <c r="DF70" s="26"/>
      <c r="DG70" s="26"/>
      <c r="DH70" s="26"/>
      <c r="DI70" s="26"/>
      <c r="DJ70" s="26"/>
      <c r="DK70" s="26"/>
      <c r="DL70" s="26" t="e">
        <f t="shared" ref="DL70:DQ70" si="43">SUM(DL63:DL69)</f>
        <v>#VALUE!</v>
      </c>
      <c r="DM70" s="26" t="e">
        <f t="shared" si="43"/>
        <v>#VALUE!</v>
      </c>
      <c r="DN70" s="31" t="e">
        <f t="shared" si="43"/>
        <v>#VALUE!</v>
      </c>
      <c r="DO70" s="31" t="e">
        <f t="shared" si="43"/>
        <v>#VALUE!</v>
      </c>
      <c r="DP70" s="31" t="e">
        <f t="shared" si="43"/>
        <v>#VALUE!</v>
      </c>
      <c r="DQ70" s="31" t="e">
        <f t="shared" si="43"/>
        <v>#VALUE!</v>
      </c>
      <c r="DR70" s="26"/>
    </row>
    <row r="71" spans="2:122" ht="15.75">
      <c r="B71" s="127" t="s">
        <v>9</v>
      </c>
      <c r="C71" s="127" t="e">
        <f>$X$35</f>
        <v>#VALUE!</v>
      </c>
      <c r="D71" s="128" t="s">
        <v>60</v>
      </c>
      <c r="E71" s="129" t="e">
        <f t="shared" si="24"/>
        <v>#VALUE!</v>
      </c>
      <c r="F71" s="130" t="e">
        <f>X38</f>
        <v>#VALUE!</v>
      </c>
      <c r="G71" s="124" t="e">
        <f t="shared" si="25"/>
        <v>#VALUE!</v>
      </c>
      <c r="H71" s="125" t="e">
        <f t="shared" si="26"/>
        <v>#VALUE!</v>
      </c>
      <c r="I71" s="127" t="e">
        <f t="shared" si="27"/>
        <v>#VALUE!</v>
      </c>
      <c r="J71" s="33"/>
      <c r="K71" s="33"/>
      <c r="L71" s="33"/>
      <c r="M71" s="33"/>
      <c r="N71" s="33"/>
      <c r="O71" s="33"/>
      <c r="P71" s="33"/>
      <c r="Q71" s="33"/>
      <c r="R71" s="33"/>
      <c r="S71" s="33"/>
      <c r="T71" s="33"/>
      <c r="U71" s="33"/>
      <c r="V71" s="33"/>
      <c r="W71" s="33"/>
      <c r="X71" s="33"/>
      <c r="Y71" s="33"/>
      <c r="Z71" s="33"/>
      <c r="AA71" s="33"/>
      <c r="AB71" s="33"/>
      <c r="AC71" s="33"/>
      <c r="AD71" s="33"/>
      <c r="AE71" s="33"/>
      <c r="AF71" s="33"/>
      <c r="AG71" s="33"/>
      <c r="AH71" s="33"/>
      <c r="CE71" s="26"/>
      <c r="CF71" s="26"/>
      <c r="CG71" s="26"/>
      <c r="CH71" s="26"/>
      <c r="CI71" s="26"/>
      <c r="CJ71" s="26"/>
      <c r="CK71" s="26"/>
      <c r="CL71" s="26"/>
      <c r="CM71" s="26"/>
      <c r="CN71" s="26"/>
      <c r="CO71" s="26"/>
      <c r="CP71" s="26"/>
      <c r="CQ71" s="38"/>
      <c r="CR71" s="26"/>
      <c r="CS71" s="26"/>
      <c r="CT71" s="26"/>
      <c r="CU71" s="26"/>
      <c r="CV71" s="26"/>
      <c r="CW71" s="26"/>
      <c r="CX71" s="26">
        <v>1</v>
      </c>
      <c r="CY71" s="26" t="s">
        <v>131</v>
      </c>
      <c r="CZ71" s="37">
        <f>CM40</f>
        <v>0.57872999483737741</v>
      </c>
      <c r="DA71" s="26"/>
      <c r="DB71" s="37" t="e">
        <f>LARGE(CZ71:CZ85,1)</f>
        <v>#VALUE!</v>
      </c>
      <c r="DC71" s="26" t="e">
        <f>MATCH(DB71,CZ71:CZ85,0)</f>
        <v>#VALUE!</v>
      </c>
      <c r="DD71" s="26" t="e">
        <f>VLOOKUP(DC71,CX71:CZ85,2,FALSE)</f>
        <v>#VALUE!</v>
      </c>
      <c r="DE71" s="26"/>
      <c r="DF71" s="26"/>
      <c r="DG71" s="26"/>
      <c r="DH71" s="26"/>
      <c r="DI71" s="26"/>
      <c r="DJ71" s="26"/>
      <c r="DK71" s="26" t="s">
        <v>67</v>
      </c>
      <c r="DL71" s="26"/>
      <c r="DM71" s="26"/>
      <c r="DN71" s="31" t="e">
        <f>SUM(DP70+DN70)</f>
        <v>#VALUE!</v>
      </c>
      <c r="DO71" s="31"/>
      <c r="DP71" s="31"/>
      <c r="DQ71" s="31"/>
      <c r="DR71" s="26"/>
    </row>
    <row r="72" spans="2:122" ht="15.75">
      <c r="B72" s="127" t="s">
        <v>9</v>
      </c>
      <c r="C72" s="126" t="e">
        <f>$Y$35</f>
        <v>#VALUE!</v>
      </c>
      <c r="D72" s="128" t="s">
        <v>61</v>
      </c>
      <c r="E72" s="129" t="e">
        <f t="shared" si="24"/>
        <v>#VALUE!</v>
      </c>
      <c r="F72" s="130" t="e">
        <f>Y38</f>
        <v>#VALUE!</v>
      </c>
      <c r="G72" s="124" t="e">
        <f t="shared" si="25"/>
        <v>#VALUE!</v>
      </c>
      <c r="H72" s="125" t="e">
        <f t="shared" si="26"/>
        <v>#VALUE!</v>
      </c>
      <c r="I72" s="126" t="e">
        <f t="shared" si="27"/>
        <v>#VALUE!</v>
      </c>
      <c r="J72" s="33"/>
      <c r="K72" s="33"/>
      <c r="L72" s="33"/>
      <c r="M72" s="33"/>
      <c r="N72" s="33"/>
      <c r="O72" s="33"/>
      <c r="P72" s="33"/>
      <c r="Q72" s="33"/>
      <c r="R72" s="33"/>
      <c r="S72" s="33"/>
      <c r="T72" s="33"/>
      <c r="U72" s="33"/>
      <c r="V72" s="33"/>
      <c r="W72" s="33"/>
      <c r="X72" s="33"/>
      <c r="Y72" s="33"/>
      <c r="Z72" s="33"/>
      <c r="AA72" s="33"/>
      <c r="AB72" s="33"/>
      <c r="AC72" s="33"/>
      <c r="AD72" s="33"/>
      <c r="AE72" s="33"/>
      <c r="AF72" s="33"/>
      <c r="AG72" s="33"/>
      <c r="AH72" s="33"/>
      <c r="CE72" s="26" t="s">
        <v>132</v>
      </c>
      <c r="CF72" s="26" t="s">
        <v>133</v>
      </c>
      <c r="CG72" s="26" t="s">
        <v>134</v>
      </c>
      <c r="CH72" s="26" t="s">
        <v>135</v>
      </c>
      <c r="CI72" s="26" t="str">
        <f>[2]!'#SPX'</f>
        <v>N\A</v>
      </c>
      <c r="CJ72" s="26" t="str">
        <f>[3]!'#SPX'</f>
        <v>N\A</v>
      </c>
      <c r="CK72" s="26" t="str">
        <f>[4]!'#SPX'</f>
        <v>N\A</v>
      </c>
      <c r="CL72" s="26" t="str">
        <f>[5]!'#SPX'</f>
        <v>N\A</v>
      </c>
      <c r="CM72" s="38" t="e">
        <f>(100*(CK72-CJ72)/(CI72-CJ72))/100</f>
        <v>#VALUE!</v>
      </c>
      <c r="CN72" s="38" t="e">
        <f>(CI72-CL72)/(CI72-CJ72)</f>
        <v>#VALUE!</v>
      </c>
      <c r="CO72" s="26"/>
      <c r="CP72" s="26" t="b">
        <f t="shared" si="37"/>
        <v>1</v>
      </c>
      <c r="CQ72" s="38">
        <f>IF(CP72=FALSE,CM72,0%)</f>
        <v>0</v>
      </c>
      <c r="CR72" s="26" t="s">
        <v>133</v>
      </c>
      <c r="CS72" s="26"/>
      <c r="CT72" s="26" t="s">
        <v>134</v>
      </c>
      <c r="CU72" s="38">
        <f>CQ72</f>
        <v>0</v>
      </c>
      <c r="CV72" s="26"/>
      <c r="CW72" s="26"/>
      <c r="CX72" s="26">
        <v>2</v>
      </c>
      <c r="CY72" s="26" t="s">
        <v>136</v>
      </c>
      <c r="CZ72" s="37">
        <f>CM39</f>
        <v>0.37775551102204408</v>
      </c>
      <c r="DA72" s="26"/>
      <c r="DB72" s="37" t="e">
        <f>LARGE(CZ71:CZ85,2)</f>
        <v>#VALUE!</v>
      </c>
      <c r="DC72" s="26" t="e">
        <f>MATCH(DB72,CZ71:CZ85,0)</f>
        <v>#VALUE!</v>
      </c>
      <c r="DD72" s="26" t="e">
        <f>VLOOKUP(DC72,CX71:CZ85,2,FALSE)</f>
        <v>#VALUE!</v>
      </c>
      <c r="DE72" s="26"/>
      <c r="DF72" s="26"/>
      <c r="DG72" s="26"/>
      <c r="DH72" s="26"/>
      <c r="DI72" s="26"/>
      <c r="DJ72" s="26"/>
      <c r="DK72" s="26" t="s">
        <v>68</v>
      </c>
      <c r="DL72" s="26"/>
      <c r="DM72" s="26"/>
      <c r="DN72" s="31" t="e">
        <f>SUM(DQ70-DN70)*-1</f>
        <v>#VALUE!</v>
      </c>
      <c r="DO72" s="31"/>
      <c r="DP72" s="31"/>
      <c r="DQ72" s="31"/>
      <c r="DR72" s="26"/>
    </row>
    <row r="73" spans="2:122" ht="15.75">
      <c r="B73" s="127" t="s">
        <v>9</v>
      </c>
      <c r="C73" s="135">
        <f>$Z$35</f>
        <v>14900</v>
      </c>
      <c r="D73" s="128" t="s">
        <v>62</v>
      </c>
      <c r="E73" s="129" t="e">
        <f t="shared" si="24"/>
        <v>#VALUE!</v>
      </c>
      <c r="F73" s="130">
        <f>Z38</f>
        <v>0.59357060849598153</v>
      </c>
      <c r="G73" s="124" t="e">
        <f t="shared" si="25"/>
        <v>#VALUE!</v>
      </c>
      <c r="H73" s="125">
        <f t="shared" si="26"/>
        <v>3.4285714285714284</v>
      </c>
      <c r="I73" s="127" t="e">
        <f t="shared" si="27"/>
        <v>#VALUE!</v>
      </c>
      <c r="J73" s="33"/>
      <c r="K73" s="33"/>
      <c r="L73" s="33"/>
      <c r="M73" s="33"/>
      <c r="N73" s="33"/>
      <c r="O73" s="33"/>
      <c r="P73" s="33"/>
      <c r="Q73" s="33"/>
      <c r="R73" s="33"/>
      <c r="S73" s="33"/>
      <c r="T73" s="33"/>
      <c r="U73" s="33"/>
      <c r="V73" s="33"/>
      <c r="W73" s="33"/>
      <c r="X73" s="33"/>
      <c r="Y73" s="33"/>
      <c r="Z73" s="33"/>
      <c r="AA73" s="33"/>
      <c r="AB73" s="33"/>
      <c r="AC73" s="33"/>
      <c r="AD73" s="33"/>
      <c r="AE73" s="33"/>
      <c r="AF73" s="33"/>
      <c r="AG73" s="33"/>
      <c r="AH73" s="33"/>
      <c r="CE73" s="26"/>
      <c r="CF73" s="26" t="s">
        <v>137</v>
      </c>
      <c r="CG73" s="26" t="s">
        <v>138</v>
      </c>
      <c r="CH73" s="26" t="s">
        <v>139</v>
      </c>
      <c r="CI73" s="26" t="str">
        <f>[2]!'#COMPQ'</f>
        <v>N\A</v>
      </c>
      <c r="CJ73" s="26" t="str">
        <f>[3]!'#COMPQ'</f>
        <v>N\A</v>
      </c>
      <c r="CK73" s="26" t="str">
        <f>[4]!'#COMPQ'</f>
        <v>N\A</v>
      </c>
      <c r="CL73" s="26" t="str">
        <f>[5]!'#COMPQ'</f>
        <v>N\A</v>
      </c>
      <c r="CM73" s="38" t="e">
        <f>(100*(CK73-CJ73)/(CI73-CJ73))/100</f>
        <v>#VALUE!</v>
      </c>
      <c r="CN73" s="38" t="e">
        <f>(CI73-CL73)/(CI73-CJ73)</f>
        <v>#VALUE!</v>
      </c>
      <c r="CO73" s="26"/>
      <c r="CP73" s="26" t="b">
        <f t="shared" si="37"/>
        <v>1</v>
      </c>
      <c r="CQ73" s="38">
        <f>IF(CP73=FALSE,CM73,0%)</f>
        <v>0</v>
      </c>
      <c r="CR73" s="26" t="s">
        <v>137</v>
      </c>
      <c r="CS73" s="26"/>
      <c r="CT73" s="26" t="s">
        <v>138</v>
      </c>
      <c r="CU73" s="38">
        <f>CQ73</f>
        <v>0</v>
      </c>
      <c r="CV73" s="26"/>
      <c r="CW73" s="26"/>
      <c r="CX73" s="26">
        <v>3</v>
      </c>
      <c r="CY73" s="26" t="s">
        <v>140</v>
      </c>
      <c r="CZ73" s="37">
        <f>CM55</f>
        <v>0.69149637442320366</v>
      </c>
      <c r="DA73" s="26"/>
      <c r="DB73" s="37" t="e">
        <f>LARGE(CZ71:CZ85,3)</f>
        <v>#VALUE!</v>
      </c>
      <c r="DC73" s="26" t="e">
        <f>MATCH(DB73,CZ71:CZ85,0)</f>
        <v>#VALUE!</v>
      </c>
      <c r="DD73" s="26" t="e">
        <f>VLOOKUP(DC73,CX71:CZ85,2,FALSE)</f>
        <v>#VALUE!</v>
      </c>
      <c r="DE73" s="26"/>
      <c r="DF73" s="26"/>
      <c r="DG73" s="26"/>
      <c r="DH73" s="26"/>
      <c r="DI73" s="26"/>
      <c r="DJ73" s="26"/>
      <c r="DK73" s="26"/>
      <c r="DL73" s="26"/>
      <c r="DM73" s="26"/>
      <c r="DN73" s="31"/>
      <c r="DO73" s="31"/>
      <c r="DP73" s="31"/>
      <c r="DQ73" s="31"/>
      <c r="DR73" s="26"/>
    </row>
    <row r="74" spans="2:122" ht="15.75">
      <c r="B74" s="127" t="s">
        <v>9</v>
      </c>
      <c r="C74" s="131" t="e">
        <f>$AA$35</f>
        <v>#VALUE!</v>
      </c>
      <c r="D74" s="128" t="s">
        <v>63</v>
      </c>
      <c r="E74" s="129" t="e">
        <f t="shared" si="24"/>
        <v>#VALUE!</v>
      </c>
      <c r="F74" s="130" t="e">
        <f>AA38</f>
        <v>#VALUE!</v>
      </c>
      <c r="G74" s="124" t="e">
        <f t="shared" si="25"/>
        <v>#VALUE!</v>
      </c>
      <c r="H74" s="125" t="e">
        <f t="shared" si="26"/>
        <v>#VALUE!</v>
      </c>
      <c r="I74" s="126" t="e">
        <f t="shared" si="27"/>
        <v>#VALUE!</v>
      </c>
      <c r="J74" s="33"/>
      <c r="K74" s="33"/>
      <c r="L74" s="33"/>
      <c r="M74" s="33"/>
      <c r="N74" s="33"/>
      <c r="O74" s="33"/>
      <c r="P74" s="33"/>
      <c r="Q74" s="33"/>
      <c r="R74" s="33"/>
      <c r="S74" s="33"/>
      <c r="T74" s="33"/>
      <c r="U74" s="33"/>
      <c r="V74" s="33"/>
      <c r="W74" s="33"/>
      <c r="X74" s="33"/>
      <c r="Y74" s="33"/>
      <c r="Z74" s="33"/>
      <c r="AA74" s="33"/>
      <c r="AB74" s="33"/>
      <c r="AC74" s="33"/>
      <c r="AD74" s="33"/>
      <c r="AE74" s="33"/>
      <c r="AF74" s="33"/>
      <c r="AG74" s="33"/>
      <c r="AH74" s="33"/>
      <c r="CE74" s="26"/>
      <c r="CF74" s="26" t="s">
        <v>141</v>
      </c>
      <c r="CG74" s="26" t="s">
        <v>142</v>
      </c>
      <c r="CH74" s="26" t="s">
        <v>143</v>
      </c>
      <c r="CI74" s="26" t="str">
        <f>[2]!'#INDU'</f>
        <v>N\A</v>
      </c>
      <c r="CJ74" s="26" t="str">
        <f>[3]!'#INDU'</f>
        <v>N\A</v>
      </c>
      <c r="CK74" s="26" t="str">
        <f>[4]!'#INDU'</f>
        <v>N\A</v>
      </c>
      <c r="CL74" s="26" t="str">
        <f>[5]!'#INDU'</f>
        <v>N\A</v>
      </c>
      <c r="CM74" s="38" t="e">
        <f>(100*(CK74-CJ74)/(CI74-CJ74))/100</f>
        <v>#VALUE!</v>
      </c>
      <c r="CN74" s="38" t="e">
        <f>(CI74-CL74)/(CI74-CJ74)</f>
        <v>#VALUE!</v>
      </c>
      <c r="CO74" s="26"/>
      <c r="CP74" s="26" t="b">
        <f t="shared" si="37"/>
        <v>1</v>
      </c>
      <c r="CQ74" s="38">
        <f>IF(CP74=FALSE,CM74,0%)</f>
        <v>0</v>
      </c>
      <c r="CR74" s="26" t="s">
        <v>141</v>
      </c>
      <c r="CS74" s="26"/>
      <c r="CT74" s="26" t="s">
        <v>142</v>
      </c>
      <c r="CU74" s="38">
        <f>CQ74</f>
        <v>0</v>
      </c>
      <c r="CV74" s="26"/>
      <c r="CW74" s="26"/>
      <c r="CX74" s="26">
        <v>4</v>
      </c>
      <c r="CY74" s="26" t="s">
        <v>144</v>
      </c>
      <c r="CZ74" s="37">
        <f>CM33</f>
        <v>1.4763779527559055E-2</v>
      </c>
      <c r="DA74" s="26"/>
      <c r="DB74" s="37" t="e">
        <f>LARGE(CZ71:CZ85,4)</f>
        <v>#VALUE!</v>
      </c>
      <c r="DC74" s="26" t="e">
        <f>MATCH(DB74,CZ71:CZ85,0)</f>
        <v>#VALUE!</v>
      </c>
      <c r="DD74" s="26" t="e">
        <f>VLOOKUP(DC74,CX71:CZ85,2,FALSE)</f>
        <v>#VALUE!</v>
      </c>
      <c r="DE74" s="26"/>
      <c r="DF74" s="26"/>
      <c r="DG74" s="26"/>
      <c r="DH74" s="26"/>
      <c r="DI74" s="26"/>
      <c r="DJ74" s="26"/>
      <c r="DK74" s="30" t="s">
        <v>17</v>
      </c>
      <c r="DL74" s="26" t="s">
        <v>31</v>
      </c>
      <c r="DM74" s="26" t="s">
        <v>32</v>
      </c>
      <c r="DN74" s="26" t="s">
        <v>33</v>
      </c>
      <c r="DO74" s="31" t="s">
        <v>34</v>
      </c>
      <c r="DP74" s="31" t="s">
        <v>35</v>
      </c>
      <c r="DQ74" s="31" t="s">
        <v>36</v>
      </c>
      <c r="DR74" s="26"/>
    </row>
    <row r="75" spans="2:122" ht="15.75">
      <c r="B75" s="135" t="s">
        <v>15</v>
      </c>
      <c r="C75" s="135">
        <f>$AB$35</f>
        <v>1490000</v>
      </c>
      <c r="D75" s="128" t="s">
        <v>64</v>
      </c>
      <c r="E75" s="129" t="e">
        <f t="shared" si="24"/>
        <v>#VALUE!</v>
      </c>
      <c r="F75" s="130">
        <f>AB38</f>
        <v>4.3964232488822648E-2</v>
      </c>
      <c r="G75" s="124" t="e">
        <f t="shared" si="25"/>
        <v>#VALUE!</v>
      </c>
      <c r="H75" s="125" t="e">
        <f t="shared" si="26"/>
        <v>#VALUE!</v>
      </c>
      <c r="I75" s="127" t="e">
        <f t="shared" si="27"/>
        <v>#VALUE!</v>
      </c>
      <c r="J75" s="33"/>
      <c r="K75" s="33"/>
      <c r="L75" s="33"/>
      <c r="M75" s="33"/>
      <c r="N75" s="33"/>
      <c r="O75" s="33"/>
      <c r="P75" s="33"/>
      <c r="Q75" s="33"/>
      <c r="R75" s="33"/>
      <c r="S75" s="33"/>
      <c r="T75" s="33"/>
      <c r="U75" s="33"/>
      <c r="V75" s="33"/>
      <c r="W75" s="33"/>
      <c r="X75" s="33"/>
      <c r="Y75" s="33"/>
      <c r="Z75" s="33"/>
      <c r="AA75" s="33"/>
      <c r="AB75" s="33"/>
      <c r="AC75" s="33"/>
      <c r="AD75" s="33"/>
      <c r="AE75" s="33"/>
      <c r="AF75" s="33"/>
      <c r="AG75" s="33"/>
      <c r="AH75" s="33"/>
      <c r="CE75" s="26"/>
      <c r="CF75" s="26" t="s">
        <v>145</v>
      </c>
      <c r="CG75" s="26" t="s">
        <v>146</v>
      </c>
      <c r="CH75" s="26" t="s">
        <v>147</v>
      </c>
      <c r="CI75" s="26" t="str">
        <f>[2]!'#MICEX'</f>
        <v>N\A</v>
      </c>
      <c r="CJ75" s="26" t="str">
        <f>[3]!'#MICEX'</f>
        <v>N\A</v>
      </c>
      <c r="CK75" s="26" t="str">
        <f>[4]!'#MICEX'</f>
        <v>N\A</v>
      </c>
      <c r="CL75" s="26" t="str">
        <f>[5]!'#MICEX'</f>
        <v>N\A</v>
      </c>
      <c r="CM75" s="38" t="e">
        <f>(100*(CK75-CJ75)/(CI75-CJ75))/100</f>
        <v>#VALUE!</v>
      </c>
      <c r="CN75" s="38" t="e">
        <f>(CI75-CL75)/(CI75-CJ75)</f>
        <v>#VALUE!</v>
      </c>
      <c r="CO75" s="38"/>
      <c r="CP75" s="26" t="b">
        <f t="shared" si="37"/>
        <v>1</v>
      </c>
      <c r="CQ75" s="38">
        <f>IF(CP75=FALSE,CM75,0%)</f>
        <v>0</v>
      </c>
      <c r="CR75" s="26" t="s">
        <v>145</v>
      </c>
      <c r="CS75" s="26"/>
      <c r="CT75" s="26" t="s">
        <v>146</v>
      </c>
      <c r="CU75" s="38">
        <f>CQ75</f>
        <v>0</v>
      </c>
      <c r="CV75" s="26"/>
      <c r="CW75" s="26"/>
      <c r="CX75" s="26">
        <v>5</v>
      </c>
      <c r="CY75" s="26" t="s">
        <v>148</v>
      </c>
      <c r="CZ75" s="37">
        <f>CM34</f>
        <v>0.33830275229357798</v>
      </c>
      <c r="DA75" s="26"/>
      <c r="DB75" s="37" t="e">
        <f>LARGE(CZ71:CZ85,5)</f>
        <v>#VALUE!</v>
      </c>
      <c r="DC75" s="26" t="e">
        <f>MATCH(DB75,CZ71:CZ85,0)</f>
        <v>#VALUE!</v>
      </c>
      <c r="DD75" s="26" t="e">
        <f>VLOOKUP(DC75,CX71:CZ85,2,FALSE)</f>
        <v>#VALUE!</v>
      </c>
      <c r="DE75" s="26"/>
      <c r="DF75" s="26"/>
      <c r="DG75" s="26"/>
      <c r="DH75" s="26"/>
      <c r="DI75" s="26"/>
      <c r="DJ75" s="26"/>
      <c r="DK75" s="26" t="s">
        <v>47</v>
      </c>
      <c r="DL75" s="26" t="e">
        <f>DD50</f>
        <v>#VALUE!</v>
      </c>
      <c r="DM75" s="26" t="e">
        <f>DE50</f>
        <v>#VALUE!</v>
      </c>
      <c r="DN75" s="31" t="e">
        <f t="shared" ref="DN75:DQ76" si="44">DF50</f>
        <v>#VALUE!</v>
      </c>
      <c r="DO75" s="31" t="e">
        <f t="shared" si="44"/>
        <v>#VALUE!</v>
      </c>
      <c r="DP75" s="31" t="e">
        <f t="shared" si="44"/>
        <v>#VALUE!</v>
      </c>
      <c r="DQ75" s="31" t="e">
        <f t="shared" si="44"/>
        <v>#VALUE!</v>
      </c>
      <c r="DR75" s="26"/>
    </row>
    <row r="76" spans="2:122" ht="15.75">
      <c r="B76" s="135" t="s">
        <v>15</v>
      </c>
      <c r="C76" s="131" t="e">
        <f>$AC$35</f>
        <v>#VALUE!</v>
      </c>
      <c r="D76" s="128" t="s">
        <v>65</v>
      </c>
      <c r="E76" s="129" t="e">
        <f t="shared" si="24"/>
        <v>#VALUE!</v>
      </c>
      <c r="F76" s="130" t="e">
        <f>AC38</f>
        <v>#VALUE!</v>
      </c>
      <c r="G76" s="124" t="e">
        <f t="shared" si="25"/>
        <v>#VALUE!</v>
      </c>
      <c r="H76" s="125" t="e">
        <f t="shared" si="26"/>
        <v>#VALUE!</v>
      </c>
      <c r="I76" s="127" t="e">
        <f t="shared" si="27"/>
        <v>#VALUE!</v>
      </c>
      <c r="J76" s="33"/>
      <c r="K76" s="33"/>
      <c r="L76" s="33"/>
      <c r="M76" s="33"/>
      <c r="N76" s="33"/>
      <c r="O76" s="33"/>
      <c r="P76" s="33"/>
      <c r="Q76" s="33"/>
      <c r="R76" s="33"/>
      <c r="S76" s="33"/>
      <c r="T76" s="33"/>
      <c r="U76" s="33"/>
      <c r="V76" s="33"/>
      <c r="W76" s="33"/>
      <c r="X76" s="33"/>
      <c r="Y76" s="33"/>
      <c r="Z76" s="33"/>
      <c r="AA76" s="33"/>
      <c r="AB76" s="33"/>
      <c r="AC76" s="33"/>
      <c r="AD76" s="33"/>
      <c r="AE76" s="33"/>
      <c r="AF76" s="33"/>
      <c r="AG76" s="33"/>
      <c r="AH76" s="33"/>
      <c r="CE76" s="26"/>
      <c r="CF76" s="26"/>
      <c r="CG76" s="26"/>
      <c r="CH76" s="26"/>
      <c r="CI76" s="26"/>
      <c r="CJ76" s="26"/>
      <c r="CK76" s="26"/>
      <c r="CL76" s="26"/>
      <c r="CM76" s="26"/>
      <c r="CN76" s="26"/>
      <c r="CO76" s="26"/>
      <c r="CP76" s="26"/>
      <c r="CQ76" s="38"/>
      <c r="CR76" s="26" t="s">
        <v>149</v>
      </c>
      <c r="CS76" s="26"/>
      <c r="CT76" s="26" t="s">
        <v>150</v>
      </c>
      <c r="CU76" s="38">
        <f>CQ77</f>
        <v>0</v>
      </c>
      <c r="CV76" s="26"/>
      <c r="CW76" s="26"/>
      <c r="CX76" s="26">
        <v>6</v>
      </c>
      <c r="CY76" s="26" t="s">
        <v>151</v>
      </c>
      <c r="CZ76" s="37" t="e">
        <f>CM28</f>
        <v>#VALUE!</v>
      </c>
      <c r="DA76" s="26"/>
      <c r="DB76" s="37" t="e">
        <f>LARGE(CZ71:CZ85,6)</f>
        <v>#VALUE!</v>
      </c>
      <c r="DC76" s="26" t="e">
        <f>MATCH(DB76,CZ71:CZ85,0)</f>
        <v>#VALUE!</v>
      </c>
      <c r="DD76" s="26" t="e">
        <f>VLOOKUP(DC76,CX71:CZ85,2,FALSE)</f>
        <v>#VALUE!</v>
      </c>
      <c r="DE76" s="26"/>
      <c r="DF76" s="26"/>
      <c r="DG76" s="26"/>
      <c r="DH76" s="26"/>
      <c r="DI76" s="26"/>
      <c r="DJ76" s="26"/>
      <c r="DK76" s="26" t="s">
        <v>48</v>
      </c>
      <c r="DL76" s="26">
        <f>DD51</f>
        <v>7994000</v>
      </c>
      <c r="DM76" s="26">
        <f>DE51</f>
        <v>7994000</v>
      </c>
      <c r="DN76" s="31">
        <f t="shared" si="44"/>
        <v>7994000</v>
      </c>
      <c r="DO76" s="31">
        <f t="shared" si="44"/>
        <v>140200</v>
      </c>
      <c r="DP76" s="31">
        <f t="shared" si="44"/>
        <v>8015100</v>
      </c>
      <c r="DQ76" s="31">
        <f t="shared" si="44"/>
        <v>-7874900</v>
      </c>
      <c r="DR76" s="26"/>
    </row>
    <row r="77" spans="2:122" ht="16.5" thickBot="1">
      <c r="B77" s="142" t="s">
        <v>15</v>
      </c>
      <c r="C77" s="142">
        <f>$AD$35</f>
        <v>9900</v>
      </c>
      <c r="D77" s="143" t="s">
        <v>66</v>
      </c>
      <c r="E77" s="144" t="e">
        <f t="shared" si="24"/>
        <v>#VALUE!</v>
      </c>
      <c r="F77" s="145">
        <f>AD38</f>
        <v>0.69149637442320366</v>
      </c>
      <c r="G77" s="146" t="e">
        <f t="shared" si="25"/>
        <v>#VALUE!</v>
      </c>
      <c r="H77" s="147">
        <f t="shared" si="26"/>
        <v>3.4285714285714284</v>
      </c>
      <c r="I77" s="148" t="e">
        <f t="shared" si="27"/>
        <v>#VALUE!</v>
      </c>
      <c r="J77" s="33"/>
      <c r="K77" s="33"/>
      <c r="L77" s="33"/>
      <c r="M77" s="33"/>
      <c r="N77" s="33"/>
      <c r="O77" s="33"/>
      <c r="P77" s="33"/>
      <c r="Q77" s="33"/>
      <c r="R77" s="33"/>
      <c r="S77" s="33"/>
      <c r="T77" s="33"/>
      <c r="U77" s="33"/>
      <c r="V77" s="33"/>
      <c r="W77" s="33"/>
      <c r="X77" s="33"/>
      <c r="Y77" s="33"/>
      <c r="Z77" s="33"/>
      <c r="AA77" s="33"/>
      <c r="AB77" s="33"/>
      <c r="AC77" s="33"/>
      <c r="AD77" s="33"/>
      <c r="AE77" s="33"/>
      <c r="AF77" s="33"/>
      <c r="AG77" s="33"/>
      <c r="AH77" s="33"/>
      <c r="CE77" s="26" t="s">
        <v>152</v>
      </c>
      <c r="CF77" s="26" t="s">
        <v>149</v>
      </c>
      <c r="CG77" s="26" t="s">
        <v>150</v>
      </c>
      <c r="CH77" s="26" t="s">
        <v>150</v>
      </c>
      <c r="CI77" s="26" t="str">
        <f>[2]!'#FTSE'</f>
        <v>N\A</v>
      </c>
      <c r="CJ77" s="26" t="str">
        <f>[3]!'#FTSE'</f>
        <v>N\A</v>
      </c>
      <c r="CK77" s="26" t="str">
        <f>[4]!'#FTSE'</f>
        <v>N\A</v>
      </c>
      <c r="CL77" s="26" t="str">
        <f>[5]!'#FTSE'</f>
        <v>N\A</v>
      </c>
      <c r="CM77" s="38" t="e">
        <f>(100*(CK77-CJ77)/(CI77-CJ77))/100</f>
        <v>#VALUE!</v>
      </c>
      <c r="CN77" s="38" t="e">
        <f>(CI77-CL77)/(CI77-CJ77)</f>
        <v>#VALUE!</v>
      </c>
      <c r="CO77" s="26"/>
      <c r="CP77" s="26" t="b">
        <f t="shared" si="37"/>
        <v>1</v>
      </c>
      <c r="CQ77" s="38">
        <f>IF(CP77=FALSE,CM77,0%)</f>
        <v>0</v>
      </c>
      <c r="CR77" s="26" t="s">
        <v>153</v>
      </c>
      <c r="CS77" s="26"/>
      <c r="CT77" s="26" t="s">
        <v>154</v>
      </c>
      <c r="CU77" s="38">
        <f>CQ78</f>
        <v>0</v>
      </c>
      <c r="CV77" s="26"/>
      <c r="CW77" s="26"/>
      <c r="CX77" s="26">
        <v>7</v>
      </c>
      <c r="CY77" s="26" t="s">
        <v>155</v>
      </c>
      <c r="CZ77" s="37">
        <f>CM32</f>
        <v>0.15443425076452599</v>
      </c>
      <c r="DA77" s="26"/>
      <c r="DB77" s="37" t="e">
        <f>LARGE(CZ71:CZ85,7)</f>
        <v>#VALUE!</v>
      </c>
      <c r="DC77" s="26" t="e">
        <f>MATCH(DB77,CZ71:CZ85,0)</f>
        <v>#VALUE!</v>
      </c>
      <c r="DD77" s="26" t="e">
        <f>VLOOKUP(DC77,CX71:CZ85,2,FALSE)</f>
        <v>#VALUE!</v>
      </c>
      <c r="DE77" s="26"/>
      <c r="DF77" s="26"/>
      <c r="DG77" s="26"/>
      <c r="DH77" s="26"/>
      <c r="DI77" s="26"/>
      <c r="DJ77" s="26"/>
      <c r="DK77" s="26" t="s">
        <v>50</v>
      </c>
      <c r="DL77" s="26">
        <f t="shared" ref="DL77:DQ77" si="45">DL30</f>
        <v>1447700000</v>
      </c>
      <c r="DM77" s="26">
        <f t="shared" si="45"/>
        <v>1447700000</v>
      </c>
      <c r="DN77" s="31">
        <f t="shared" si="45"/>
        <v>1447700000</v>
      </c>
      <c r="DO77" s="31">
        <f t="shared" si="45"/>
        <v>20680000</v>
      </c>
      <c r="DP77" s="31">
        <f t="shared" si="45"/>
        <v>1468340000</v>
      </c>
      <c r="DQ77" s="31">
        <f t="shared" si="45"/>
        <v>-1447660000</v>
      </c>
      <c r="DR77" s="26"/>
    </row>
    <row r="78" spans="2:122">
      <c r="B78" s="32"/>
      <c r="C78" s="33"/>
      <c r="D78" s="33"/>
      <c r="E78" s="33"/>
      <c r="F78" s="33"/>
      <c r="G78" s="33"/>
      <c r="H78" s="33"/>
      <c r="I78" s="33"/>
      <c r="J78" s="33"/>
      <c r="K78" s="33"/>
      <c r="L78" s="33"/>
      <c r="M78" s="33"/>
      <c r="N78" s="33"/>
      <c r="O78" s="33"/>
      <c r="P78" s="33"/>
      <c r="Q78" s="33"/>
      <c r="R78" s="33"/>
      <c r="S78" s="33"/>
      <c r="T78" s="33"/>
      <c r="U78" s="33"/>
      <c r="V78" s="33"/>
      <c r="W78" s="33"/>
      <c r="X78" s="33"/>
      <c r="Y78" s="33"/>
      <c r="Z78" s="33"/>
      <c r="AA78" s="33"/>
      <c r="AB78" s="33"/>
      <c r="AC78" s="33"/>
      <c r="AD78" s="33"/>
      <c r="AE78" s="33"/>
      <c r="AF78" s="33"/>
      <c r="AG78" s="33"/>
      <c r="AH78" s="33"/>
      <c r="CE78" s="26"/>
      <c r="CF78" s="26" t="s">
        <v>156</v>
      </c>
      <c r="CG78" s="26" t="s">
        <v>157</v>
      </c>
      <c r="CH78" s="26" t="s">
        <v>157</v>
      </c>
      <c r="CI78" s="26" t="str">
        <f>[2]!'#DAX'</f>
        <v>N\A</v>
      </c>
      <c r="CJ78" s="26" t="str">
        <f>[3]!'#DAX'</f>
        <v>N\A</v>
      </c>
      <c r="CK78" s="26" t="str">
        <f>[4]!'#DAX'</f>
        <v>N\A</v>
      </c>
      <c r="CL78" s="26" t="str">
        <f>[5]!'#DAX'</f>
        <v>N\A</v>
      </c>
      <c r="CM78" s="38" t="e">
        <f>(100*(CK78-CJ78)/(CI78-CJ78))/100</f>
        <v>#VALUE!</v>
      </c>
      <c r="CN78" s="38" t="e">
        <f>(CI78-CL78)/(CI78-CJ78)</f>
        <v>#VALUE!</v>
      </c>
      <c r="CO78" s="26"/>
      <c r="CP78" s="26" t="b">
        <f>ISERR(CM86)</f>
        <v>1</v>
      </c>
      <c r="CQ78" s="38">
        <f>IF(CP78=FALSE,CM86,0%)</f>
        <v>0</v>
      </c>
      <c r="CR78" s="26" t="s">
        <v>158</v>
      </c>
      <c r="CS78" s="26"/>
      <c r="CT78" s="26" t="s">
        <v>159</v>
      </c>
      <c r="CU78" s="38">
        <f>CQ79</f>
        <v>0</v>
      </c>
      <c r="CV78" s="26"/>
      <c r="CW78" s="26"/>
      <c r="CX78" s="26">
        <v>8</v>
      </c>
      <c r="CY78" s="26" t="s">
        <v>160</v>
      </c>
      <c r="CZ78" s="37" t="e">
        <f>CM54</f>
        <v>#VALUE!</v>
      </c>
      <c r="DA78" s="26"/>
      <c r="DB78" s="37" t="e">
        <f>LARGE(CZ71:CZ85,8)</f>
        <v>#VALUE!</v>
      </c>
      <c r="DC78" s="26" t="e">
        <f>MATCH(DB78,CZ71:CZ85,0)</f>
        <v>#VALUE!</v>
      </c>
      <c r="DD78" s="26" t="e">
        <f>VLOOKUP(DC78,CX71:CZ85,2,FALSE)</f>
        <v>#VALUE!</v>
      </c>
      <c r="DE78" s="26"/>
      <c r="DF78" s="26"/>
      <c r="DG78" s="26"/>
      <c r="DH78" s="26"/>
      <c r="DI78" s="26"/>
      <c r="DJ78" s="26"/>
      <c r="DK78" s="26" t="s">
        <v>55</v>
      </c>
      <c r="DL78" s="26">
        <f t="shared" ref="DL78:DQ78" si="46">DL42</f>
        <v>1725400000</v>
      </c>
      <c r="DM78" s="26">
        <f t="shared" si="46"/>
        <v>1725400000</v>
      </c>
      <c r="DN78" s="31">
        <f t="shared" si="46"/>
        <v>1725400000</v>
      </c>
      <c r="DO78" s="31">
        <f t="shared" si="46"/>
        <v>16780000</v>
      </c>
      <c r="DP78" s="31">
        <f t="shared" si="46"/>
        <v>1742120000</v>
      </c>
      <c r="DQ78" s="31">
        <f t="shared" si="46"/>
        <v>-1725340000</v>
      </c>
      <c r="DR78" s="26"/>
    </row>
    <row r="79" spans="2:122">
      <c r="B79" s="32"/>
      <c r="C79" s="33"/>
      <c r="D79" s="33"/>
      <c r="E79" s="33"/>
      <c r="F79" s="33"/>
      <c r="G79" s="33"/>
      <c r="H79" s="33"/>
      <c r="I79" s="33"/>
      <c r="J79" s="33"/>
      <c r="K79" s="33"/>
      <c r="L79" s="33"/>
      <c r="M79" s="33"/>
      <c r="N79" s="33"/>
      <c r="O79" s="33"/>
      <c r="P79" s="33"/>
      <c r="Q79" s="33"/>
      <c r="R79" s="33"/>
      <c r="S79" s="33"/>
      <c r="T79" s="33"/>
      <c r="U79" s="33"/>
      <c r="V79" s="33"/>
      <c r="W79" s="33"/>
      <c r="X79" s="33"/>
      <c r="Y79" s="33"/>
      <c r="Z79" s="33"/>
      <c r="AA79" s="33"/>
      <c r="AB79" s="33"/>
      <c r="AC79" s="33"/>
      <c r="AD79" s="33"/>
      <c r="AE79" s="33"/>
      <c r="AF79" s="33"/>
      <c r="AG79" s="33"/>
      <c r="AH79" s="33"/>
      <c r="CE79" s="26"/>
      <c r="CF79" s="26" t="s">
        <v>158</v>
      </c>
      <c r="CG79" s="26" t="s">
        <v>159</v>
      </c>
      <c r="CH79" s="26" t="s">
        <v>159</v>
      </c>
      <c r="CI79" s="26" t="str">
        <f>[2]!'#N100'</f>
        <v>N\A</v>
      </c>
      <c r="CJ79" s="26" t="str">
        <f>[3]!'#N100'</f>
        <v>N\A</v>
      </c>
      <c r="CK79" s="26" t="str">
        <f>[4]!'#N100'</f>
        <v>N\A</v>
      </c>
      <c r="CL79" s="26" t="str">
        <f>[5]!'#N100'</f>
        <v>N\A</v>
      </c>
      <c r="CM79" s="38" t="e">
        <f>(100*(CK79-CJ79)/(CI79-CJ79))/100</f>
        <v>#VALUE!</v>
      </c>
      <c r="CN79" s="38" t="e">
        <f>(CI79-CL79)/(CI79-CJ79)</f>
        <v>#VALUE!</v>
      </c>
      <c r="CO79" s="26"/>
      <c r="CP79" s="26" t="b">
        <f t="shared" si="37"/>
        <v>1</v>
      </c>
      <c r="CQ79" s="38">
        <f>IF(CP79=FALSE,CM79,0%)</f>
        <v>0</v>
      </c>
      <c r="CR79" s="26" t="s">
        <v>161</v>
      </c>
      <c r="CS79" s="26"/>
      <c r="CT79" s="26" t="s">
        <v>161</v>
      </c>
      <c r="CU79" s="38">
        <f>CQ80</f>
        <v>0</v>
      </c>
      <c r="CV79" s="26"/>
      <c r="CW79" s="26"/>
      <c r="CX79" s="26">
        <v>9</v>
      </c>
      <c r="CY79" s="26" t="s">
        <v>162</v>
      </c>
      <c r="CZ79" s="37">
        <f>CM52</f>
        <v>0.62274881516587677</v>
      </c>
      <c r="DA79" s="26"/>
      <c r="DB79" s="37" t="e">
        <f>LARGE(CZ71:CZ85,9)</f>
        <v>#VALUE!</v>
      </c>
      <c r="DC79" s="26" t="e">
        <f>MATCH(DB79,CZ71:CZ85,0)</f>
        <v>#VALUE!</v>
      </c>
      <c r="DD79" s="26" t="e">
        <f>VLOOKUP(DC79,CX71:CZ85,2,FALSE)</f>
        <v>#VALUE!</v>
      </c>
      <c r="DE79" s="26"/>
      <c r="DF79" s="26"/>
      <c r="DG79" s="26"/>
      <c r="DH79" s="26"/>
      <c r="DI79" s="26"/>
      <c r="DJ79" s="26"/>
      <c r="DK79" s="26" t="s">
        <v>42</v>
      </c>
      <c r="DL79" s="26" t="e">
        <f t="shared" ref="DL79:DQ79" si="47">DL52</f>
        <v>#VALUE!</v>
      </c>
      <c r="DM79" s="26" t="e">
        <f t="shared" si="47"/>
        <v>#VALUE!</v>
      </c>
      <c r="DN79" s="31" t="e">
        <f t="shared" si="47"/>
        <v>#VALUE!</v>
      </c>
      <c r="DO79" s="31" t="e">
        <f t="shared" si="47"/>
        <v>#VALUE!</v>
      </c>
      <c r="DP79" s="31" t="e">
        <f t="shared" si="47"/>
        <v>#VALUE!</v>
      </c>
      <c r="DQ79" s="31" t="e">
        <f t="shared" si="47"/>
        <v>#VALUE!</v>
      </c>
      <c r="DR79" s="26"/>
    </row>
    <row r="80" spans="2:122">
      <c r="CE80" s="26"/>
      <c r="CF80" s="26" t="s">
        <v>163</v>
      </c>
      <c r="CG80" s="26" t="s">
        <v>164</v>
      </c>
      <c r="CH80" s="26" t="s">
        <v>165</v>
      </c>
      <c r="CI80" s="26" t="str">
        <f>[2]!'#FTSE'</f>
        <v>N\A</v>
      </c>
      <c r="CJ80" s="26" t="str">
        <f>[3]!'#FTSE'</f>
        <v>N\A</v>
      </c>
      <c r="CK80" s="26" t="str">
        <f>[4]!'#FTSE'</f>
        <v>N\A</v>
      </c>
      <c r="CL80" s="26" t="str">
        <f>[5]!'#FTSE'</f>
        <v>N\A</v>
      </c>
      <c r="CM80" s="38" t="e">
        <f>(100*(CK80-CJ80)/(CI80-CJ80))/100</f>
        <v>#VALUE!</v>
      </c>
      <c r="CN80" s="38" t="e">
        <f>(CI80-CL80)/(CI80-CJ80)</f>
        <v>#VALUE!</v>
      </c>
      <c r="CO80" s="26"/>
      <c r="CP80" s="26" t="b">
        <f t="shared" si="37"/>
        <v>1</v>
      </c>
      <c r="CQ80" s="38">
        <f>IF(CP80=FALSE,CM80,0%)</f>
        <v>0</v>
      </c>
      <c r="CR80" s="26" t="s">
        <v>166</v>
      </c>
      <c r="CS80" s="26"/>
      <c r="CT80" s="26" t="s">
        <v>166</v>
      </c>
      <c r="CU80" s="38">
        <f>CQ81</f>
        <v>0</v>
      </c>
      <c r="CV80" s="26"/>
      <c r="CW80" s="26"/>
      <c r="CX80" s="26">
        <v>10</v>
      </c>
      <c r="CY80" s="26" t="s">
        <v>167</v>
      </c>
      <c r="CZ80" s="37">
        <f>CM53</f>
        <v>4.3964232488822655E-2</v>
      </c>
      <c r="DA80" s="26"/>
      <c r="DB80" s="37" t="e">
        <f>LARGE(CZ71:CZ85,10)</f>
        <v>#VALUE!</v>
      </c>
      <c r="DC80" s="26" t="e">
        <f>MATCH(DB80,CZ71:CZ85,0)</f>
        <v>#VALUE!</v>
      </c>
      <c r="DD80" s="26" t="e">
        <f>VLOOKUP(DC80,CX71:CZ85,2,FALSE)</f>
        <v>#VALUE!</v>
      </c>
      <c r="DE80" s="26"/>
      <c r="DF80" s="26"/>
      <c r="DG80" s="26"/>
      <c r="DH80" s="26"/>
      <c r="DI80" s="26"/>
      <c r="DJ80" s="26"/>
      <c r="DK80" s="26" t="s">
        <v>60</v>
      </c>
      <c r="DL80" s="26" t="e">
        <f t="shared" ref="DL80:DQ80" si="48">DL63</f>
        <v>#VALUE!</v>
      </c>
      <c r="DM80" s="26" t="e">
        <f t="shared" si="48"/>
        <v>#VALUE!</v>
      </c>
      <c r="DN80" s="31" t="e">
        <f t="shared" si="48"/>
        <v>#VALUE!</v>
      </c>
      <c r="DO80" s="31" t="e">
        <f t="shared" si="48"/>
        <v>#VALUE!</v>
      </c>
      <c r="DP80" s="31" t="e">
        <f t="shared" si="48"/>
        <v>#VALUE!</v>
      </c>
      <c r="DQ80" s="31" t="e">
        <f t="shared" si="48"/>
        <v>#VALUE!</v>
      </c>
      <c r="DR80" s="26"/>
    </row>
    <row r="81" spans="83:122">
      <c r="CE81" s="26"/>
      <c r="CF81" s="26" t="s">
        <v>166</v>
      </c>
      <c r="CG81" s="26" t="s">
        <v>168</v>
      </c>
      <c r="CH81" s="26" t="s">
        <v>168</v>
      </c>
      <c r="CI81" s="26" t="str">
        <f>[2]!'#CHMF'</f>
        <v>N\A</v>
      </c>
      <c r="CJ81" s="26" t="str">
        <f>[3]!'#CHMF'</f>
        <v>N\A</v>
      </c>
      <c r="CK81" s="26" t="str">
        <f>[4]!'#CHMF'</f>
        <v>N\A</v>
      </c>
      <c r="CL81" s="26" t="str">
        <f>[5]!'#CHMF'</f>
        <v>N\A</v>
      </c>
      <c r="CM81" s="38" t="e">
        <f>(100*(CK81-CJ81)/(CI81-CJ81))/100</f>
        <v>#VALUE!</v>
      </c>
      <c r="CN81" s="38" t="e">
        <f>(CI81-CL81)/(CI81-CJ81)</f>
        <v>#VALUE!</v>
      </c>
      <c r="CO81" s="38"/>
      <c r="CP81" s="26" t="b">
        <f t="shared" si="37"/>
        <v>1</v>
      </c>
      <c r="CQ81" s="38">
        <f>IF(CP81=FALSE,CM81,0%)</f>
        <v>0</v>
      </c>
      <c r="CR81" s="26" t="s">
        <v>169</v>
      </c>
      <c r="CS81" s="26"/>
      <c r="CT81" s="26" t="s">
        <v>170</v>
      </c>
      <c r="CU81" s="38">
        <f t="shared" ref="CU81:CU89" si="49">CQ83</f>
        <v>0</v>
      </c>
      <c r="CV81" s="26"/>
      <c r="CW81" s="26"/>
      <c r="CX81" s="26">
        <v>11</v>
      </c>
      <c r="CY81" s="26" t="s">
        <v>171</v>
      </c>
      <c r="CZ81" s="37">
        <f>CM51</f>
        <v>0.8495007132667618</v>
      </c>
      <c r="DA81" s="26"/>
      <c r="DB81" s="37" t="e">
        <f>LARGE(CZ71:CZ85,11)</f>
        <v>#VALUE!</v>
      </c>
      <c r="DC81" s="26" t="e">
        <f>MATCH(DB81,CZ71:CZ85,0)</f>
        <v>#VALUE!</v>
      </c>
      <c r="DD81" s="26" t="e">
        <f>VLOOKUP(DC81,CX71:CZ85,2,FALSE)</f>
        <v>#VALUE!</v>
      </c>
      <c r="DE81" s="26"/>
      <c r="DF81" s="26"/>
      <c r="DG81" s="26"/>
      <c r="DH81" s="26"/>
      <c r="DI81" s="26"/>
      <c r="DJ81" s="26"/>
      <c r="DK81" s="26" t="s">
        <v>64</v>
      </c>
      <c r="DL81" s="26">
        <f t="shared" ref="DL81:DQ81" si="50">DD53</f>
        <v>1298600000</v>
      </c>
      <c r="DM81" s="26">
        <f t="shared" si="50"/>
        <v>1298600000</v>
      </c>
      <c r="DN81" s="31">
        <f t="shared" si="50"/>
        <v>1298600000</v>
      </c>
      <c r="DO81" s="31">
        <f t="shared" si="50"/>
        <v>13420000</v>
      </c>
      <c r="DP81" s="31">
        <f t="shared" si="50"/>
        <v>1311430000</v>
      </c>
      <c r="DQ81" s="31">
        <f t="shared" si="50"/>
        <v>-1298010000</v>
      </c>
      <c r="DR81" s="26"/>
    </row>
    <row r="82" spans="83:122">
      <c r="CE82" s="26"/>
      <c r="CF82" s="26"/>
      <c r="CG82" s="26"/>
      <c r="CH82" s="26"/>
      <c r="CI82" s="26"/>
      <c r="CJ82" s="26"/>
      <c r="CK82" s="26"/>
      <c r="CL82" s="26"/>
      <c r="CM82" s="26"/>
      <c r="CN82" s="26"/>
      <c r="CO82" s="26"/>
      <c r="CP82" s="26"/>
      <c r="CQ82" s="38"/>
      <c r="CR82" s="26" t="s">
        <v>172</v>
      </c>
      <c r="CS82" s="26"/>
      <c r="CT82" s="26" t="s">
        <v>173</v>
      </c>
      <c r="CU82" s="38">
        <f t="shared" si="49"/>
        <v>0</v>
      </c>
      <c r="CV82" s="26"/>
      <c r="CW82" s="26"/>
      <c r="CX82" s="26">
        <v>12</v>
      </c>
      <c r="CY82" s="26" t="s">
        <v>174</v>
      </c>
      <c r="CZ82" s="37">
        <f>CM45</f>
        <v>0.83920704845814975</v>
      </c>
      <c r="DA82" s="26"/>
      <c r="DB82" s="37" t="e">
        <f>LARGE(CZ71:CZ85,12)</f>
        <v>#VALUE!</v>
      </c>
      <c r="DC82" s="26" t="e">
        <f>MATCH(DB82,CZ71:CZ85,0)</f>
        <v>#VALUE!</v>
      </c>
      <c r="DD82" s="26" t="e">
        <f>VLOOKUP(DC82,CX71:CZ85,2,FALSE)</f>
        <v>#VALUE!</v>
      </c>
      <c r="DE82" s="26"/>
      <c r="DF82" s="26"/>
      <c r="DG82" s="26"/>
      <c r="DH82" s="26"/>
      <c r="DI82" s="26"/>
      <c r="DJ82" s="26"/>
      <c r="DK82" s="26"/>
      <c r="DL82" s="26" t="e">
        <f t="shared" ref="DL82:DQ82" si="51">SUM(DL75:DL81)</f>
        <v>#VALUE!</v>
      </c>
      <c r="DM82" s="26" t="e">
        <f t="shared" si="51"/>
        <v>#VALUE!</v>
      </c>
      <c r="DN82" s="31" t="e">
        <f t="shared" si="51"/>
        <v>#VALUE!</v>
      </c>
      <c r="DO82" s="31" t="e">
        <f t="shared" si="51"/>
        <v>#VALUE!</v>
      </c>
      <c r="DP82" s="31" t="e">
        <f t="shared" si="51"/>
        <v>#VALUE!</v>
      </c>
      <c r="DQ82" s="31" t="e">
        <f t="shared" si="51"/>
        <v>#VALUE!</v>
      </c>
      <c r="DR82" s="26"/>
    </row>
    <row r="83" spans="83:122">
      <c r="CE83" s="26" t="s">
        <v>175</v>
      </c>
      <c r="CF83" s="26" t="s">
        <v>169</v>
      </c>
      <c r="CG83" s="26" t="s">
        <v>170</v>
      </c>
      <c r="CH83" s="26" t="s">
        <v>170</v>
      </c>
      <c r="CI83" s="26" t="str">
        <f>[2]!'#TRNFP'</f>
        <v>N\A</v>
      </c>
      <c r="CJ83" s="26" t="str">
        <f>[3]!'#TRNFP'</f>
        <v>N\A</v>
      </c>
      <c r="CK83" s="26" t="str">
        <f>[4]!'#TRNFP'</f>
        <v>N\A</v>
      </c>
      <c r="CL83" s="26" t="str">
        <f>[5]!'#TRNFP'</f>
        <v>N\A</v>
      </c>
      <c r="CM83" s="38" t="e">
        <f t="shared" ref="CM83:CM91" si="52">(100*(CK83-CJ83)/(CI83-CJ83))/100</f>
        <v>#VALUE!</v>
      </c>
      <c r="CN83" s="38" t="e">
        <f t="shared" ref="CN83:CN91" si="53">(CI83-CL83)/(CI83-CJ83)</f>
        <v>#VALUE!</v>
      </c>
      <c r="CO83" s="26"/>
      <c r="CP83" s="26" t="b">
        <f t="shared" si="37"/>
        <v>1</v>
      </c>
      <c r="CQ83" s="38">
        <f t="shared" ref="CQ83:CQ91" si="54">IF(CP83=FALSE,CM83,0%)</f>
        <v>0</v>
      </c>
      <c r="CR83" s="26" t="s">
        <v>163</v>
      </c>
      <c r="CS83" s="26"/>
      <c r="CT83" s="26" t="s">
        <v>164</v>
      </c>
      <c r="CU83" s="38">
        <f t="shared" si="49"/>
        <v>0</v>
      </c>
      <c r="CV83" s="26"/>
      <c r="CW83" s="26"/>
      <c r="CX83" s="26">
        <v>13</v>
      </c>
      <c r="CY83" s="26" t="s">
        <v>176</v>
      </c>
      <c r="CZ83" s="37" t="e">
        <f>CM44</f>
        <v>#VALUE!</v>
      </c>
      <c r="DA83" s="26"/>
      <c r="DB83" s="37" t="e">
        <f>LARGE(CZ71:CZ85,13)</f>
        <v>#VALUE!</v>
      </c>
      <c r="DC83" s="26" t="e">
        <f>MATCH(DB83,CZ71:CZ85,0)</f>
        <v>#VALUE!</v>
      </c>
      <c r="DD83" s="26" t="e">
        <f>VLOOKUP(DC83,CX71:CZ85,2,FALSE)</f>
        <v>#VALUE!</v>
      </c>
      <c r="DE83" s="26"/>
      <c r="DF83" s="26"/>
      <c r="DG83" s="26"/>
      <c r="DH83" s="26"/>
      <c r="DI83" s="26"/>
      <c r="DJ83" s="26"/>
      <c r="DK83" s="26" t="s">
        <v>67</v>
      </c>
      <c r="DL83" s="26"/>
      <c r="DM83" s="26"/>
      <c r="DN83" s="31" t="e">
        <f>SUM(DP82+DN82)</f>
        <v>#VALUE!</v>
      </c>
      <c r="DO83" s="31"/>
      <c r="DP83" s="31"/>
      <c r="DQ83" s="31"/>
      <c r="DR83" s="26"/>
    </row>
    <row r="84" spans="83:122">
      <c r="CE84" s="26"/>
      <c r="CF84" s="26" t="s">
        <v>172</v>
      </c>
      <c r="CG84" s="26" t="s">
        <v>173</v>
      </c>
      <c r="CH84" s="26" t="s">
        <v>173</v>
      </c>
      <c r="CI84" s="26" t="str">
        <f>[2]!'#FEES'</f>
        <v>N\A</v>
      </c>
      <c r="CJ84" s="26" t="str">
        <f>[3]!'#FEES'</f>
        <v>N\A</v>
      </c>
      <c r="CK84" s="26" t="str">
        <f>[4]!'#FEES'</f>
        <v>N\A</v>
      </c>
      <c r="CL84" s="26" t="str">
        <f>[5]!'#FEES'</f>
        <v>N\A</v>
      </c>
      <c r="CM84" s="38" t="e">
        <f t="shared" si="52"/>
        <v>#VALUE!</v>
      </c>
      <c r="CN84" s="38" t="e">
        <f t="shared" si="53"/>
        <v>#VALUE!</v>
      </c>
      <c r="CO84" s="26"/>
      <c r="CP84" s="26" t="b">
        <f t="shared" si="37"/>
        <v>1</v>
      </c>
      <c r="CQ84" s="38">
        <f t="shared" si="54"/>
        <v>0</v>
      </c>
      <c r="CR84" s="26" t="s">
        <v>156</v>
      </c>
      <c r="CS84" s="26"/>
      <c r="CT84" s="26" t="s">
        <v>157</v>
      </c>
      <c r="CU84" s="38">
        <f t="shared" si="49"/>
        <v>0</v>
      </c>
      <c r="CV84" s="26"/>
      <c r="CW84" s="26"/>
      <c r="CX84" s="26">
        <v>14</v>
      </c>
      <c r="CY84" s="26" t="s">
        <v>177</v>
      </c>
      <c r="CZ84" s="37" t="e">
        <f>CM48</f>
        <v>#VALUE!</v>
      </c>
      <c r="DA84" s="26"/>
      <c r="DB84" s="37" t="e">
        <f>LARGE(CZ71:CZ85,14)</f>
        <v>#VALUE!</v>
      </c>
      <c r="DC84" s="26" t="e">
        <f>MATCH(DB84,CZ71:CZ85,0)</f>
        <v>#VALUE!</v>
      </c>
      <c r="DD84" s="26" t="e">
        <f>VLOOKUP(DC84,CX71:CZ85,2,FALSE)</f>
        <v>#VALUE!</v>
      </c>
      <c r="DE84" s="26"/>
      <c r="DF84" s="26"/>
      <c r="DG84" s="26"/>
      <c r="DH84" s="26"/>
      <c r="DI84" s="26"/>
      <c r="DJ84" s="26"/>
      <c r="DK84" s="26" t="s">
        <v>68</v>
      </c>
      <c r="DL84" s="26"/>
      <c r="DM84" s="26"/>
      <c r="DN84" s="31" t="e">
        <f>SUM(DQ82-DN82)*-1</f>
        <v>#VALUE!</v>
      </c>
      <c r="DO84" s="31"/>
      <c r="DP84" s="31"/>
      <c r="DQ84" s="31"/>
      <c r="DR84" s="26"/>
    </row>
    <row r="85" spans="83:122">
      <c r="CE85" s="26"/>
      <c r="CF85" s="26" t="s">
        <v>161</v>
      </c>
      <c r="CG85" s="26" t="s">
        <v>164</v>
      </c>
      <c r="CH85" s="26" t="s">
        <v>164</v>
      </c>
      <c r="CI85" s="26" t="str">
        <f>[2]!'#FTSE'</f>
        <v>N\A</v>
      </c>
      <c r="CJ85" s="26" t="str">
        <f>[3]!'#FTSE'</f>
        <v>N\A</v>
      </c>
      <c r="CK85" s="26" t="str">
        <f>[4]!'#FTSE'</f>
        <v>N\A</v>
      </c>
      <c r="CL85" s="26" t="str">
        <f>[5]!'#FTSE'</f>
        <v>N\A</v>
      </c>
      <c r="CM85" s="38" t="e">
        <f>(100*(CK80-CJ80)/(CI80-CJ80))/100</f>
        <v>#VALUE!</v>
      </c>
      <c r="CN85" s="38" t="e">
        <f>(CI80-CL80)/(CI80-CJ80)</f>
        <v>#VALUE!</v>
      </c>
      <c r="CO85" s="26"/>
      <c r="CP85" s="26" t="b">
        <f t="shared" si="37"/>
        <v>1</v>
      </c>
      <c r="CQ85" s="38">
        <f t="shared" si="54"/>
        <v>0</v>
      </c>
      <c r="CR85" s="26" t="s">
        <v>178</v>
      </c>
      <c r="CS85" s="26"/>
      <c r="CT85" s="26" t="s">
        <v>168</v>
      </c>
      <c r="CU85" s="38">
        <f t="shared" si="49"/>
        <v>0</v>
      </c>
      <c r="CV85" s="26"/>
      <c r="CW85" s="26"/>
      <c r="CX85" s="26">
        <v>15</v>
      </c>
      <c r="CY85" s="26" t="s">
        <v>179</v>
      </c>
      <c r="CZ85" s="37">
        <f>CM49</f>
        <v>0.59357060849598164</v>
      </c>
      <c r="DA85" s="26"/>
      <c r="DB85" s="37" t="e">
        <f>LARGE(CZ71:CZ85,15)</f>
        <v>#VALUE!</v>
      </c>
      <c r="DC85" s="26" t="e">
        <f>MATCH(DB85,CZ71:CZ85,0)</f>
        <v>#VALUE!</v>
      </c>
      <c r="DD85" s="26" t="e">
        <f>VLOOKUP(DC85,CX71:CZ85,2,FALSE)</f>
        <v>#VALUE!</v>
      </c>
      <c r="DE85" s="26"/>
      <c r="DF85" s="26"/>
      <c r="DG85" s="26"/>
      <c r="DH85" s="26"/>
      <c r="DI85" s="26"/>
      <c r="DJ85" s="26"/>
      <c r="DK85" s="26"/>
      <c r="DL85" s="26"/>
      <c r="DM85" s="26"/>
      <c r="DN85" s="31"/>
      <c r="DO85" s="31"/>
      <c r="DP85" s="31"/>
      <c r="DQ85" s="31"/>
      <c r="DR85" s="26"/>
    </row>
    <row r="86" spans="83:122">
      <c r="CE86" s="26"/>
      <c r="CF86" s="26" t="s">
        <v>180</v>
      </c>
      <c r="CG86" s="26" t="s">
        <v>181</v>
      </c>
      <c r="CH86" s="26" t="s">
        <v>181</v>
      </c>
      <c r="CI86" s="26" t="str">
        <f>[2]!'#DAX'</f>
        <v>N\A</v>
      </c>
      <c r="CJ86" s="26" t="str">
        <f>[3]!'#DAX'</f>
        <v>N\A</v>
      </c>
      <c r="CK86" s="26" t="str">
        <f>[4]!'#DAX'</f>
        <v>N\A</v>
      </c>
      <c r="CL86" s="26" t="str">
        <f>[5]!'#DAX'</f>
        <v>N\A</v>
      </c>
      <c r="CM86" s="38" t="e">
        <f t="shared" si="52"/>
        <v>#VALUE!</v>
      </c>
      <c r="CN86" s="38" t="e">
        <f t="shared" si="53"/>
        <v>#VALUE!</v>
      </c>
      <c r="CO86" s="26"/>
      <c r="CP86" s="26" t="b">
        <f>ISERR(CM78)</f>
        <v>1</v>
      </c>
      <c r="CQ86" s="38">
        <f>IF(CP86=FALSE,CM78,0%)</f>
        <v>0</v>
      </c>
      <c r="CR86" s="26" t="s">
        <v>182</v>
      </c>
      <c r="CS86" s="26"/>
      <c r="CT86" s="26" t="s">
        <v>183</v>
      </c>
      <c r="CU86" s="38">
        <f t="shared" si="49"/>
        <v>0</v>
      </c>
      <c r="CV86" s="26"/>
      <c r="CW86" s="26"/>
      <c r="CX86" s="26"/>
      <c r="CY86" s="26"/>
      <c r="CZ86" s="26"/>
      <c r="DA86" s="26"/>
      <c r="DB86" s="39"/>
      <c r="DC86" s="26"/>
      <c r="DD86" s="26"/>
      <c r="DE86" s="26"/>
      <c r="DF86" s="26"/>
      <c r="DG86" s="26"/>
      <c r="DH86" s="26"/>
      <c r="DI86" s="26"/>
      <c r="DJ86" s="26"/>
      <c r="DK86" s="30" t="s">
        <v>184</v>
      </c>
      <c r="DL86" s="26" t="s">
        <v>31</v>
      </c>
      <c r="DM86" s="26" t="s">
        <v>32</v>
      </c>
      <c r="DN86" s="26" t="s">
        <v>33</v>
      </c>
      <c r="DO86" s="31" t="s">
        <v>34</v>
      </c>
      <c r="DP86" s="31" t="s">
        <v>35</v>
      </c>
      <c r="DQ86" s="31" t="s">
        <v>36</v>
      </c>
      <c r="DR86" s="26"/>
    </row>
    <row r="87" spans="83:122">
      <c r="CE87" s="26"/>
      <c r="CF87" s="26" t="s">
        <v>185</v>
      </c>
      <c r="CG87" s="26" t="s">
        <v>186</v>
      </c>
      <c r="CH87" s="26" t="s">
        <v>186</v>
      </c>
      <c r="CI87" s="26" t="str">
        <f>[2]!'#PLZL'</f>
        <v>N\A</v>
      </c>
      <c r="CJ87" s="26" t="str">
        <f>[3]!'#PLZL'</f>
        <v>N\A</v>
      </c>
      <c r="CK87" s="26" t="str">
        <f>[4]!'#PLZL'</f>
        <v>N\A</v>
      </c>
      <c r="CL87" s="26" t="str">
        <f>[5]!'#PLZL'</f>
        <v>N\A</v>
      </c>
      <c r="CM87" s="38" t="e">
        <f>(100*(CK87-CJ87)/(CI87-CJ87))/100</f>
        <v>#VALUE!</v>
      </c>
      <c r="CN87" s="38" t="e">
        <f>(CI87-CL87)/(CI87-CJ87)</f>
        <v>#VALUE!</v>
      </c>
      <c r="CO87" s="26"/>
      <c r="CP87" s="26" t="b">
        <f t="shared" si="37"/>
        <v>1</v>
      </c>
      <c r="CQ87" s="38">
        <f t="shared" si="54"/>
        <v>0</v>
      </c>
      <c r="CR87" s="26" t="s">
        <v>187</v>
      </c>
      <c r="CS87" s="26"/>
      <c r="CT87" s="26" t="s">
        <v>188</v>
      </c>
      <c r="CU87" s="38">
        <f t="shared" si="49"/>
        <v>0</v>
      </c>
      <c r="CV87" s="26"/>
      <c r="CW87" s="26"/>
      <c r="CX87" s="26">
        <v>1</v>
      </c>
      <c r="CY87" s="39">
        <f>CN40</f>
        <v>0.29272070211667528</v>
      </c>
      <c r="CZ87" s="39">
        <f>CM40</f>
        <v>0.57872999483737741</v>
      </c>
      <c r="DA87" s="26"/>
      <c r="DB87" s="39" t="e">
        <f>LARGE(CZ87:CZ101,1)</f>
        <v>#VALUE!</v>
      </c>
      <c r="DC87" s="26" t="e">
        <f>MATCH(DB87,CZ87:CZ101,0)</f>
        <v>#VALUE!</v>
      </c>
      <c r="DD87" s="39" t="e">
        <f>VLOOKUP(DC87,CX87:CZ101,2,FALSE)</f>
        <v>#VALUE!</v>
      </c>
      <c r="DE87" s="26"/>
      <c r="DF87" s="26"/>
      <c r="DG87" s="26"/>
      <c r="DH87" s="26"/>
      <c r="DI87" s="26"/>
      <c r="DJ87" s="26"/>
      <c r="DK87" s="26" t="s">
        <v>49</v>
      </c>
      <c r="DL87" s="26">
        <f t="shared" ref="DL87:DQ87" si="55">DD52</f>
        <v>10591400</v>
      </c>
      <c r="DM87" s="26">
        <f t="shared" si="55"/>
        <v>10591400</v>
      </c>
      <c r="DN87" s="31">
        <f t="shared" si="55"/>
        <v>10591400</v>
      </c>
      <c r="DO87" s="31">
        <f t="shared" si="55"/>
        <v>105500</v>
      </c>
      <c r="DP87" s="31">
        <f t="shared" si="55"/>
        <v>10631200</v>
      </c>
      <c r="DQ87" s="31">
        <f t="shared" si="55"/>
        <v>-10525700</v>
      </c>
      <c r="DR87" s="26"/>
    </row>
    <row r="88" spans="83:122">
      <c r="CE88" s="26"/>
      <c r="CF88" s="26" t="s">
        <v>182</v>
      </c>
      <c r="CG88" s="26" t="s">
        <v>183</v>
      </c>
      <c r="CH88" s="26" t="s">
        <v>183</v>
      </c>
      <c r="CI88" s="26" t="str">
        <f>[2]!'#N100'</f>
        <v>N\A</v>
      </c>
      <c r="CJ88" s="26" t="str">
        <f>[3]!'#N100'</f>
        <v>N\A</v>
      </c>
      <c r="CK88" s="26" t="str">
        <f>[4]!'#N100'</f>
        <v>N\A</v>
      </c>
      <c r="CL88" s="26" t="str">
        <f>[5]!'#N100'</f>
        <v>N\A</v>
      </c>
      <c r="CM88" s="38" t="e">
        <f t="shared" si="52"/>
        <v>#VALUE!</v>
      </c>
      <c r="CN88" s="38" t="e">
        <f t="shared" si="53"/>
        <v>#VALUE!</v>
      </c>
      <c r="CO88" s="26"/>
      <c r="CP88" s="26" t="b">
        <f t="shared" si="37"/>
        <v>1</v>
      </c>
      <c r="CQ88" s="38">
        <f t="shared" si="54"/>
        <v>0</v>
      </c>
      <c r="CR88" s="26" t="s">
        <v>189</v>
      </c>
      <c r="CS88" s="26"/>
      <c r="CT88" s="26" t="s">
        <v>190</v>
      </c>
      <c r="CU88" s="38">
        <f t="shared" si="49"/>
        <v>0</v>
      </c>
      <c r="CV88" s="26"/>
      <c r="CW88" s="26"/>
      <c r="CX88" s="26">
        <v>2</v>
      </c>
      <c r="CY88" s="39">
        <f>CN39</f>
        <v>0.56012024048096187</v>
      </c>
      <c r="CZ88" s="39">
        <f>CM39</f>
        <v>0.37775551102204408</v>
      </c>
      <c r="DA88" s="26"/>
      <c r="DB88" s="39" t="e">
        <f>LARGE(CZ87:CZ101,2)</f>
        <v>#VALUE!</v>
      </c>
      <c r="DC88" s="26" t="e">
        <f>MATCH(DB88,CZ87:CZ101,0)</f>
        <v>#VALUE!</v>
      </c>
      <c r="DD88" s="39" t="e">
        <f>VLOOKUP(DC88,CX87:CZ101,2,FALSE)</f>
        <v>#VALUE!</v>
      </c>
      <c r="DE88" s="26"/>
      <c r="DF88" s="26"/>
      <c r="DG88" s="26"/>
      <c r="DH88" s="26"/>
      <c r="DI88" s="26"/>
      <c r="DJ88" s="26"/>
      <c r="DK88" s="26" t="s">
        <v>51</v>
      </c>
      <c r="DL88" s="26">
        <f t="shared" ref="DL88:DQ88" si="56">DL31</f>
        <v>1092670000</v>
      </c>
      <c r="DM88" s="26">
        <f t="shared" si="56"/>
        <v>1092670000</v>
      </c>
      <c r="DN88" s="31">
        <f t="shared" si="56"/>
        <v>1092670000</v>
      </c>
      <c r="DO88" s="31">
        <f t="shared" si="56"/>
        <v>6540000</v>
      </c>
      <c r="DP88" s="31">
        <f t="shared" si="56"/>
        <v>1098200000</v>
      </c>
      <c r="DQ88" s="31">
        <f t="shared" si="56"/>
        <v>-1091660000</v>
      </c>
      <c r="DR88" s="26"/>
    </row>
    <row r="89" spans="83:122">
      <c r="CE89" s="26"/>
      <c r="CF89" s="26" t="s">
        <v>187</v>
      </c>
      <c r="CG89" s="26" t="s">
        <v>188</v>
      </c>
      <c r="CH89" s="26" t="s">
        <v>188</v>
      </c>
      <c r="CI89" s="26" t="str">
        <f>[2]!'#DAX'</f>
        <v>N\A</v>
      </c>
      <c r="CJ89" s="26" t="str">
        <f>[3]!'#DAX'</f>
        <v>N\A</v>
      </c>
      <c r="CK89" s="26" t="str">
        <f>[4]!'#DAX'</f>
        <v>N\A</v>
      </c>
      <c r="CL89" s="26" t="str">
        <f>[5]!'#DAX'</f>
        <v>N\A</v>
      </c>
      <c r="CM89" s="38" t="e">
        <f t="shared" si="52"/>
        <v>#VALUE!</v>
      </c>
      <c r="CN89" s="38" t="e">
        <f t="shared" si="53"/>
        <v>#VALUE!</v>
      </c>
      <c r="CO89" s="26"/>
      <c r="CP89" s="26" t="b">
        <f t="shared" si="37"/>
        <v>1</v>
      </c>
      <c r="CQ89" s="38">
        <f t="shared" si="54"/>
        <v>0</v>
      </c>
      <c r="CR89" s="26" t="s">
        <v>191</v>
      </c>
      <c r="CS89" s="26"/>
      <c r="CT89" s="26" t="s">
        <v>192</v>
      </c>
      <c r="CU89" s="38">
        <f t="shared" si="49"/>
        <v>0</v>
      </c>
      <c r="CV89" s="26"/>
      <c r="CW89" s="26"/>
      <c r="CX89" s="26">
        <v>3</v>
      </c>
      <c r="CY89" s="39">
        <f>CN55</f>
        <v>0.24324324324324326</v>
      </c>
      <c r="CZ89" s="39">
        <f>CM55</f>
        <v>0.69149637442320366</v>
      </c>
      <c r="DA89" s="26"/>
      <c r="DB89" s="39" t="e">
        <f>LARGE(CZ87:CZ101,3)</f>
        <v>#VALUE!</v>
      </c>
      <c r="DC89" s="26" t="e">
        <f>MATCH(DB89,CZ87:CZ101,0)</f>
        <v>#VALUE!</v>
      </c>
      <c r="DD89" s="39" t="e">
        <f>VLOOKUP(DC89,CX87:CZ101,2,FALSE)</f>
        <v>#VALUE!</v>
      </c>
      <c r="DE89" s="26"/>
      <c r="DF89" s="26"/>
      <c r="DG89" s="26"/>
      <c r="DH89" s="26"/>
      <c r="DI89" s="26"/>
      <c r="DJ89" s="26"/>
      <c r="DK89" s="26" t="s">
        <v>56</v>
      </c>
      <c r="DL89" s="26">
        <f t="shared" ref="DL89:DQ89" si="57">DL43</f>
        <v>1302520000</v>
      </c>
      <c r="DM89" s="26">
        <f t="shared" si="57"/>
        <v>1302520000</v>
      </c>
      <c r="DN89" s="31">
        <f t="shared" si="57"/>
        <v>1302520000</v>
      </c>
      <c r="DO89" s="31">
        <f t="shared" si="57"/>
        <v>9910000</v>
      </c>
      <c r="DP89" s="31">
        <f t="shared" si="57"/>
        <v>1306990000</v>
      </c>
      <c r="DQ89" s="31">
        <f t="shared" si="57"/>
        <v>-1297080000</v>
      </c>
      <c r="DR89" s="26"/>
    </row>
    <row r="90" spans="83:122">
      <c r="CE90" s="26"/>
      <c r="CF90" s="26" t="s">
        <v>189</v>
      </c>
      <c r="CG90" s="26" t="s">
        <v>190</v>
      </c>
      <c r="CH90" s="26" t="s">
        <v>190</v>
      </c>
      <c r="CI90" s="26" t="str">
        <f>[2]!'#MICEX'</f>
        <v>N\A</v>
      </c>
      <c r="CJ90" s="26" t="str">
        <f>[3]!'#MICEX'</f>
        <v>N\A</v>
      </c>
      <c r="CK90" s="26" t="str">
        <f>[4]!'#MICEX'</f>
        <v>N\A</v>
      </c>
      <c r="CL90" s="26" t="str">
        <f>[5]!'#MICEX'</f>
        <v>N\A</v>
      </c>
      <c r="CM90" s="38" t="e">
        <f t="shared" si="52"/>
        <v>#VALUE!</v>
      </c>
      <c r="CN90" s="38" t="e">
        <f t="shared" si="53"/>
        <v>#VALUE!</v>
      </c>
      <c r="CO90" s="26"/>
      <c r="CP90" s="26" t="b">
        <f t="shared" si="37"/>
        <v>1</v>
      </c>
      <c r="CQ90" s="38">
        <f t="shared" si="54"/>
        <v>0</v>
      </c>
      <c r="CR90" s="26" t="s">
        <v>193</v>
      </c>
      <c r="CS90" s="26"/>
      <c r="CT90" s="26" t="s">
        <v>194</v>
      </c>
      <c r="CU90" s="38">
        <f>CQ93</f>
        <v>0</v>
      </c>
      <c r="CV90" s="26"/>
      <c r="CW90" s="26"/>
      <c r="CX90" s="26">
        <v>4</v>
      </c>
      <c r="CY90" s="39">
        <f>CN33</f>
        <v>0.90354330708661412</v>
      </c>
      <c r="CZ90" s="39">
        <f>CM33</f>
        <v>1.4763779527559055E-2</v>
      </c>
      <c r="DA90" s="26"/>
      <c r="DB90" s="39" t="e">
        <f>LARGE(CZ87:CZ101,4)</f>
        <v>#VALUE!</v>
      </c>
      <c r="DC90" s="26" t="e">
        <f>MATCH(DB90,CZ87:CZ101,0)</f>
        <v>#VALUE!</v>
      </c>
      <c r="DD90" s="39" t="e">
        <f>VLOOKUP(DC90,CX87:CZ101,2,FALSE)</f>
        <v>#VALUE!</v>
      </c>
      <c r="DE90" s="26"/>
      <c r="DF90" s="26"/>
      <c r="DG90" s="26"/>
      <c r="DH90" s="26"/>
      <c r="DI90" s="26"/>
      <c r="DJ90" s="26"/>
      <c r="DK90" s="26" t="s">
        <v>43</v>
      </c>
      <c r="DL90" s="26" t="e">
        <f t="shared" ref="DL90:DQ90" si="58">DL53</f>
        <v>#VALUE!</v>
      </c>
      <c r="DM90" s="26" t="e">
        <f t="shared" si="58"/>
        <v>#VALUE!</v>
      </c>
      <c r="DN90" s="31" t="e">
        <f t="shared" si="58"/>
        <v>#VALUE!</v>
      </c>
      <c r="DO90" s="31" t="e">
        <f t="shared" si="58"/>
        <v>#VALUE!</v>
      </c>
      <c r="DP90" s="31" t="e">
        <f t="shared" si="58"/>
        <v>#VALUE!</v>
      </c>
      <c r="DQ90" s="31" t="e">
        <f t="shared" si="58"/>
        <v>#VALUE!</v>
      </c>
      <c r="DR90" s="26"/>
    </row>
    <row r="91" spans="83:122">
      <c r="CE91" s="26"/>
      <c r="CF91" s="26" t="s">
        <v>191</v>
      </c>
      <c r="CG91" s="26" t="s">
        <v>192</v>
      </c>
      <c r="CH91" s="26" t="s">
        <v>192</v>
      </c>
      <c r="CI91" s="26" t="str">
        <f>[2]!'#FTSE'</f>
        <v>N\A</v>
      </c>
      <c r="CJ91" s="26" t="str">
        <f>[3]!'#FTSE'</f>
        <v>N\A</v>
      </c>
      <c r="CK91" s="26" t="str">
        <f>[4]!'#FTSE'</f>
        <v>N\A</v>
      </c>
      <c r="CL91" s="26" t="str">
        <f>[5]!'#FTSE'</f>
        <v>N\A</v>
      </c>
      <c r="CM91" s="38" t="e">
        <f t="shared" si="52"/>
        <v>#VALUE!</v>
      </c>
      <c r="CN91" s="38" t="e">
        <f t="shared" si="53"/>
        <v>#VALUE!</v>
      </c>
      <c r="CO91" s="38"/>
      <c r="CP91" s="26" t="b">
        <f t="shared" si="37"/>
        <v>1</v>
      </c>
      <c r="CQ91" s="38">
        <f t="shared" si="54"/>
        <v>0</v>
      </c>
      <c r="CR91" s="26" t="s">
        <v>195</v>
      </c>
      <c r="CS91" s="26"/>
      <c r="CT91" s="26" t="s">
        <v>196</v>
      </c>
      <c r="CU91" s="38">
        <f>CQ94</f>
        <v>0</v>
      </c>
      <c r="CV91" s="26"/>
      <c r="CW91" s="26"/>
      <c r="CX91" s="26">
        <v>5</v>
      </c>
      <c r="CY91" s="39">
        <f>CN34</f>
        <v>0.32454128440366975</v>
      </c>
      <c r="CZ91" s="39">
        <f>CM34</f>
        <v>0.33830275229357798</v>
      </c>
      <c r="DA91" s="26"/>
      <c r="DB91" s="39" t="e">
        <f>LARGE(CZ87:CZ101,5)</f>
        <v>#VALUE!</v>
      </c>
      <c r="DC91" s="26" t="e">
        <f>MATCH(DB91,CZ87:CZ101,0)</f>
        <v>#VALUE!</v>
      </c>
      <c r="DD91" s="39" t="e">
        <f>VLOOKUP(DC91,CX87:CZ101,2,FALSE)</f>
        <v>#VALUE!</v>
      </c>
      <c r="DE91" s="26"/>
      <c r="DF91" s="26"/>
      <c r="DG91" s="26"/>
      <c r="DH91" s="26"/>
      <c r="DI91" s="26"/>
      <c r="DJ91" s="26"/>
      <c r="DK91" s="26" t="s">
        <v>61</v>
      </c>
      <c r="DL91" s="26" t="e">
        <f t="shared" ref="DL91:DQ91" si="59">DL64</f>
        <v>#VALUE!</v>
      </c>
      <c r="DM91" s="26" t="e">
        <f t="shared" si="59"/>
        <v>#VALUE!</v>
      </c>
      <c r="DN91" s="31" t="e">
        <f t="shared" si="59"/>
        <v>#VALUE!</v>
      </c>
      <c r="DO91" s="31" t="e">
        <f t="shared" si="59"/>
        <v>#VALUE!</v>
      </c>
      <c r="DP91" s="31" t="e">
        <f t="shared" si="59"/>
        <v>#VALUE!</v>
      </c>
      <c r="DQ91" s="31" t="e">
        <f t="shared" si="59"/>
        <v>#VALUE!</v>
      </c>
      <c r="DR91" s="26"/>
    </row>
    <row r="92" spans="83:122">
      <c r="CE92" s="26"/>
      <c r="CF92" s="26"/>
      <c r="CG92" s="26"/>
      <c r="CH92" s="26"/>
      <c r="CI92" s="26"/>
      <c r="CJ92" s="26"/>
      <c r="CK92" s="26"/>
      <c r="CL92" s="26"/>
      <c r="CM92" s="26"/>
      <c r="CN92" s="26"/>
      <c r="CO92" s="26"/>
      <c r="CP92" s="26"/>
      <c r="CQ92" s="38"/>
      <c r="CR92" s="26" t="s">
        <v>197</v>
      </c>
      <c r="CS92" s="26"/>
      <c r="CT92" s="26" t="s">
        <v>198</v>
      </c>
      <c r="CU92" s="38">
        <f>CQ95</f>
        <v>0</v>
      </c>
      <c r="CV92" s="26"/>
      <c r="CW92" s="26"/>
      <c r="CX92" s="26">
        <v>6</v>
      </c>
      <c r="CY92" s="39" t="e">
        <f>CN28</f>
        <v>#VALUE!</v>
      </c>
      <c r="CZ92" s="39" t="e">
        <f>CM28</f>
        <v>#VALUE!</v>
      </c>
      <c r="DA92" s="26"/>
      <c r="DB92" s="39" t="e">
        <f>LARGE(CZ87:CZ101,6)</f>
        <v>#VALUE!</v>
      </c>
      <c r="DC92" s="26" t="e">
        <f>MATCH(DB92,CZ87:CZ101,0)</f>
        <v>#VALUE!</v>
      </c>
      <c r="DD92" s="39" t="e">
        <f>VLOOKUP(DC92,CX87:CZ101,2,FALSE)</f>
        <v>#VALUE!</v>
      </c>
      <c r="DE92" s="26"/>
      <c r="DF92" s="26"/>
      <c r="DG92" s="26"/>
      <c r="DH92" s="26"/>
      <c r="DI92" s="26"/>
      <c r="DJ92" s="26"/>
      <c r="DK92" s="26" t="s">
        <v>47</v>
      </c>
      <c r="DL92" s="26" t="e">
        <f t="shared" ref="DL92:DQ92" si="60">DL75</f>
        <v>#VALUE!</v>
      </c>
      <c r="DM92" s="26" t="e">
        <f t="shared" si="60"/>
        <v>#VALUE!</v>
      </c>
      <c r="DN92" s="31" t="e">
        <f t="shared" si="60"/>
        <v>#VALUE!</v>
      </c>
      <c r="DO92" s="31" t="e">
        <f t="shared" si="60"/>
        <v>#VALUE!</v>
      </c>
      <c r="DP92" s="31" t="e">
        <f t="shared" si="60"/>
        <v>#VALUE!</v>
      </c>
      <c r="DQ92" s="31" t="e">
        <f t="shared" si="60"/>
        <v>#VALUE!</v>
      </c>
      <c r="DR92" s="26"/>
    </row>
    <row r="93" spans="83:122">
      <c r="CE93" s="26" t="s">
        <v>199</v>
      </c>
      <c r="CF93" s="26" t="s">
        <v>193</v>
      </c>
      <c r="CG93" s="26" t="s">
        <v>194</v>
      </c>
      <c r="CH93" s="26" t="s">
        <v>194</v>
      </c>
      <c r="CI93" s="26" t="str">
        <f>[2]!'#N225'</f>
        <v>N\A</v>
      </c>
      <c r="CJ93" s="26" t="str">
        <f>[3]!'#N225'</f>
        <v>N\A</v>
      </c>
      <c r="CK93" s="26" t="str">
        <f>[4]!'#N225'</f>
        <v>N\A</v>
      </c>
      <c r="CL93" s="26" t="str">
        <f>[5]!'#N225'</f>
        <v>N\A</v>
      </c>
      <c r="CM93" s="38" t="e">
        <f t="shared" ref="CM93:CM99" si="61">(100*(CK93-CJ93)/(CI93-CJ93))/100</f>
        <v>#VALUE!</v>
      </c>
      <c r="CN93" s="38" t="e">
        <f t="shared" ref="CN93:CN99" si="62">(CI93-CL93)/(CI93-CJ93)</f>
        <v>#VALUE!</v>
      </c>
      <c r="CO93" s="26"/>
      <c r="CP93" s="26" t="b">
        <f t="shared" si="37"/>
        <v>1</v>
      </c>
      <c r="CQ93" s="38">
        <f t="shared" ref="CQ93:CQ99" si="63">IF(CP93=FALSE,CM93,0%)</f>
        <v>0</v>
      </c>
      <c r="CR93" s="26" t="s">
        <v>200</v>
      </c>
      <c r="CS93" s="26"/>
      <c r="CT93" s="26" t="s">
        <v>201</v>
      </c>
      <c r="CU93" s="38">
        <f>CQ96</f>
        <v>0</v>
      </c>
      <c r="CV93" s="26"/>
      <c r="CW93" s="26"/>
      <c r="CX93" s="26">
        <v>7</v>
      </c>
      <c r="CY93" s="39">
        <f>CN32</f>
        <v>0.51223241590214064</v>
      </c>
      <c r="CZ93" s="39">
        <f>CM32</f>
        <v>0.15443425076452599</v>
      </c>
      <c r="DA93" s="26"/>
      <c r="DB93" s="39" t="e">
        <f>LARGE(CZ87:CZ101,7)</f>
        <v>#VALUE!</v>
      </c>
      <c r="DC93" s="26" t="e">
        <f>MATCH(DB93,CZ87:CZ101,0)</f>
        <v>#VALUE!</v>
      </c>
      <c r="DD93" s="39" t="e">
        <f>VLOOKUP(DC93,CX87:CZ101,2,FALSE)</f>
        <v>#VALUE!</v>
      </c>
      <c r="DE93" s="26"/>
      <c r="DF93" s="26"/>
      <c r="DG93" s="26"/>
      <c r="DH93" s="26"/>
      <c r="DI93" s="26"/>
      <c r="DJ93" s="26"/>
      <c r="DK93" s="26" t="s">
        <v>65</v>
      </c>
      <c r="DL93" s="26" t="e">
        <f t="shared" ref="DL93:DQ93" si="64">DD54</f>
        <v>#VALUE!</v>
      </c>
      <c r="DM93" s="26" t="e">
        <f t="shared" si="64"/>
        <v>#VALUE!</v>
      </c>
      <c r="DN93" s="31" t="e">
        <f t="shared" si="64"/>
        <v>#VALUE!</v>
      </c>
      <c r="DO93" s="31" t="e">
        <f t="shared" si="64"/>
        <v>#VALUE!</v>
      </c>
      <c r="DP93" s="31" t="e">
        <f t="shared" si="64"/>
        <v>#VALUE!</v>
      </c>
      <c r="DQ93" s="31" t="e">
        <f t="shared" si="64"/>
        <v>#VALUE!</v>
      </c>
      <c r="DR93" s="26"/>
    </row>
    <row r="94" spans="83:122">
      <c r="CE94" s="26"/>
      <c r="CF94" s="26" t="s">
        <v>195</v>
      </c>
      <c r="CG94" s="26" t="s">
        <v>196</v>
      </c>
      <c r="CH94" s="26" t="s">
        <v>196</v>
      </c>
      <c r="CI94" s="26" t="str">
        <f>[2]!'#N225'</f>
        <v>N\A</v>
      </c>
      <c r="CJ94" s="26" t="str">
        <f>[3]!'#N225'</f>
        <v>N\A</v>
      </c>
      <c r="CK94" s="26" t="str">
        <f>[4]!'#N225'</f>
        <v>N\A</v>
      </c>
      <c r="CL94" s="26" t="str">
        <f>[5]!'#N225'</f>
        <v>N\A</v>
      </c>
      <c r="CM94" s="38" t="e">
        <f t="shared" si="61"/>
        <v>#VALUE!</v>
      </c>
      <c r="CN94" s="38" t="e">
        <f t="shared" si="62"/>
        <v>#VALUE!</v>
      </c>
      <c r="CO94" s="26"/>
      <c r="CP94" s="26" t="b">
        <f t="shared" si="37"/>
        <v>1</v>
      </c>
      <c r="CQ94" s="38">
        <f t="shared" si="63"/>
        <v>0</v>
      </c>
      <c r="CR94" s="26" t="s">
        <v>202</v>
      </c>
      <c r="CS94" s="26"/>
      <c r="CT94" s="26" t="s">
        <v>203</v>
      </c>
      <c r="CU94" s="38">
        <f>CQ97</f>
        <v>0</v>
      </c>
      <c r="CV94" s="26"/>
      <c r="CW94" s="26"/>
      <c r="CX94" s="26">
        <v>8</v>
      </c>
      <c r="CY94" s="39" t="e">
        <f>CN54</f>
        <v>#VALUE!</v>
      </c>
      <c r="CZ94" s="39" t="e">
        <f>CM54</f>
        <v>#VALUE!</v>
      </c>
      <c r="DA94" s="26"/>
      <c r="DB94" s="39" t="e">
        <f>LARGE(CZ87:CZ101,8)</f>
        <v>#VALUE!</v>
      </c>
      <c r="DC94" s="26" t="e">
        <f>MATCH(DB94,CZ87:CZ101,0)</f>
        <v>#VALUE!</v>
      </c>
      <c r="DD94" s="39" t="e">
        <f>VLOOKUP(DC94,CX87:CZ101,2,FALSE)</f>
        <v>#VALUE!</v>
      </c>
      <c r="DE94" s="26"/>
      <c r="DF94" s="26"/>
      <c r="DG94" s="26"/>
      <c r="DH94" s="26"/>
      <c r="DI94" s="26"/>
      <c r="DJ94" s="26"/>
      <c r="DK94" s="26"/>
      <c r="DL94" s="26" t="e">
        <f t="shared" ref="DL94:DQ94" si="65">SUM(DL87:DL93)</f>
        <v>#VALUE!</v>
      </c>
      <c r="DM94" s="26" t="e">
        <f t="shared" si="65"/>
        <v>#VALUE!</v>
      </c>
      <c r="DN94" s="31" t="e">
        <f t="shared" si="65"/>
        <v>#VALUE!</v>
      </c>
      <c r="DO94" s="31" t="e">
        <f t="shared" si="65"/>
        <v>#VALUE!</v>
      </c>
      <c r="DP94" s="31" t="e">
        <f t="shared" si="65"/>
        <v>#VALUE!</v>
      </c>
      <c r="DQ94" s="31" t="e">
        <f t="shared" si="65"/>
        <v>#VALUE!</v>
      </c>
      <c r="DR94" s="26"/>
    </row>
    <row r="95" spans="83:122">
      <c r="CE95" s="26"/>
      <c r="CF95" s="26" t="s">
        <v>197</v>
      </c>
      <c r="CG95" s="26" t="s">
        <v>198</v>
      </c>
      <c r="CH95" s="26" t="s">
        <v>198</v>
      </c>
      <c r="CI95" s="26" t="str">
        <f>[2]!'#N225'</f>
        <v>N\A</v>
      </c>
      <c r="CJ95" s="26" t="str">
        <f>[3]!'#N225'</f>
        <v>N\A</v>
      </c>
      <c r="CK95" s="26" t="str">
        <f>[4]!'#N225'</f>
        <v>N\A</v>
      </c>
      <c r="CL95" s="26" t="str">
        <f>[5]!'#N225'</f>
        <v>N\A</v>
      </c>
      <c r="CM95" s="38" t="e">
        <f t="shared" si="61"/>
        <v>#VALUE!</v>
      </c>
      <c r="CN95" s="38" t="e">
        <f t="shared" si="62"/>
        <v>#VALUE!</v>
      </c>
      <c r="CO95" s="26"/>
      <c r="CP95" s="26" t="b">
        <f t="shared" si="37"/>
        <v>1</v>
      </c>
      <c r="CQ95" s="38">
        <f t="shared" si="63"/>
        <v>0</v>
      </c>
      <c r="CR95" s="26"/>
      <c r="CS95" s="26"/>
      <c r="CT95" s="26"/>
      <c r="CU95" s="26"/>
      <c r="CV95" s="26"/>
      <c r="CW95" s="26"/>
      <c r="CX95" s="26">
        <v>9</v>
      </c>
      <c r="CY95" s="39">
        <f>CN52</f>
        <v>0.2834123222748815</v>
      </c>
      <c r="CZ95" s="39">
        <f>CM52</f>
        <v>0.62274881516587677</v>
      </c>
      <c r="DA95" s="26"/>
      <c r="DB95" s="39" t="e">
        <f>LARGE(CZ87:CZ101,9)</f>
        <v>#VALUE!</v>
      </c>
      <c r="DC95" s="26" t="e">
        <f>MATCH(DB95,CZ87:CZ101,0)</f>
        <v>#VALUE!</v>
      </c>
      <c r="DD95" s="39" t="e">
        <f>VLOOKUP(DC95,CX87:CZ101,2,FALSE)</f>
        <v>#VALUE!</v>
      </c>
      <c r="DE95" s="26"/>
      <c r="DF95" s="26"/>
      <c r="DG95" s="26"/>
      <c r="DH95" s="26"/>
      <c r="DI95" s="26"/>
      <c r="DJ95" s="26"/>
      <c r="DK95" s="26" t="s">
        <v>67</v>
      </c>
      <c r="DL95" s="26"/>
      <c r="DM95" s="26"/>
      <c r="DN95" s="31" t="e">
        <f>SUM(DP94+DN94)</f>
        <v>#VALUE!</v>
      </c>
      <c r="DO95" s="31"/>
      <c r="DP95" s="31"/>
      <c r="DQ95" s="31"/>
      <c r="DR95" s="26"/>
    </row>
    <row r="96" spans="83:122">
      <c r="CE96" s="26"/>
      <c r="CF96" s="26" t="s">
        <v>200</v>
      </c>
      <c r="CG96" s="26" t="s">
        <v>201</v>
      </c>
      <c r="CH96" s="26" t="s">
        <v>201</v>
      </c>
      <c r="CI96" s="26" t="str">
        <f>[2]!'#HSI'</f>
        <v>N\A</v>
      </c>
      <c r="CJ96" s="26" t="str">
        <f>[3]!'#HSI'</f>
        <v>N\A</v>
      </c>
      <c r="CK96" s="26" t="str">
        <f>[4]!'#HSI'</f>
        <v>N\A</v>
      </c>
      <c r="CL96" s="26" t="str">
        <f>[5]!'#HSI'</f>
        <v>N\A</v>
      </c>
      <c r="CM96" s="38" t="e">
        <f t="shared" si="61"/>
        <v>#VALUE!</v>
      </c>
      <c r="CN96" s="38" t="e">
        <f t="shared" si="62"/>
        <v>#VALUE!</v>
      </c>
      <c r="CO96" s="26"/>
      <c r="CP96" s="30" t="b">
        <f t="shared" si="37"/>
        <v>1</v>
      </c>
      <c r="CQ96" s="38">
        <f t="shared" si="63"/>
        <v>0</v>
      </c>
      <c r="CR96" s="26"/>
      <c r="CS96" s="26"/>
      <c r="CT96" s="26"/>
      <c r="CU96" s="26"/>
      <c r="CV96" s="26"/>
      <c r="CW96" s="26"/>
      <c r="CX96" s="26">
        <v>10</v>
      </c>
      <c r="CY96" s="39">
        <f>CN53</f>
        <v>0.84500745156482859</v>
      </c>
      <c r="CZ96" s="39">
        <f>CM53</f>
        <v>4.3964232488822655E-2</v>
      </c>
      <c r="DA96" s="26"/>
      <c r="DB96" s="39" t="e">
        <f>LARGE(CZ87:CZ101,10)</f>
        <v>#VALUE!</v>
      </c>
      <c r="DC96" s="26" t="e">
        <f>MATCH(DB96,CZ87:CZ101,0)</f>
        <v>#VALUE!</v>
      </c>
      <c r="DD96" s="39" t="e">
        <f>VLOOKUP(DC96,CX87:CZ101,2,FALSE)</f>
        <v>#VALUE!</v>
      </c>
      <c r="DE96" s="26"/>
      <c r="DF96" s="26"/>
      <c r="DG96" s="26"/>
      <c r="DH96" s="26"/>
      <c r="DI96" s="26"/>
      <c r="DJ96" s="26"/>
      <c r="DK96" s="26" t="s">
        <v>68</v>
      </c>
      <c r="DL96" s="26"/>
      <c r="DM96" s="26"/>
      <c r="DN96" s="31" t="e">
        <f>SUM(DQ94-DN94)*-1</f>
        <v>#VALUE!</v>
      </c>
      <c r="DO96" s="31"/>
      <c r="DP96" s="31"/>
      <c r="DQ96" s="31"/>
      <c r="DR96" s="26"/>
    </row>
    <row r="97" spans="83:122">
      <c r="CE97" s="26"/>
      <c r="CF97" s="26" t="s">
        <v>202</v>
      </c>
      <c r="CG97" s="26" t="s">
        <v>203</v>
      </c>
      <c r="CH97" s="26" t="s">
        <v>203</v>
      </c>
      <c r="CI97" s="26" t="str">
        <f>[2]!'#HSI'</f>
        <v>N\A</v>
      </c>
      <c r="CJ97" s="26" t="str">
        <f>[3]!'#HSI'</f>
        <v>N\A</v>
      </c>
      <c r="CK97" s="26" t="str">
        <f>[4]!'#HSI'</f>
        <v>N\A</v>
      </c>
      <c r="CL97" s="26" t="str">
        <f>[5]!'#HSI'</f>
        <v>N\A</v>
      </c>
      <c r="CM97" s="38" t="e">
        <f t="shared" si="61"/>
        <v>#VALUE!</v>
      </c>
      <c r="CN97" s="38" t="e">
        <f t="shared" si="62"/>
        <v>#VALUE!</v>
      </c>
      <c r="CO97" s="38"/>
      <c r="CP97" s="26" t="b">
        <f t="shared" si="37"/>
        <v>1</v>
      </c>
      <c r="CQ97" s="38">
        <f t="shared" si="63"/>
        <v>0</v>
      </c>
      <c r="CR97" s="26"/>
      <c r="CS97" s="26"/>
      <c r="CT97" s="26"/>
      <c r="CU97" s="26"/>
      <c r="CV97" s="26"/>
      <c r="CW97" s="26"/>
      <c r="CX97" s="26">
        <v>11</v>
      </c>
      <c r="CY97" s="39">
        <f>CN51</f>
        <v>7.9885877318116971E-2</v>
      </c>
      <c r="CZ97" s="39">
        <f>CM51</f>
        <v>0.8495007132667618</v>
      </c>
      <c r="DA97" s="26"/>
      <c r="DB97" s="39" t="e">
        <f>LARGE(CZ87:CZ101,11)</f>
        <v>#VALUE!</v>
      </c>
      <c r="DC97" s="26" t="e">
        <f>MATCH(DB97,CZ87:CZ101,0)</f>
        <v>#VALUE!</v>
      </c>
      <c r="DD97" s="39" t="e">
        <f>VLOOKUP(DC97,CX87:CZ101,2,FALSE)</f>
        <v>#VALUE!</v>
      </c>
      <c r="DE97" s="26"/>
      <c r="DF97" s="26"/>
      <c r="DG97" s="26"/>
      <c r="DH97" s="26"/>
      <c r="DI97" s="26"/>
      <c r="DJ97" s="26"/>
      <c r="DK97" s="26"/>
      <c r="DL97" s="26"/>
      <c r="DM97" s="26"/>
      <c r="DN97" s="31"/>
      <c r="DO97" s="31"/>
      <c r="DP97" s="31"/>
      <c r="DQ97" s="31"/>
      <c r="DR97" s="26"/>
    </row>
    <row r="98" spans="83:122">
      <c r="CE98" s="26"/>
      <c r="CF98" s="26" t="s">
        <v>204</v>
      </c>
      <c r="CG98" s="26" t="s">
        <v>205</v>
      </c>
      <c r="CH98" s="26" t="s">
        <v>205</v>
      </c>
      <c r="CI98" s="26"/>
      <c r="CJ98" s="26"/>
      <c r="CK98" s="26"/>
      <c r="CL98" s="26"/>
      <c r="CM98" s="38" t="e">
        <f t="shared" si="61"/>
        <v>#DIV/0!</v>
      </c>
      <c r="CN98" s="38" t="e">
        <f t="shared" si="62"/>
        <v>#DIV/0!</v>
      </c>
      <c r="CO98" s="38"/>
      <c r="CP98" s="26" t="b">
        <f>ISERR(CM98)</f>
        <v>1</v>
      </c>
      <c r="CQ98" s="38">
        <f t="shared" si="63"/>
        <v>0</v>
      </c>
      <c r="CR98" s="26"/>
      <c r="CS98" s="26"/>
      <c r="CT98" s="26"/>
      <c r="CU98" s="26"/>
      <c r="CV98" s="26"/>
      <c r="CW98" s="26"/>
      <c r="CX98" s="26">
        <v>12</v>
      </c>
      <c r="CY98" s="39">
        <f>CN45</f>
        <v>5.1762114537444934E-2</v>
      </c>
      <c r="CZ98" s="39">
        <f>CM45</f>
        <v>0.83920704845814975</v>
      </c>
      <c r="DA98" s="26"/>
      <c r="DB98" s="39" t="e">
        <f>LARGE(CZ87:CZ101,12)</f>
        <v>#VALUE!</v>
      </c>
      <c r="DC98" s="26" t="e">
        <f>MATCH(DB98,CZ87:CZ101,0)</f>
        <v>#VALUE!</v>
      </c>
      <c r="DD98" s="39" t="e">
        <f>VLOOKUP(DC98,CX87:CZ101,2,FALSE)</f>
        <v>#VALUE!</v>
      </c>
      <c r="DE98" s="26"/>
      <c r="DF98" s="26"/>
      <c r="DG98" s="26"/>
      <c r="DH98" s="26"/>
      <c r="DI98" s="26"/>
      <c r="DJ98" s="26"/>
      <c r="DK98" s="30" t="s">
        <v>15</v>
      </c>
      <c r="DL98" s="26" t="s">
        <v>31</v>
      </c>
      <c r="DM98" s="26" t="s">
        <v>32</v>
      </c>
      <c r="DN98" s="26" t="s">
        <v>33</v>
      </c>
      <c r="DO98" s="31" t="s">
        <v>34</v>
      </c>
      <c r="DP98" s="31" t="s">
        <v>35</v>
      </c>
      <c r="DQ98" s="31" t="s">
        <v>36</v>
      </c>
      <c r="DR98" s="26"/>
    </row>
    <row r="99" spans="83:122">
      <c r="CE99" s="26"/>
      <c r="CF99" s="26" t="s">
        <v>206</v>
      </c>
      <c r="CG99" s="26" t="s">
        <v>207</v>
      </c>
      <c r="CH99" s="26" t="s">
        <v>207</v>
      </c>
      <c r="CI99" s="26" t="str">
        <f>[2]!'#RTSI'</f>
        <v>N\A</v>
      </c>
      <c r="CJ99" s="26" t="str">
        <f>[3]!'#RTSI'</f>
        <v>N\A</v>
      </c>
      <c r="CK99" s="26" t="str">
        <f>[4]!'#RTSI'</f>
        <v>N\A</v>
      </c>
      <c r="CL99" s="26" t="str">
        <f>[5]!'#RTSI'</f>
        <v>N\A</v>
      </c>
      <c r="CM99" s="38" t="e">
        <f t="shared" si="61"/>
        <v>#VALUE!</v>
      </c>
      <c r="CN99" s="38" t="e">
        <f t="shared" si="62"/>
        <v>#VALUE!</v>
      </c>
      <c r="CO99" s="38"/>
      <c r="CP99" s="26" t="b">
        <f>ISERR(CM99)</f>
        <v>1</v>
      </c>
      <c r="CQ99" s="38">
        <f t="shared" si="63"/>
        <v>0</v>
      </c>
      <c r="CR99" s="26"/>
      <c r="CS99" s="26"/>
      <c r="CT99" s="26"/>
      <c r="CU99" s="26"/>
      <c r="CV99" s="26"/>
      <c r="CW99" s="26"/>
      <c r="CX99" s="26">
        <v>13</v>
      </c>
      <c r="CY99" s="39" t="e">
        <f>CN44</f>
        <v>#VALUE!</v>
      </c>
      <c r="CZ99" s="39" t="e">
        <f>CM44</f>
        <v>#VALUE!</v>
      </c>
      <c r="DA99" s="26"/>
      <c r="DB99" s="39" t="e">
        <f>LARGE(CZ87:CZ101,13)</f>
        <v>#VALUE!</v>
      </c>
      <c r="DC99" s="26" t="e">
        <f>MATCH(DB99,CZ87:CZ101,0)</f>
        <v>#VALUE!</v>
      </c>
      <c r="DD99" s="39" t="e">
        <f>VLOOKUP(DC99,CX87:CZ101,2,FALSE)</f>
        <v>#VALUE!</v>
      </c>
      <c r="DE99" s="26"/>
      <c r="DF99" s="26"/>
      <c r="DG99" s="26"/>
      <c r="DH99" s="26"/>
      <c r="DI99" s="26"/>
      <c r="DJ99" s="26"/>
      <c r="DK99" s="26" t="s">
        <v>64</v>
      </c>
      <c r="DL99" s="26">
        <f t="shared" ref="DL99:DQ99" si="66">DL81</f>
        <v>1298600000</v>
      </c>
      <c r="DM99" s="26">
        <f t="shared" si="66"/>
        <v>1298600000</v>
      </c>
      <c r="DN99" s="31">
        <f t="shared" si="66"/>
        <v>1298600000</v>
      </c>
      <c r="DO99" s="31">
        <f t="shared" si="66"/>
        <v>13420000</v>
      </c>
      <c r="DP99" s="31">
        <f t="shared" si="66"/>
        <v>1311430000</v>
      </c>
      <c r="DQ99" s="31">
        <f t="shared" si="66"/>
        <v>-1298010000</v>
      </c>
      <c r="DR99" s="26"/>
    </row>
    <row r="100" spans="83:122">
      <c r="CE100" s="26"/>
      <c r="CF100" s="26" t="s">
        <v>208</v>
      </c>
      <c r="CG100" s="26"/>
      <c r="CH100" s="38">
        <f>SUM(CO111+CN113+CO133+CO143+CO149)/5</f>
        <v>0</v>
      </c>
      <c r="CI100" s="26"/>
      <c r="CJ100" s="26"/>
      <c r="CK100" s="26"/>
      <c r="CL100" s="26"/>
      <c r="CM100" s="26"/>
      <c r="CN100" s="26"/>
      <c r="CO100" s="26"/>
      <c r="CP100" s="26"/>
      <c r="CQ100" s="38"/>
      <c r="CR100" s="26"/>
      <c r="CS100" s="26"/>
      <c r="CT100" s="26"/>
      <c r="CU100" s="26"/>
      <c r="CV100" s="26"/>
      <c r="CW100" s="26"/>
      <c r="CX100" s="26">
        <v>14</v>
      </c>
      <c r="CY100" s="39" t="e">
        <f>CN48</f>
        <v>#VALUE!</v>
      </c>
      <c r="CZ100" s="39" t="e">
        <f>CM48</f>
        <v>#VALUE!</v>
      </c>
      <c r="DA100" s="26"/>
      <c r="DB100" s="39" t="e">
        <f>LARGE(CZ87:CZ101,14)</f>
        <v>#VALUE!</v>
      </c>
      <c r="DC100" s="26" t="e">
        <f>MATCH(DB100,CZ87:CZ101,0)</f>
        <v>#VALUE!</v>
      </c>
      <c r="DD100" s="39" t="e">
        <f>VLOOKUP(DC100,CX87:CZ101,2,FALSE)</f>
        <v>#VALUE!</v>
      </c>
      <c r="DE100" s="26"/>
      <c r="DF100" s="26"/>
      <c r="DG100" s="26"/>
      <c r="DH100" s="26"/>
      <c r="DI100" s="26"/>
      <c r="DJ100" s="26"/>
      <c r="DK100" s="26" t="s">
        <v>65</v>
      </c>
      <c r="DL100" s="26" t="e">
        <f>DD54</f>
        <v>#VALUE!</v>
      </c>
      <c r="DM100" s="26" t="e">
        <f>DE54</f>
        <v>#VALUE!</v>
      </c>
      <c r="DN100" s="31" t="e">
        <f>DN93</f>
        <v>#VALUE!</v>
      </c>
      <c r="DO100" s="31" t="e">
        <f>DO93</f>
        <v>#VALUE!</v>
      </c>
      <c r="DP100" s="31" t="e">
        <f>DP93</f>
        <v>#VALUE!</v>
      </c>
      <c r="DQ100" s="31" t="e">
        <f>DQ93</f>
        <v>#VALUE!</v>
      </c>
      <c r="DR100" s="26"/>
    </row>
    <row r="101" spans="83:122">
      <c r="CE101" s="26"/>
      <c r="CF101" s="26" t="s">
        <v>209</v>
      </c>
      <c r="CG101" s="26"/>
      <c r="CH101" s="26"/>
      <c r="CI101" s="26"/>
      <c r="CJ101" s="26"/>
      <c r="CK101" s="26"/>
      <c r="CL101" s="26"/>
      <c r="CM101" s="26"/>
      <c r="CN101" s="26"/>
      <c r="CO101" s="26"/>
      <c r="CP101" s="26"/>
      <c r="CQ101" s="38"/>
      <c r="CR101" s="26"/>
      <c r="CS101" s="26"/>
      <c r="CT101" s="26"/>
      <c r="CU101" s="26"/>
      <c r="CV101" s="26"/>
      <c r="CW101" s="26"/>
      <c r="CX101" s="26">
        <v>15</v>
      </c>
      <c r="CY101" s="39">
        <f>CN49</f>
        <v>0.23536165327210104</v>
      </c>
      <c r="CZ101" s="39">
        <f>CM49</f>
        <v>0.59357060849598164</v>
      </c>
      <c r="DA101" s="26"/>
      <c r="DB101" s="39" t="e">
        <f>LARGE(CZ87:CZ101,15)</f>
        <v>#VALUE!</v>
      </c>
      <c r="DC101" s="26" t="e">
        <f>MATCH(DB101,CZ87:CZ101,0)</f>
        <v>#VALUE!</v>
      </c>
      <c r="DD101" s="39" t="e">
        <f>VLOOKUP(DC101,CX87:CZ101,2,FALSE)</f>
        <v>#VALUE!</v>
      </c>
      <c r="DE101" s="26"/>
      <c r="DF101" s="26"/>
      <c r="DG101" s="26"/>
      <c r="DH101" s="26"/>
      <c r="DI101" s="26"/>
      <c r="DJ101" s="26"/>
      <c r="DK101" s="26" t="s">
        <v>66</v>
      </c>
      <c r="DL101" s="26">
        <f>DD55</f>
        <v>10385000</v>
      </c>
      <c r="DM101" s="26">
        <f>DE55</f>
        <v>10385000</v>
      </c>
      <c r="DN101" s="31">
        <f>DF55</f>
        <v>10385000</v>
      </c>
      <c r="DO101" s="31">
        <f>DG55</f>
        <v>151700</v>
      </c>
      <c r="DP101" s="31">
        <f>DH55</f>
        <v>10431800</v>
      </c>
      <c r="DQ101" s="31">
        <f>DI55</f>
        <v>-10280100</v>
      </c>
      <c r="DR101" s="26"/>
    </row>
    <row r="102" spans="83:122">
      <c r="CE102" s="26"/>
      <c r="CF102" s="26"/>
      <c r="CG102" s="26"/>
      <c r="CH102" s="26"/>
      <c r="CI102" s="26"/>
      <c r="CJ102" s="26"/>
      <c r="CK102" s="26"/>
      <c r="CL102" s="26"/>
      <c r="CM102" s="26"/>
      <c r="CN102" s="26"/>
      <c r="CO102" s="26"/>
      <c r="CP102" s="26"/>
      <c r="CQ102" s="38"/>
      <c r="CR102" s="26"/>
      <c r="CS102" s="26"/>
      <c r="CT102" s="26"/>
      <c r="CU102" s="26"/>
      <c r="CV102" s="26"/>
      <c r="CW102" s="26"/>
      <c r="CX102" s="26"/>
      <c r="CY102" s="26"/>
      <c r="CZ102" s="26"/>
      <c r="DA102" s="26"/>
      <c r="DB102" s="26"/>
      <c r="DC102" s="26"/>
      <c r="DD102" s="26"/>
      <c r="DE102" s="26"/>
      <c r="DF102" s="26"/>
      <c r="DG102" s="26"/>
      <c r="DH102" s="26"/>
      <c r="DI102" s="26"/>
      <c r="DJ102" s="26"/>
      <c r="DK102" s="26" t="s">
        <v>53</v>
      </c>
      <c r="DL102" s="26">
        <f t="shared" ref="DL102:DQ102" si="67">DL32</f>
        <v>1115190000</v>
      </c>
      <c r="DM102" s="26">
        <f t="shared" si="67"/>
        <v>1115190000</v>
      </c>
      <c r="DN102" s="31">
        <f t="shared" si="67"/>
        <v>1115190000</v>
      </c>
      <c r="DO102" s="31">
        <f t="shared" si="67"/>
        <v>10160000</v>
      </c>
      <c r="DP102" s="31">
        <f t="shared" si="67"/>
        <v>1125200000</v>
      </c>
      <c r="DQ102" s="31">
        <f t="shared" si="67"/>
        <v>-1115040000</v>
      </c>
      <c r="DR102" s="26"/>
    </row>
    <row r="103" spans="83:122">
      <c r="CE103" s="26"/>
      <c r="CF103" s="26" t="s">
        <v>210</v>
      </c>
      <c r="CG103" s="26" t="s">
        <v>211</v>
      </c>
      <c r="CH103" s="26" t="s">
        <v>211</v>
      </c>
      <c r="CI103" s="26" t="str">
        <f>[2]!'#XBZM5'</f>
        <v>N\A</v>
      </c>
      <c r="CJ103" s="26" t="str">
        <f>[3]!'#XBZM5'</f>
        <v>N\A</v>
      </c>
      <c r="CK103" s="26" t="str">
        <f>[4]!'#XBZM5'</f>
        <v>N\A</v>
      </c>
      <c r="CL103" s="26" t="str">
        <f>[5]!'#XBZM5'</f>
        <v>N\A</v>
      </c>
      <c r="CM103" s="38" t="e">
        <f t="shared" ref="CM103:CM111" si="68">(100*(CK103-CJ103)/(CI103-CJ103))/100</f>
        <v>#VALUE!</v>
      </c>
      <c r="CN103" s="38" t="e">
        <f t="shared" ref="CN103:CN111" si="69">(CI103-CL103)/(CI103-CJ103)</f>
        <v>#VALUE!</v>
      </c>
      <c r="CO103" s="26"/>
      <c r="CP103" s="26" t="b">
        <f t="shared" si="37"/>
        <v>1</v>
      </c>
      <c r="CQ103" s="38">
        <f t="shared" ref="CQ103:CQ111" si="70">IF(CP103=FALSE,CM103,0%)</f>
        <v>0</v>
      </c>
      <c r="CR103" s="26" t="str">
        <f t="shared" ref="CR103:CR111" si="71">CF103</f>
        <v>Crude Oil Brent CRD</v>
      </c>
      <c r="CS103" s="26"/>
      <c r="CT103" s="26" t="s">
        <v>211</v>
      </c>
      <c r="CU103" s="38">
        <f t="shared" ref="CU103:CU111" si="72">CQ103</f>
        <v>0</v>
      </c>
      <c r="CV103" s="26"/>
      <c r="CW103" s="26" t="s">
        <v>212</v>
      </c>
      <c r="CX103" s="26" t="s">
        <v>213</v>
      </c>
      <c r="CY103" s="26"/>
      <c r="CZ103" s="26" t="s">
        <v>214</v>
      </c>
      <c r="DA103" s="26"/>
      <c r="DB103" s="26"/>
      <c r="DC103" s="26" t="s">
        <v>128</v>
      </c>
      <c r="DD103" s="26" t="s">
        <v>129</v>
      </c>
      <c r="DE103" s="26" t="s">
        <v>130</v>
      </c>
      <c r="DF103" s="26"/>
      <c r="DG103" s="26"/>
      <c r="DH103" s="26"/>
      <c r="DI103" s="26"/>
      <c r="DJ103" s="26"/>
      <c r="DK103" s="26" t="s">
        <v>59</v>
      </c>
      <c r="DL103" s="26">
        <f t="shared" ref="DL103:DQ103" si="73">DL44</f>
        <v>1329000000</v>
      </c>
      <c r="DM103" s="26">
        <f t="shared" si="73"/>
        <v>1329000000</v>
      </c>
      <c r="DN103" s="31">
        <f t="shared" si="73"/>
        <v>1329000000</v>
      </c>
      <c r="DO103" s="31">
        <f t="shared" si="73"/>
        <v>9980000</v>
      </c>
      <c r="DP103" s="31">
        <f t="shared" si="73"/>
        <v>1335210000</v>
      </c>
      <c r="DQ103" s="31">
        <f t="shared" si="73"/>
        <v>-1325230000</v>
      </c>
      <c r="DR103" s="26"/>
    </row>
    <row r="104" spans="83:122">
      <c r="CE104" s="26"/>
      <c r="CF104" s="26" t="s">
        <v>215</v>
      </c>
      <c r="CG104" s="26" t="s">
        <v>216</v>
      </c>
      <c r="CH104" s="26" t="s">
        <v>216</v>
      </c>
      <c r="CI104" s="26" t="str">
        <f>[2]!'#CL'</f>
        <v>N\A</v>
      </c>
      <c r="CJ104" s="26" t="str">
        <f>[3]!'#CL'</f>
        <v>N\A</v>
      </c>
      <c r="CK104" s="26" t="str">
        <f>[4]!'#CL'</f>
        <v>N\A</v>
      </c>
      <c r="CL104" s="26" t="str">
        <f>[5]!'#CL'</f>
        <v>N\A</v>
      </c>
      <c r="CM104" s="38" t="e">
        <f t="shared" si="68"/>
        <v>#VALUE!</v>
      </c>
      <c r="CN104" s="38" t="e">
        <f t="shared" si="69"/>
        <v>#VALUE!</v>
      </c>
      <c r="CO104" s="26"/>
      <c r="CP104" s="26" t="b">
        <f t="shared" si="37"/>
        <v>1</v>
      </c>
      <c r="CQ104" s="38">
        <f t="shared" si="70"/>
        <v>0</v>
      </c>
      <c r="CR104" s="26" t="str">
        <f t="shared" si="71"/>
        <v>Crude Oil, Light Sweet</v>
      </c>
      <c r="CS104" s="26"/>
      <c r="CT104" s="26" t="s">
        <v>216</v>
      </c>
      <c r="CU104" s="38">
        <f t="shared" si="72"/>
        <v>0</v>
      </c>
      <c r="CV104" s="26"/>
      <c r="CW104" s="26" t="s">
        <v>217</v>
      </c>
      <c r="CX104" s="26" t="s">
        <v>218</v>
      </c>
      <c r="CY104" s="26">
        <v>1</v>
      </c>
      <c r="CZ104" s="26" t="s">
        <v>3</v>
      </c>
      <c r="DA104" s="149" t="e">
        <f t="shared" ref="DA104:DA111" si="74">CW51</f>
        <v>#VALUE!</v>
      </c>
      <c r="DB104" s="37"/>
      <c r="DC104" s="150" t="e">
        <f>LARGE(DA104:DA111,1)</f>
        <v>#VALUE!</v>
      </c>
      <c r="DD104" s="26" t="e">
        <f>MATCH(DC104,DA104:DA111,0)</f>
        <v>#VALUE!</v>
      </c>
      <c r="DE104" s="26" t="e">
        <f>VLOOKUP(DD104,CY104:DA111,2,FALSE)</f>
        <v>#VALUE!</v>
      </c>
      <c r="DF104" s="26"/>
      <c r="DG104" s="26"/>
      <c r="DH104" s="26"/>
      <c r="DI104" s="26"/>
      <c r="DJ104" s="26"/>
      <c r="DK104" s="26" t="s">
        <v>46</v>
      </c>
      <c r="DL104" s="26" t="e">
        <f t="shared" ref="DL104:DQ104" si="75">DL54</f>
        <v>#VALUE!</v>
      </c>
      <c r="DM104" s="26" t="e">
        <f t="shared" si="75"/>
        <v>#VALUE!</v>
      </c>
      <c r="DN104" s="31" t="e">
        <f t="shared" si="75"/>
        <v>#VALUE!</v>
      </c>
      <c r="DO104" s="31" t="e">
        <f t="shared" si="75"/>
        <v>#VALUE!</v>
      </c>
      <c r="DP104" s="31" t="e">
        <f t="shared" si="75"/>
        <v>#VALUE!</v>
      </c>
      <c r="DQ104" s="31" t="e">
        <f t="shared" si="75"/>
        <v>#VALUE!</v>
      </c>
      <c r="DR104" s="26"/>
    </row>
    <row r="105" spans="83:122">
      <c r="CE105" s="26"/>
      <c r="CF105" s="26" t="s">
        <v>219</v>
      </c>
      <c r="CG105" s="26" t="s">
        <v>220</v>
      </c>
      <c r="CH105" s="26" t="s">
        <v>220</v>
      </c>
      <c r="CI105" s="26" t="str">
        <f>[2]!'#NG'</f>
        <v>N\A</v>
      </c>
      <c r="CJ105" s="26" t="str">
        <f>[3]!'#NG'</f>
        <v>N\A</v>
      </c>
      <c r="CK105" s="26" t="str">
        <f>[4]!'#NG'</f>
        <v>N\A</v>
      </c>
      <c r="CL105" s="26" t="str">
        <f>[5]!'#NG'</f>
        <v>N\A</v>
      </c>
      <c r="CM105" s="38" t="e">
        <f t="shared" si="68"/>
        <v>#VALUE!</v>
      </c>
      <c r="CN105" s="38" t="e">
        <f t="shared" si="69"/>
        <v>#VALUE!</v>
      </c>
      <c r="CO105" s="26"/>
      <c r="CP105" s="26" t="b">
        <f t="shared" si="37"/>
        <v>1</v>
      </c>
      <c r="CQ105" s="38">
        <f t="shared" si="70"/>
        <v>0</v>
      </c>
      <c r="CR105" s="26" t="str">
        <f t="shared" si="71"/>
        <v>Gas Oil</v>
      </c>
      <c r="CS105" s="26"/>
      <c r="CT105" s="26" t="s">
        <v>220</v>
      </c>
      <c r="CU105" s="38">
        <f t="shared" si="72"/>
        <v>0</v>
      </c>
      <c r="CV105" s="26"/>
      <c r="CW105" s="26" t="s">
        <v>221</v>
      </c>
      <c r="CX105" s="26" t="s">
        <v>222</v>
      </c>
      <c r="CY105" s="26">
        <v>2</v>
      </c>
      <c r="CZ105" s="26" t="s">
        <v>5</v>
      </c>
      <c r="DA105" s="151" t="e">
        <f t="shared" si="74"/>
        <v>#VALUE!</v>
      </c>
      <c r="DB105" s="37"/>
      <c r="DC105" s="152" t="e">
        <f>LARGE(DA104:DA111,2)</f>
        <v>#VALUE!</v>
      </c>
      <c r="DD105" s="26" t="e">
        <f>MATCH(DC105,DA104:DA111,0)</f>
        <v>#VALUE!</v>
      </c>
      <c r="DE105" s="26" t="e">
        <f>VLOOKUP(DD105,CY104:DA111,2,FALSE)</f>
        <v>#VALUE!</v>
      </c>
      <c r="DF105" s="26"/>
      <c r="DG105" s="26"/>
      <c r="DH105" s="26"/>
      <c r="DI105" s="26"/>
      <c r="DJ105" s="26"/>
      <c r="DK105" s="26" t="s">
        <v>63</v>
      </c>
      <c r="DL105" s="26" t="e">
        <f t="shared" ref="DL105:DQ105" si="76">DL65</f>
        <v>#VALUE!</v>
      </c>
      <c r="DM105" s="26" t="e">
        <f t="shared" si="76"/>
        <v>#VALUE!</v>
      </c>
      <c r="DN105" s="31" t="e">
        <f t="shared" si="76"/>
        <v>#VALUE!</v>
      </c>
      <c r="DO105" s="31" t="e">
        <f t="shared" si="76"/>
        <v>#VALUE!</v>
      </c>
      <c r="DP105" s="31" t="e">
        <f t="shared" si="76"/>
        <v>#VALUE!</v>
      </c>
      <c r="DQ105" s="31" t="e">
        <f t="shared" si="76"/>
        <v>#VALUE!</v>
      </c>
      <c r="DR105" s="26"/>
    </row>
    <row r="106" spans="83:122">
      <c r="CE106" s="26"/>
      <c r="CF106" s="26" t="s">
        <v>223</v>
      </c>
      <c r="CG106" s="26" t="s">
        <v>224</v>
      </c>
      <c r="CH106" s="26" t="s">
        <v>224</v>
      </c>
      <c r="CI106" s="26" t="str">
        <f>[2]!'#HOG5'</f>
        <v>N\A</v>
      </c>
      <c r="CJ106" s="26" t="str">
        <f>[3]!'#HOG5'</f>
        <v>N\A</v>
      </c>
      <c r="CK106" s="26" t="str">
        <f>[4]!'#HOG5'</f>
        <v>N\A</v>
      </c>
      <c r="CL106" s="26" t="str">
        <f>[5]!'#HOG5'</f>
        <v>N\A</v>
      </c>
      <c r="CM106" s="38" t="e">
        <f t="shared" si="68"/>
        <v>#VALUE!</v>
      </c>
      <c r="CN106" s="38" t="e">
        <f t="shared" si="69"/>
        <v>#VALUE!</v>
      </c>
      <c r="CO106" s="26"/>
      <c r="CP106" s="26" t="b">
        <f t="shared" si="37"/>
        <v>1</v>
      </c>
      <c r="CQ106" s="38">
        <f t="shared" si="70"/>
        <v>0</v>
      </c>
      <c r="CR106" s="26" t="str">
        <f t="shared" si="71"/>
        <v>Heating Oil</v>
      </c>
      <c r="CS106" s="26"/>
      <c r="CT106" s="26" t="s">
        <v>224</v>
      </c>
      <c r="CU106" s="38">
        <f t="shared" si="72"/>
        <v>0</v>
      </c>
      <c r="CV106" s="26"/>
      <c r="CW106" s="26" t="s">
        <v>217</v>
      </c>
      <c r="CX106" s="26" t="s">
        <v>225</v>
      </c>
      <c r="CY106" s="26">
        <v>3</v>
      </c>
      <c r="CZ106" s="26" t="s">
        <v>7</v>
      </c>
      <c r="DA106" s="153" t="e">
        <f t="shared" si="74"/>
        <v>#VALUE!</v>
      </c>
      <c r="DB106" s="37"/>
      <c r="DC106" s="149" t="e">
        <f>LARGE(DA104:DA111,3)</f>
        <v>#VALUE!</v>
      </c>
      <c r="DD106" s="26" t="e">
        <f>MATCH(DC106,DA104:DA111,0)</f>
        <v>#VALUE!</v>
      </c>
      <c r="DE106" s="26" t="e">
        <f>VLOOKUP(DD106,CY104:DA111,2,FALSE)</f>
        <v>#VALUE!</v>
      </c>
      <c r="DF106" s="26"/>
      <c r="DG106" s="26"/>
      <c r="DH106" s="26"/>
      <c r="DI106" s="26"/>
      <c r="DJ106" s="26"/>
      <c r="DK106" s="26"/>
      <c r="DL106" s="26" t="e">
        <f t="shared" ref="DL106:DQ106" si="77">SUM(DL99:DL105)</f>
        <v>#VALUE!</v>
      </c>
      <c r="DM106" s="26" t="e">
        <f t="shared" si="77"/>
        <v>#VALUE!</v>
      </c>
      <c r="DN106" s="31" t="e">
        <f t="shared" si="77"/>
        <v>#VALUE!</v>
      </c>
      <c r="DO106" s="31" t="e">
        <f t="shared" si="77"/>
        <v>#VALUE!</v>
      </c>
      <c r="DP106" s="31" t="e">
        <f t="shared" si="77"/>
        <v>#VALUE!</v>
      </c>
      <c r="DQ106" s="31" t="e">
        <f t="shared" si="77"/>
        <v>#VALUE!</v>
      </c>
      <c r="DR106" s="26"/>
    </row>
    <row r="107" spans="83:122">
      <c r="CE107" s="26"/>
      <c r="CF107" s="26" t="s">
        <v>226</v>
      </c>
      <c r="CG107" s="26" t="s">
        <v>227</v>
      </c>
      <c r="CH107" s="26" t="s">
        <v>227</v>
      </c>
      <c r="CI107" s="26" t="str">
        <f>[2]!'#NG'</f>
        <v>N\A</v>
      </c>
      <c r="CJ107" s="26" t="str">
        <f>[3]!'#NG'</f>
        <v>N\A</v>
      </c>
      <c r="CK107" s="26" t="str">
        <f>[4]!'#NG'</f>
        <v>N\A</v>
      </c>
      <c r="CL107" s="26" t="str">
        <f>[5]!'#NG'</f>
        <v>N\A</v>
      </c>
      <c r="CM107" s="38" t="e">
        <f t="shared" si="68"/>
        <v>#VALUE!</v>
      </c>
      <c r="CN107" s="38" t="e">
        <f t="shared" si="69"/>
        <v>#VALUE!</v>
      </c>
      <c r="CO107" s="26"/>
      <c r="CP107" s="26" t="b">
        <f t="shared" si="37"/>
        <v>1</v>
      </c>
      <c r="CQ107" s="38">
        <f t="shared" si="70"/>
        <v>0</v>
      </c>
      <c r="CR107" s="26" t="str">
        <f t="shared" si="71"/>
        <v>Henry Hub Natural Gas</v>
      </c>
      <c r="CS107" s="26"/>
      <c r="CT107" s="26" t="s">
        <v>227</v>
      </c>
      <c r="CU107" s="38">
        <f t="shared" si="72"/>
        <v>0</v>
      </c>
      <c r="CV107" s="26"/>
      <c r="CW107" s="26" t="s">
        <v>217</v>
      </c>
      <c r="CX107" s="26" t="s">
        <v>228</v>
      </c>
      <c r="CY107" s="26">
        <v>4</v>
      </c>
      <c r="CZ107" s="26" t="s">
        <v>9</v>
      </c>
      <c r="DA107" s="154" t="e">
        <f t="shared" si="74"/>
        <v>#VALUE!</v>
      </c>
      <c r="DB107" s="37"/>
      <c r="DC107" s="151" t="e">
        <f>LARGE(DA104:DA111,4)</f>
        <v>#VALUE!</v>
      </c>
      <c r="DD107" s="26" t="e">
        <f>MATCH(DC107,DA104:DA111,0)</f>
        <v>#VALUE!</v>
      </c>
      <c r="DE107" s="26" t="e">
        <f>VLOOKUP(DD107,CY104:DA111,2,FALSE)</f>
        <v>#VALUE!</v>
      </c>
      <c r="DF107" s="26"/>
      <c r="DG107" s="26"/>
      <c r="DH107" s="26"/>
      <c r="DI107" s="26"/>
      <c r="DJ107" s="26"/>
      <c r="DK107" s="26" t="s">
        <v>67</v>
      </c>
      <c r="DL107" s="26"/>
      <c r="DM107" s="26"/>
      <c r="DN107" s="31" t="e">
        <f>SUM(DP106+DN106)</f>
        <v>#VALUE!</v>
      </c>
      <c r="DO107" s="31"/>
      <c r="DP107" s="31"/>
      <c r="DQ107" s="31"/>
      <c r="DR107" s="26"/>
    </row>
    <row r="108" spans="83:122">
      <c r="CE108" s="26"/>
      <c r="CF108" s="26" t="s">
        <v>229</v>
      </c>
      <c r="CG108" s="26" t="s">
        <v>230</v>
      </c>
      <c r="CH108" s="26" t="s">
        <v>230</v>
      </c>
      <c r="CI108" s="26" t="str">
        <f>[2]!'#QGK5'</f>
        <v>N\A</v>
      </c>
      <c r="CJ108" s="26" t="str">
        <f>[3]!'#QGK5'</f>
        <v>N\A</v>
      </c>
      <c r="CK108" s="26" t="str">
        <f>[4]!'#QGK5'</f>
        <v>N\A</v>
      </c>
      <c r="CL108" s="26" t="str">
        <f>[5]!'#QGK5'</f>
        <v>N\A</v>
      </c>
      <c r="CM108" s="38" t="e">
        <f t="shared" si="68"/>
        <v>#VALUE!</v>
      </c>
      <c r="CN108" s="38" t="e">
        <f t="shared" si="69"/>
        <v>#VALUE!</v>
      </c>
      <c r="CO108" s="26"/>
      <c r="CP108" s="26" t="b">
        <f t="shared" si="37"/>
        <v>1</v>
      </c>
      <c r="CQ108" s="38">
        <f t="shared" si="70"/>
        <v>0</v>
      </c>
      <c r="CR108" s="26" t="str">
        <f t="shared" si="71"/>
        <v>E-mini Natural Gas</v>
      </c>
      <c r="CS108" s="26"/>
      <c r="CT108" s="26" t="s">
        <v>230</v>
      </c>
      <c r="CU108" s="38">
        <f t="shared" si="72"/>
        <v>0</v>
      </c>
      <c r="CV108" s="26"/>
      <c r="CW108" s="26" t="s">
        <v>217</v>
      </c>
      <c r="CX108" s="26" t="s">
        <v>231</v>
      </c>
      <c r="CY108" s="26">
        <v>5</v>
      </c>
      <c r="CZ108" s="26" t="s">
        <v>17</v>
      </c>
      <c r="DA108" s="155" t="e">
        <f t="shared" si="74"/>
        <v>#VALUE!</v>
      </c>
      <c r="DB108" s="37"/>
      <c r="DC108" s="153" t="e">
        <f>LARGE(DA104:DA111,5)</f>
        <v>#VALUE!</v>
      </c>
      <c r="DD108" s="26" t="e">
        <f>MATCH(DC108,DA104:DA111,0)</f>
        <v>#VALUE!</v>
      </c>
      <c r="DE108" s="26" t="e">
        <f>VLOOKUP(DD108,CY104:DA111,2,FALSE)</f>
        <v>#VALUE!</v>
      </c>
      <c r="DF108" s="26"/>
      <c r="DG108" s="26"/>
      <c r="DH108" s="26"/>
      <c r="DI108" s="26"/>
      <c r="DJ108" s="26"/>
      <c r="DK108" s="26" t="s">
        <v>68</v>
      </c>
      <c r="DL108" s="26"/>
      <c r="DM108" s="26"/>
      <c r="DN108" s="31" t="e">
        <f>SUM(DQ106-DN106)*-1</f>
        <v>#VALUE!</v>
      </c>
      <c r="DO108" s="31"/>
      <c r="DP108" s="31"/>
      <c r="DQ108" s="31"/>
      <c r="DR108" s="26"/>
    </row>
    <row r="109" spans="83:122">
      <c r="CE109" s="26"/>
      <c r="CF109" s="26" t="s">
        <v>232</v>
      </c>
      <c r="CG109" s="26" t="s">
        <v>233</v>
      </c>
      <c r="CH109" s="26" t="s">
        <v>233</v>
      </c>
      <c r="CI109" s="26" t="str">
        <f>[2]!'#QMM5'</f>
        <v>N\A</v>
      </c>
      <c r="CJ109" s="26" t="str">
        <f>[3]!'#QMM5'</f>
        <v>N\A</v>
      </c>
      <c r="CK109" s="26" t="str">
        <f>[4]!'#QMM5'</f>
        <v>N\A</v>
      </c>
      <c r="CL109" s="26" t="str">
        <f>[5]!'#QMM5'</f>
        <v>N\A</v>
      </c>
      <c r="CM109" s="38" t="e">
        <f t="shared" si="68"/>
        <v>#VALUE!</v>
      </c>
      <c r="CN109" s="38" t="e">
        <f t="shared" si="69"/>
        <v>#VALUE!</v>
      </c>
      <c r="CO109" s="26"/>
      <c r="CP109" s="26" t="b">
        <f t="shared" si="37"/>
        <v>1</v>
      </c>
      <c r="CQ109" s="38">
        <f t="shared" si="70"/>
        <v>0</v>
      </c>
      <c r="CR109" s="26" t="str">
        <f t="shared" si="71"/>
        <v>E-mini Crude Oil</v>
      </c>
      <c r="CS109" s="26"/>
      <c r="CT109" s="26" t="s">
        <v>233</v>
      </c>
      <c r="CU109" s="38">
        <f t="shared" si="72"/>
        <v>0</v>
      </c>
      <c r="CV109" s="26"/>
      <c r="CW109" s="26" t="s">
        <v>217</v>
      </c>
      <c r="CX109" s="26" t="s">
        <v>234</v>
      </c>
      <c r="CY109" s="26">
        <v>6</v>
      </c>
      <c r="CZ109" s="26" t="s">
        <v>13</v>
      </c>
      <c r="DA109" s="37" t="e">
        <f t="shared" si="74"/>
        <v>#VALUE!</v>
      </c>
      <c r="DB109" s="37"/>
      <c r="DC109" s="154" t="e">
        <f>LARGE(DA104:DA111,6)</f>
        <v>#VALUE!</v>
      </c>
      <c r="DD109" s="26" t="e">
        <f>MATCH(DC109,DA104:DA111,0)</f>
        <v>#VALUE!</v>
      </c>
      <c r="DE109" s="26" t="e">
        <f>VLOOKUP(DD109,CY104:DA111,2,FALSE)</f>
        <v>#VALUE!</v>
      </c>
      <c r="DF109" s="26"/>
      <c r="DG109" s="26"/>
      <c r="DH109" s="26"/>
      <c r="DI109" s="26"/>
      <c r="DJ109" s="26"/>
      <c r="DK109" s="26"/>
      <c r="DL109" s="26"/>
      <c r="DM109" s="26"/>
      <c r="DN109" s="31"/>
      <c r="DO109" s="31"/>
      <c r="DP109" s="31"/>
      <c r="DQ109" s="31"/>
      <c r="DR109" s="26"/>
    </row>
    <row r="110" spans="83:122">
      <c r="CE110" s="26"/>
      <c r="CF110" s="26" t="s">
        <v>235</v>
      </c>
      <c r="CG110" s="26" t="s">
        <v>236</v>
      </c>
      <c r="CH110" s="26" t="s">
        <v>236</v>
      </c>
      <c r="CI110" s="26" t="str">
        <f>[2]!'#CL'</f>
        <v>N\A</v>
      </c>
      <c r="CJ110" s="26" t="str">
        <f>[3]!'#CL'</f>
        <v>N\A</v>
      </c>
      <c r="CK110" s="26" t="str">
        <f>[4]!'#CL'</f>
        <v>N\A</v>
      </c>
      <c r="CL110" s="26" t="str">
        <f>[5]!'#CL'</f>
        <v>N\A</v>
      </c>
      <c r="CM110" s="38" t="e">
        <f t="shared" si="68"/>
        <v>#VALUE!</v>
      </c>
      <c r="CN110" s="38" t="e">
        <f t="shared" si="69"/>
        <v>#VALUE!</v>
      </c>
      <c r="CO110" s="26"/>
      <c r="CP110" s="26" t="b">
        <f t="shared" si="37"/>
        <v>1</v>
      </c>
      <c r="CQ110" s="38">
        <f t="shared" si="70"/>
        <v>0</v>
      </c>
      <c r="CR110" s="26" t="str">
        <f t="shared" si="71"/>
        <v>WTI Light Sweet Crude Oil(WBS)</v>
      </c>
      <c r="CS110" s="26"/>
      <c r="CT110" s="26" t="s">
        <v>236</v>
      </c>
      <c r="CU110" s="38">
        <f t="shared" si="72"/>
        <v>0</v>
      </c>
      <c r="CV110" s="26"/>
      <c r="CW110" s="26" t="s">
        <v>237</v>
      </c>
      <c r="CX110" s="26" t="s">
        <v>238</v>
      </c>
      <c r="CY110" s="26">
        <v>7</v>
      </c>
      <c r="CZ110" s="26" t="s">
        <v>15</v>
      </c>
      <c r="DA110" s="156" t="e">
        <f t="shared" si="74"/>
        <v>#VALUE!</v>
      </c>
      <c r="DB110" s="37"/>
      <c r="DC110" s="155" t="e">
        <f>LARGE(DA104:DA111,7)</f>
        <v>#VALUE!</v>
      </c>
      <c r="DD110" s="26" t="e">
        <f>MATCH(DC110,DA104:DA111,0)</f>
        <v>#VALUE!</v>
      </c>
      <c r="DE110" s="26" t="e">
        <f>VLOOKUP(DD110,CY104:DA111,2,FALSE)</f>
        <v>#VALUE!</v>
      </c>
      <c r="DF110" s="26"/>
      <c r="DG110" s="26"/>
      <c r="DH110" s="26"/>
      <c r="DI110" s="26"/>
      <c r="DJ110" s="26"/>
      <c r="DK110" s="30" t="s">
        <v>11</v>
      </c>
      <c r="DL110" s="26" t="s">
        <v>31</v>
      </c>
      <c r="DM110" s="26" t="s">
        <v>32</v>
      </c>
      <c r="DN110" s="26" t="s">
        <v>33</v>
      </c>
      <c r="DO110" s="31" t="s">
        <v>34</v>
      </c>
      <c r="DP110" s="31" t="s">
        <v>35</v>
      </c>
      <c r="DQ110" s="31" t="s">
        <v>36</v>
      </c>
      <c r="DR110" s="26"/>
    </row>
    <row r="111" spans="83:122">
      <c r="CE111" s="26"/>
      <c r="CF111" s="26" t="s">
        <v>239</v>
      </c>
      <c r="CG111" s="26" t="s">
        <v>240</v>
      </c>
      <c r="CH111" s="26" t="s">
        <v>240</v>
      </c>
      <c r="CI111" s="26" t="str">
        <f>[2]!'#XRBK5'</f>
        <v>N\A</v>
      </c>
      <c r="CJ111" s="26" t="str">
        <f>[3]!'#XRBK5'</f>
        <v>N\A</v>
      </c>
      <c r="CK111" s="26" t="str">
        <f>[4]!'#XRBK5'</f>
        <v>N\A</v>
      </c>
      <c r="CL111" s="26" t="str">
        <f>[5]!'#XRBK5'</f>
        <v>N\A</v>
      </c>
      <c r="CM111" s="38" t="e">
        <f t="shared" si="68"/>
        <v>#VALUE!</v>
      </c>
      <c r="CN111" s="38" t="e">
        <f t="shared" si="69"/>
        <v>#VALUE!</v>
      </c>
      <c r="CO111" s="38"/>
      <c r="CP111" s="26" t="b">
        <f t="shared" si="37"/>
        <v>1</v>
      </c>
      <c r="CQ111" s="38">
        <f t="shared" si="70"/>
        <v>0</v>
      </c>
      <c r="CR111" s="26" t="str">
        <f t="shared" si="71"/>
        <v>RBOB Gasoline</v>
      </c>
      <c r="CS111" s="26"/>
      <c r="CT111" s="26" t="s">
        <v>240</v>
      </c>
      <c r="CU111" s="38">
        <f t="shared" si="72"/>
        <v>0</v>
      </c>
      <c r="CV111" s="26"/>
      <c r="CW111" s="26" t="s">
        <v>217</v>
      </c>
      <c r="CX111" s="26" t="s">
        <v>241</v>
      </c>
      <c r="CY111" s="26">
        <v>8</v>
      </c>
      <c r="CZ111" s="26" t="s">
        <v>11</v>
      </c>
      <c r="DA111" s="157">
        <f t="shared" si="74"/>
        <v>3</v>
      </c>
      <c r="DB111" s="37"/>
      <c r="DC111" s="37" t="e">
        <f>LARGE(DA104:DA111,8)</f>
        <v>#VALUE!</v>
      </c>
      <c r="DD111" s="26" t="e">
        <f>MATCH(DC111,DA104:DA111,0)</f>
        <v>#VALUE!</v>
      </c>
      <c r="DE111" s="26" t="e">
        <f>VLOOKUP(DD111,CY104:DA111,2,FALSE)</f>
        <v>#VALUE!</v>
      </c>
      <c r="DF111" s="26"/>
      <c r="DG111" s="26"/>
      <c r="DH111" s="26"/>
      <c r="DI111" s="26"/>
      <c r="DJ111" s="26"/>
      <c r="DK111" s="26" t="s">
        <v>52</v>
      </c>
      <c r="DL111" s="26">
        <f t="shared" ref="DL111:DQ111" si="78">DL33</f>
        <v>11578700</v>
      </c>
      <c r="DM111" s="26">
        <f t="shared" si="78"/>
        <v>11578700</v>
      </c>
      <c r="DN111" s="31">
        <f t="shared" si="78"/>
        <v>11578700</v>
      </c>
      <c r="DO111" s="31">
        <f t="shared" si="78"/>
        <v>87200</v>
      </c>
      <c r="DP111" s="31">
        <f t="shared" si="78"/>
        <v>11636400</v>
      </c>
      <c r="DQ111" s="31">
        <f t="shared" si="78"/>
        <v>-11549200</v>
      </c>
      <c r="DR111" s="26"/>
    </row>
    <row r="112" spans="83:122">
      <c r="CE112" s="26"/>
      <c r="CF112" s="26"/>
      <c r="CG112" s="26"/>
      <c r="CH112" s="26"/>
      <c r="CI112" s="26"/>
      <c r="CJ112" s="26"/>
      <c r="CK112" s="26"/>
      <c r="CL112" s="26"/>
      <c r="CM112" s="26"/>
      <c r="CN112" s="26"/>
      <c r="CO112" s="26"/>
      <c r="CP112" s="26"/>
      <c r="CQ112" s="38"/>
      <c r="CR112" s="26" t="str">
        <f t="shared" ref="CR112:CR118" si="79">CF114</f>
        <v>COMEX Gold 100 Oz.</v>
      </c>
      <c r="CS112" s="26"/>
      <c r="CT112" s="26" t="s">
        <v>242</v>
      </c>
      <c r="CU112" s="38">
        <f t="shared" ref="CU112:CU118" si="80">CQ114</f>
        <v>0</v>
      </c>
      <c r="CV112" s="26"/>
      <c r="CW112" s="26" t="s">
        <v>217</v>
      </c>
      <c r="CX112" s="26"/>
      <c r="CY112" s="26"/>
      <c r="CZ112" s="26"/>
      <c r="DA112" s="38"/>
      <c r="DB112" s="26"/>
      <c r="DC112" s="38"/>
      <c r="DD112" s="26"/>
      <c r="DE112" s="26"/>
      <c r="DF112" s="26"/>
      <c r="DG112" s="26"/>
      <c r="DH112" s="26"/>
      <c r="DI112" s="26"/>
      <c r="DJ112" s="26"/>
      <c r="DK112" s="26" t="s">
        <v>57</v>
      </c>
      <c r="DL112" s="26">
        <f t="shared" ref="DL112:DQ112" si="81">DL45</f>
        <v>13801700</v>
      </c>
      <c r="DM112" s="26">
        <f t="shared" si="81"/>
        <v>13801700</v>
      </c>
      <c r="DN112" s="31">
        <f t="shared" si="81"/>
        <v>13801700</v>
      </c>
      <c r="DO112" s="31">
        <f t="shared" si="81"/>
        <v>193700</v>
      </c>
      <c r="DP112" s="31">
        <f t="shared" si="81"/>
        <v>13883300</v>
      </c>
      <c r="DQ112" s="31">
        <f t="shared" si="81"/>
        <v>-13689600</v>
      </c>
      <c r="DR112" s="26"/>
    </row>
    <row r="113" spans="83:122">
      <c r="CE113" s="26"/>
      <c r="CF113" s="26" t="s">
        <v>243</v>
      </c>
      <c r="CG113" s="26"/>
      <c r="CH113" s="26"/>
      <c r="CI113" s="26"/>
      <c r="CJ113" s="26"/>
      <c r="CK113" s="26"/>
      <c r="CL113" s="26"/>
      <c r="CM113" s="26"/>
      <c r="CN113" s="38">
        <f>SUM(CO118+CO120)/2</f>
        <v>0</v>
      </c>
      <c r="CO113" s="26"/>
      <c r="CP113" s="26"/>
      <c r="CQ113" s="38"/>
      <c r="CR113" s="26" t="str">
        <f t="shared" si="79"/>
        <v>COMEX Copper, High Grade(HG)</v>
      </c>
      <c r="CS113" s="26"/>
      <c r="CT113" s="26" t="s">
        <v>244</v>
      </c>
      <c r="CU113" s="38">
        <f t="shared" si="80"/>
        <v>0</v>
      </c>
      <c r="CV113" s="26"/>
      <c r="CW113" s="26" t="s">
        <v>217</v>
      </c>
      <c r="CX113" s="26"/>
      <c r="CY113" s="26"/>
      <c r="CZ113" s="26"/>
      <c r="DA113" s="38"/>
      <c r="DB113" s="26"/>
      <c r="DC113" s="38"/>
      <c r="DD113" s="26"/>
      <c r="DE113" s="26"/>
      <c r="DF113" s="26"/>
      <c r="DG113" s="26"/>
      <c r="DH113" s="26"/>
      <c r="DI113" s="26"/>
      <c r="DJ113" s="26"/>
      <c r="DK113" s="26" t="s">
        <v>44</v>
      </c>
      <c r="DL113" s="26">
        <f t="shared" ref="DL113:DQ113" si="82">DL55</f>
        <v>7862500</v>
      </c>
      <c r="DM113" s="26">
        <f t="shared" si="82"/>
        <v>7862500</v>
      </c>
      <c r="DN113" s="31">
        <f t="shared" si="82"/>
        <v>7862500</v>
      </c>
      <c r="DO113" s="31">
        <f t="shared" si="82"/>
        <v>90800</v>
      </c>
      <c r="DP113" s="31">
        <f t="shared" si="82"/>
        <v>7877100</v>
      </c>
      <c r="DQ113" s="31">
        <f t="shared" si="82"/>
        <v>-7786300</v>
      </c>
      <c r="DR113" s="26"/>
    </row>
    <row r="114" spans="83:122">
      <c r="CE114" s="26"/>
      <c r="CF114" s="26" t="s">
        <v>245</v>
      </c>
      <c r="CG114" s="26" t="s">
        <v>242</v>
      </c>
      <c r="CH114" s="26" t="s">
        <v>242</v>
      </c>
      <c r="CI114" s="26" t="str">
        <f>[2]!'#GCJ5'</f>
        <v>N\A</v>
      </c>
      <c r="CJ114" s="26" t="str">
        <f>[3]!'#GCJ5'</f>
        <v>N\A</v>
      </c>
      <c r="CK114" s="26" t="str">
        <f>[4]!'#GCJ5'</f>
        <v>N\A</v>
      </c>
      <c r="CL114" s="26" t="str">
        <f>[5]!'#GCJ5'</f>
        <v>N\A</v>
      </c>
      <c r="CM114" s="38" t="e">
        <f t="shared" ref="CM114:CM120" si="83">(100*(CK114-CJ114)/(CI114-CJ114))/100</f>
        <v>#VALUE!</v>
      </c>
      <c r="CN114" s="38" t="e">
        <f t="shared" ref="CN114:CN120" si="84">(CI114-CL114)/(CI114-CJ114)</f>
        <v>#VALUE!</v>
      </c>
      <c r="CO114" s="26"/>
      <c r="CP114" s="26" t="b">
        <f t="shared" si="37"/>
        <v>1</v>
      </c>
      <c r="CQ114" s="38">
        <f t="shared" ref="CQ114:CQ120" si="85">IF(CP114=FALSE,CM114,0%)</f>
        <v>0</v>
      </c>
      <c r="CR114" s="26" t="str">
        <f t="shared" si="79"/>
        <v>Nymex - Palladium</v>
      </c>
      <c r="CS114" s="26"/>
      <c r="CT114" s="26" t="s">
        <v>246</v>
      </c>
      <c r="CU114" s="38">
        <f t="shared" si="80"/>
        <v>0</v>
      </c>
      <c r="CV114" s="26"/>
      <c r="CW114" s="26" t="s">
        <v>217</v>
      </c>
      <c r="CX114" s="26"/>
      <c r="CY114" s="26"/>
      <c r="CZ114" s="26"/>
      <c r="DA114" s="38"/>
      <c r="DB114" s="26"/>
      <c r="DC114" s="38"/>
      <c r="DD114" s="26"/>
      <c r="DE114" s="26"/>
      <c r="DF114" s="26"/>
      <c r="DG114" s="26"/>
      <c r="DH114" s="26"/>
      <c r="DI114" s="26"/>
      <c r="DJ114" s="26"/>
      <c r="DK114" s="26" t="s">
        <v>62</v>
      </c>
      <c r="DL114" s="26">
        <f t="shared" ref="DL114:DQ114" si="86">DL66</f>
        <v>7563900</v>
      </c>
      <c r="DM114" s="26">
        <f t="shared" si="86"/>
        <v>7563900</v>
      </c>
      <c r="DN114" s="31">
        <f t="shared" si="86"/>
        <v>7563900</v>
      </c>
      <c r="DO114" s="31">
        <f t="shared" si="86"/>
        <v>87100</v>
      </c>
      <c r="DP114" s="31">
        <f t="shared" si="86"/>
        <v>7599300</v>
      </c>
      <c r="DQ114" s="31">
        <f t="shared" si="86"/>
        <v>-7512200</v>
      </c>
      <c r="DR114" s="26"/>
    </row>
    <row r="115" spans="83:122">
      <c r="CE115" s="26"/>
      <c r="CF115" s="26" t="s">
        <v>247</v>
      </c>
      <c r="CG115" s="26" t="s">
        <v>244</v>
      </c>
      <c r="CH115" s="26" t="s">
        <v>244</v>
      </c>
      <c r="CI115" s="26" t="str">
        <f>[2]!'#HGJ5'</f>
        <v>N\A</v>
      </c>
      <c r="CJ115" s="26" t="str">
        <f>[3]!'#HGJ5'</f>
        <v>N\A</v>
      </c>
      <c r="CK115" s="26" t="str">
        <f>[4]!'#HGJ5'</f>
        <v>N\A</v>
      </c>
      <c r="CL115" s="26" t="str">
        <f>[5]!'#HGJ5'</f>
        <v>N\A</v>
      </c>
      <c r="CM115" s="38" t="e">
        <f t="shared" si="83"/>
        <v>#VALUE!</v>
      </c>
      <c r="CN115" s="38" t="e">
        <f t="shared" si="84"/>
        <v>#VALUE!</v>
      </c>
      <c r="CO115" s="26"/>
      <c r="CP115" s="26" t="b">
        <f t="shared" si="37"/>
        <v>1</v>
      </c>
      <c r="CQ115" s="38">
        <f t="shared" si="85"/>
        <v>0</v>
      </c>
      <c r="CR115" s="26" t="str">
        <f t="shared" si="79"/>
        <v>Nymex — Platinum</v>
      </c>
      <c r="CS115" s="26"/>
      <c r="CT115" s="26" t="s">
        <v>248</v>
      </c>
      <c r="CU115" s="38">
        <f t="shared" si="80"/>
        <v>0</v>
      </c>
      <c r="CV115" s="26"/>
      <c r="CW115" s="26" t="s">
        <v>217</v>
      </c>
      <c r="CX115" s="26"/>
      <c r="CY115" s="26"/>
      <c r="CZ115" s="26" t="s">
        <v>249</v>
      </c>
      <c r="DA115" s="26"/>
      <c r="DB115" s="26"/>
      <c r="DC115" s="26" t="s">
        <v>128</v>
      </c>
      <c r="DD115" s="26" t="s">
        <v>129</v>
      </c>
      <c r="DE115" s="26" t="s">
        <v>130</v>
      </c>
      <c r="DF115" s="26"/>
      <c r="DG115" s="26"/>
      <c r="DH115" s="26"/>
      <c r="DI115" s="26"/>
      <c r="DJ115" s="26"/>
      <c r="DK115" s="26" t="s">
        <v>48</v>
      </c>
      <c r="DL115" s="26">
        <f t="shared" ref="DL115:DQ115" si="87">DL76</f>
        <v>7994000</v>
      </c>
      <c r="DM115" s="26">
        <f t="shared" si="87"/>
        <v>7994000</v>
      </c>
      <c r="DN115" s="31">
        <f t="shared" si="87"/>
        <v>7994000</v>
      </c>
      <c r="DO115" s="31">
        <f t="shared" si="87"/>
        <v>140200</v>
      </c>
      <c r="DP115" s="31">
        <f t="shared" si="87"/>
        <v>8015100</v>
      </c>
      <c r="DQ115" s="31">
        <f t="shared" si="87"/>
        <v>-7874900</v>
      </c>
      <c r="DR115" s="26"/>
    </row>
    <row r="116" spans="83:122">
      <c r="CE116" s="26"/>
      <c r="CF116" s="26" t="s">
        <v>250</v>
      </c>
      <c r="CG116" s="26" t="s">
        <v>246</v>
      </c>
      <c r="CH116" s="26" t="s">
        <v>246</v>
      </c>
      <c r="CI116" s="26" t="str">
        <f>[2]!'#PAF'</f>
        <v>N\A</v>
      </c>
      <c r="CJ116" s="26" t="str">
        <f>[3]!'#PAF'</f>
        <v>N\A</v>
      </c>
      <c r="CK116" s="26" t="str">
        <f>[4]!'#PAF'</f>
        <v>N\A</v>
      </c>
      <c r="CL116" s="26" t="str">
        <f>[5]!'#PAF'</f>
        <v>N\A</v>
      </c>
      <c r="CM116" s="38" t="e">
        <f t="shared" si="83"/>
        <v>#VALUE!</v>
      </c>
      <c r="CN116" s="38" t="e">
        <f t="shared" si="84"/>
        <v>#VALUE!</v>
      </c>
      <c r="CO116" s="26"/>
      <c r="CP116" s="26" t="b">
        <f t="shared" si="37"/>
        <v>1</v>
      </c>
      <c r="CQ116" s="38">
        <f t="shared" si="85"/>
        <v>0</v>
      </c>
      <c r="CR116" s="26" t="str">
        <f t="shared" si="79"/>
        <v>COMEX Silver, 5000 Oz.</v>
      </c>
      <c r="CS116" s="26"/>
      <c r="CT116" s="26" t="s">
        <v>251</v>
      </c>
      <c r="CU116" s="38">
        <f t="shared" si="80"/>
        <v>0</v>
      </c>
      <c r="CV116" s="26"/>
      <c r="CW116" s="26" t="s">
        <v>217</v>
      </c>
      <c r="CX116" s="26"/>
      <c r="CY116" s="26">
        <v>1</v>
      </c>
      <c r="CZ116" s="26" t="s">
        <v>3</v>
      </c>
      <c r="DA116" s="149" t="e">
        <f t="shared" ref="DA116:DA123" si="88">CX51</f>
        <v>#VALUE!</v>
      </c>
      <c r="DB116" s="37"/>
      <c r="DC116" s="39" t="e">
        <f>LARGE(DA116:DA123,1)</f>
        <v>#VALUE!</v>
      </c>
      <c r="DD116" s="26" t="e">
        <f>MATCH(DC116,DA116:DA123,0)</f>
        <v>#VALUE!</v>
      </c>
      <c r="DE116" s="26" t="e">
        <f>VLOOKUP(DD116,CY116:DA123,2,FALSE)</f>
        <v>#VALUE!</v>
      </c>
      <c r="DF116" s="26"/>
      <c r="DG116" s="26"/>
      <c r="DH116" s="26"/>
      <c r="DI116" s="26"/>
      <c r="DJ116" s="26"/>
      <c r="DK116" s="26" t="s">
        <v>49</v>
      </c>
      <c r="DL116" s="26">
        <f>DD52</f>
        <v>10591400</v>
      </c>
      <c r="DM116" s="26">
        <f>DE52</f>
        <v>10591400</v>
      </c>
      <c r="DN116" s="31">
        <f>DN87</f>
        <v>10591400</v>
      </c>
      <c r="DO116" s="31">
        <f>DO87</f>
        <v>105500</v>
      </c>
      <c r="DP116" s="31">
        <f>DP87</f>
        <v>10631200</v>
      </c>
      <c r="DQ116" s="31">
        <f>DQ87</f>
        <v>-10525700</v>
      </c>
      <c r="DR116" s="26"/>
    </row>
    <row r="117" spans="83:122">
      <c r="CE117" s="26"/>
      <c r="CF117" s="26" t="s">
        <v>252</v>
      </c>
      <c r="CG117" s="26" t="s">
        <v>248</v>
      </c>
      <c r="CH117" s="26" t="s">
        <v>248</v>
      </c>
      <c r="CI117" s="26" t="str">
        <f>[2]!'#PLF'</f>
        <v>N\A</v>
      </c>
      <c r="CJ117" s="26" t="str">
        <f>[3]!'#PLF'</f>
        <v>N\A</v>
      </c>
      <c r="CK117" s="26" t="str">
        <f>[4]!'#PLF'</f>
        <v>N\A</v>
      </c>
      <c r="CL117" s="26" t="str">
        <f>[5]!'#PLF'</f>
        <v>N\A</v>
      </c>
      <c r="CM117" s="38" t="e">
        <f>(100*(CK117-CJ117)/(CI117-CJ117))/100</f>
        <v>#VALUE!</v>
      </c>
      <c r="CN117" s="38" t="e">
        <f t="shared" si="84"/>
        <v>#VALUE!</v>
      </c>
      <c r="CO117" s="26"/>
      <c r="CP117" s="26" t="b">
        <f t="shared" si="37"/>
        <v>1</v>
      </c>
      <c r="CQ117" s="38">
        <f t="shared" si="85"/>
        <v>0</v>
      </c>
      <c r="CR117" s="26" t="str">
        <f t="shared" si="79"/>
        <v>XAG</v>
      </c>
      <c r="CS117" s="26"/>
      <c r="CT117" s="26" t="s">
        <v>253</v>
      </c>
      <c r="CU117" s="38">
        <f t="shared" si="80"/>
        <v>0</v>
      </c>
      <c r="CV117" s="26"/>
      <c r="CW117" s="26" t="s">
        <v>217</v>
      </c>
      <c r="CX117" s="26"/>
      <c r="CY117" s="26">
        <v>2</v>
      </c>
      <c r="CZ117" s="26" t="s">
        <v>5</v>
      </c>
      <c r="DA117" s="151" t="e">
        <f t="shared" si="88"/>
        <v>#VALUE!</v>
      </c>
      <c r="DB117" s="37"/>
      <c r="DC117" s="39" t="e">
        <f>LARGE(DA116:DA123,2)</f>
        <v>#VALUE!</v>
      </c>
      <c r="DD117" s="26" t="e">
        <f>MATCH(DC117,DA116:DA123,0)</f>
        <v>#VALUE!</v>
      </c>
      <c r="DE117" s="26" t="e">
        <f>VLOOKUP(DD117,CY116:DA123,2,FALSE)</f>
        <v>#VALUE!</v>
      </c>
      <c r="DF117" s="26"/>
      <c r="DG117" s="26"/>
      <c r="DH117" s="26"/>
      <c r="DI117" s="26"/>
      <c r="DJ117" s="26"/>
      <c r="DK117" s="26" t="s">
        <v>66</v>
      </c>
      <c r="DL117" s="26">
        <f>DD55</f>
        <v>10385000</v>
      </c>
      <c r="DM117" s="26">
        <f>DE55</f>
        <v>10385000</v>
      </c>
      <c r="DN117" s="31">
        <f>DN101</f>
        <v>10385000</v>
      </c>
      <c r="DO117" s="31">
        <f>DO101</f>
        <v>151700</v>
      </c>
      <c r="DP117" s="31">
        <f>DP101</f>
        <v>10431800</v>
      </c>
      <c r="DQ117" s="31">
        <f>DQ101</f>
        <v>-10280100</v>
      </c>
      <c r="DR117" s="26"/>
    </row>
    <row r="118" spans="83:122">
      <c r="CE118" s="26"/>
      <c r="CF118" s="26" t="s">
        <v>254</v>
      </c>
      <c r="CG118" s="26" t="s">
        <v>251</v>
      </c>
      <c r="CH118" s="26" t="s">
        <v>251</v>
      </c>
      <c r="CI118" s="26" t="str">
        <f>[2]!'#SIJ5'</f>
        <v>N\A</v>
      </c>
      <c r="CJ118" s="26" t="str">
        <f>[3]!'#SIJ5'</f>
        <v>N\A</v>
      </c>
      <c r="CK118" s="26" t="str">
        <f>[4]!'#SIJ5'</f>
        <v>N\A</v>
      </c>
      <c r="CL118" s="26" t="str">
        <f>[5]!'#SIJ5'</f>
        <v>N\A</v>
      </c>
      <c r="CM118" s="38" t="e">
        <f t="shared" si="83"/>
        <v>#VALUE!</v>
      </c>
      <c r="CN118" s="38" t="e">
        <f t="shared" si="84"/>
        <v>#VALUE!</v>
      </c>
      <c r="CO118" s="38"/>
      <c r="CP118" s="26" t="b">
        <f t="shared" si="37"/>
        <v>1</v>
      </c>
      <c r="CQ118" s="38">
        <f t="shared" si="85"/>
        <v>0</v>
      </c>
      <c r="CR118" s="26" t="str">
        <f t="shared" si="79"/>
        <v>XAU</v>
      </c>
      <c r="CS118" s="26"/>
      <c r="CT118" s="26" t="s">
        <v>255</v>
      </c>
      <c r="CU118" s="38">
        <f t="shared" si="80"/>
        <v>0</v>
      </c>
      <c r="CV118" s="26"/>
      <c r="CW118" s="26" t="s">
        <v>237</v>
      </c>
      <c r="CX118" s="26"/>
      <c r="CY118" s="26">
        <v>3</v>
      </c>
      <c r="CZ118" s="26" t="s">
        <v>7</v>
      </c>
      <c r="DA118" s="153" t="e">
        <f t="shared" si="88"/>
        <v>#VALUE!</v>
      </c>
      <c r="DB118" s="37"/>
      <c r="DC118" s="39" t="e">
        <f>LARGE(DA116:DA123,3)</f>
        <v>#VALUE!</v>
      </c>
      <c r="DD118" s="26" t="e">
        <f>MATCH(DC118,DA116:DA123,0)</f>
        <v>#VALUE!</v>
      </c>
      <c r="DE118" s="26" t="e">
        <f>VLOOKUP(DD118,CY116:DA123,2,FALSE)</f>
        <v>#VALUE!</v>
      </c>
      <c r="DF118" s="26"/>
      <c r="DG118" s="26"/>
      <c r="DH118" s="26"/>
      <c r="DI118" s="26"/>
      <c r="DJ118" s="38"/>
      <c r="DK118" s="26"/>
      <c r="DL118" s="31">
        <f t="shared" ref="DL118:DQ118" si="89">SUM(DL111:DL117)</f>
        <v>69777200</v>
      </c>
      <c r="DM118" s="31">
        <f t="shared" si="89"/>
        <v>69777200</v>
      </c>
      <c r="DN118" s="31">
        <f t="shared" si="89"/>
        <v>69777200</v>
      </c>
      <c r="DO118" s="31">
        <f t="shared" si="89"/>
        <v>856200</v>
      </c>
      <c r="DP118" s="31">
        <f t="shared" si="89"/>
        <v>70074200</v>
      </c>
      <c r="DQ118" s="31">
        <f t="shared" si="89"/>
        <v>-69218000</v>
      </c>
      <c r="DR118" s="26"/>
    </row>
    <row r="119" spans="83:122">
      <c r="CE119" s="26"/>
      <c r="CF119" s="26" t="s">
        <v>253</v>
      </c>
      <c r="CG119" s="26" t="s">
        <v>256</v>
      </c>
      <c r="CH119" s="26" t="s">
        <v>253</v>
      </c>
      <c r="CI119" s="26" t="str">
        <f>[2]!SILVER</f>
        <v>N\A</v>
      </c>
      <c r="CJ119" s="26" t="str">
        <f>[3]!SILVER</f>
        <v>N\A</v>
      </c>
      <c r="CK119" s="26" t="str">
        <f>[4]!SILVER</f>
        <v>N\A</v>
      </c>
      <c r="CL119" s="26" t="str">
        <f>[5]!SILVER</f>
        <v>N\A</v>
      </c>
      <c r="CM119" s="38" t="e">
        <f t="shared" si="83"/>
        <v>#VALUE!</v>
      </c>
      <c r="CN119" s="38" t="e">
        <f t="shared" si="84"/>
        <v>#VALUE!</v>
      </c>
      <c r="CO119" s="26"/>
      <c r="CP119" s="26" t="b">
        <f>ISERR(CM119)</f>
        <v>1</v>
      </c>
      <c r="CQ119" s="38">
        <f t="shared" si="85"/>
        <v>0</v>
      </c>
      <c r="CR119" s="26" t="str">
        <f t="shared" ref="CR119:CR125" si="90">CF127</f>
        <v>Corn</v>
      </c>
      <c r="CS119" s="26"/>
      <c r="CT119" s="26" t="s">
        <v>257</v>
      </c>
      <c r="CU119" s="38">
        <f t="shared" ref="CU119:CU125" si="91">CQ127</f>
        <v>0</v>
      </c>
      <c r="CV119" s="26"/>
      <c r="CW119" s="26"/>
      <c r="CX119" s="26"/>
      <c r="CY119" s="26">
        <v>4</v>
      </c>
      <c r="CZ119" s="26" t="s">
        <v>9</v>
      </c>
      <c r="DA119" s="154" t="e">
        <f t="shared" si="88"/>
        <v>#VALUE!</v>
      </c>
      <c r="DB119" s="37"/>
      <c r="DC119" s="39" t="e">
        <f>LARGE(DA116:DA123,4)</f>
        <v>#VALUE!</v>
      </c>
      <c r="DD119" s="26" t="e">
        <f>MATCH(DC119,DA116:DA123,0)</f>
        <v>#VALUE!</v>
      </c>
      <c r="DE119" s="26" t="e">
        <f>VLOOKUP(DD119,CY116:DA123,2,FALSE)</f>
        <v>#VALUE!</v>
      </c>
      <c r="DF119" s="26"/>
      <c r="DG119" s="26"/>
      <c r="DH119" s="26"/>
      <c r="DI119" s="26"/>
      <c r="DJ119" s="38"/>
      <c r="DK119" s="26" t="s">
        <v>67</v>
      </c>
      <c r="DL119" s="26"/>
      <c r="DM119" s="26"/>
      <c r="DN119" s="31">
        <f>SUM(DP118+DN118)</f>
        <v>139851400</v>
      </c>
      <c r="DO119" s="31"/>
      <c r="DP119" s="31"/>
      <c r="DQ119" s="31"/>
      <c r="DR119" s="26"/>
    </row>
    <row r="120" spans="83:122">
      <c r="CE120" s="26"/>
      <c r="CF120" s="26" t="s">
        <v>255</v>
      </c>
      <c r="CG120" s="26" t="s">
        <v>258</v>
      </c>
      <c r="CH120" s="26" t="s">
        <v>255</v>
      </c>
      <c r="CI120" s="26" t="str">
        <f>[2]!GOLD</f>
        <v>N\A</v>
      </c>
      <c r="CJ120" s="26" t="str">
        <f>[3]!GOLD</f>
        <v>N\A</v>
      </c>
      <c r="CK120" s="26" t="str">
        <f>[4]!GOLD</f>
        <v>N\A</v>
      </c>
      <c r="CL120" s="26" t="str">
        <f>[5]!GOLD</f>
        <v>N\A</v>
      </c>
      <c r="CM120" s="38" t="e">
        <f t="shared" si="83"/>
        <v>#VALUE!</v>
      </c>
      <c r="CN120" s="38" t="e">
        <f t="shared" si="84"/>
        <v>#VALUE!</v>
      </c>
      <c r="CO120" s="38"/>
      <c r="CP120" s="26" t="b">
        <f>ISERR(CM120)</f>
        <v>1</v>
      </c>
      <c r="CQ120" s="38">
        <f t="shared" si="85"/>
        <v>0</v>
      </c>
      <c r="CR120" s="26" t="str">
        <f t="shared" si="90"/>
        <v>Soybean Oil</v>
      </c>
      <c r="CS120" s="26"/>
      <c r="CT120" s="26" t="s">
        <v>259</v>
      </c>
      <c r="CU120" s="38">
        <f t="shared" si="91"/>
        <v>0</v>
      </c>
      <c r="CV120" s="26"/>
      <c r="CW120" s="26"/>
      <c r="CX120" s="26"/>
      <c r="CY120" s="26">
        <v>5</v>
      </c>
      <c r="CZ120" s="26" t="s">
        <v>17</v>
      </c>
      <c r="DA120" s="155" t="e">
        <f t="shared" si="88"/>
        <v>#VALUE!</v>
      </c>
      <c r="DB120" s="37"/>
      <c r="DC120" s="39" t="e">
        <f>LARGE(DA116:DA123,5)</f>
        <v>#VALUE!</v>
      </c>
      <c r="DD120" s="26" t="e">
        <f>MATCH(DC120,DA116:DA123,0)</f>
        <v>#VALUE!</v>
      </c>
      <c r="DE120" s="26" t="e">
        <f>VLOOKUP(DD120,CY116:DA123,2,FALSE)</f>
        <v>#VALUE!</v>
      </c>
      <c r="DF120" s="26"/>
      <c r="DG120" s="26"/>
      <c r="DH120" s="26"/>
      <c r="DI120" s="26"/>
      <c r="DJ120" s="38"/>
      <c r="DK120" s="26" t="s">
        <v>68</v>
      </c>
      <c r="DL120" s="26"/>
      <c r="DM120" s="26"/>
      <c r="DN120" s="31">
        <f>SUM(DQ118-DN118)*-1</f>
        <v>138995200</v>
      </c>
      <c r="DO120" s="31"/>
      <c r="DP120" s="31"/>
      <c r="DQ120" s="31"/>
      <c r="DR120" s="26"/>
    </row>
    <row r="121" spans="83:122">
      <c r="CE121" s="26"/>
      <c r="CF121" s="26" t="s">
        <v>260</v>
      </c>
      <c r="CG121" s="26" t="s">
        <v>261</v>
      </c>
      <c r="CH121" s="26" t="s">
        <v>262</v>
      </c>
      <c r="CI121" s="26" t="str">
        <f>[2]!'#LBSN5'</f>
        <v>N\A</v>
      </c>
      <c r="CJ121" s="26" t="str">
        <f>[3]!'#LBSN5'</f>
        <v>N\A</v>
      </c>
      <c r="CK121" s="26" t="str">
        <f>[4]!'#LBSN5'</f>
        <v>N\A</v>
      </c>
      <c r="CL121" s="26" t="str">
        <f>[5]!'#LBSN5'</f>
        <v>N\A</v>
      </c>
      <c r="CM121" s="38" t="e">
        <f>(100*(CK121-CJ121)/(CI121-CJ121))/100</f>
        <v>#VALUE!</v>
      </c>
      <c r="CN121" s="38" t="e">
        <f>(CI121-CL121)/(CI121-CJ121)</f>
        <v>#VALUE!</v>
      </c>
      <c r="CO121" s="26"/>
      <c r="CP121" s="26"/>
      <c r="CQ121" s="38"/>
      <c r="CR121" s="26" t="str">
        <f t="shared" si="90"/>
        <v>Soybean Meal</v>
      </c>
      <c r="CS121" s="26"/>
      <c r="CT121" s="26" t="s">
        <v>263</v>
      </c>
      <c r="CU121" s="38">
        <f t="shared" si="91"/>
        <v>0</v>
      </c>
      <c r="CV121" s="26"/>
      <c r="CW121" s="26"/>
      <c r="CX121" s="26"/>
      <c r="CY121" s="26">
        <v>6</v>
      </c>
      <c r="CZ121" s="26" t="s">
        <v>13</v>
      </c>
      <c r="DA121" s="37" t="e">
        <f t="shared" si="88"/>
        <v>#VALUE!</v>
      </c>
      <c r="DB121" s="37"/>
      <c r="DC121" s="39" t="e">
        <f>LARGE(DA116:DA123,6)</f>
        <v>#VALUE!</v>
      </c>
      <c r="DD121" s="26" t="e">
        <f>MATCH(DC121,DA116:DA123,0)</f>
        <v>#VALUE!</v>
      </c>
      <c r="DE121" s="26" t="e">
        <f>VLOOKUP(DD121,CY116:DA123,2,FALSE)</f>
        <v>#VALUE!</v>
      </c>
      <c r="DF121" s="26"/>
      <c r="DG121" s="26"/>
      <c r="DH121" s="26"/>
      <c r="DI121" s="26"/>
      <c r="DJ121" s="38"/>
      <c r="DK121" s="26"/>
      <c r="DL121" s="26"/>
      <c r="DM121" s="26"/>
      <c r="DN121" s="26"/>
      <c r="DO121" s="26"/>
      <c r="DP121" s="26"/>
      <c r="DQ121" s="38"/>
      <c r="DR121" s="26"/>
    </row>
    <row r="122" spans="83:122">
      <c r="CE122" s="26"/>
      <c r="CF122" s="26" t="s">
        <v>264</v>
      </c>
      <c r="CG122" s="26" t="s">
        <v>265</v>
      </c>
      <c r="CH122" s="26" t="s">
        <v>266</v>
      </c>
      <c r="CI122" s="26" t="str">
        <f>[2]!'#GFK5'</f>
        <v>N\A</v>
      </c>
      <c r="CJ122" s="26" t="str">
        <f>[3]!'#GFK5'</f>
        <v>N\A</v>
      </c>
      <c r="CK122" s="26" t="str">
        <f>[4]!'#GFK5'</f>
        <v>N\A</v>
      </c>
      <c r="CL122" s="26" t="str">
        <f>[5]!'#GFK5'</f>
        <v>N\A</v>
      </c>
      <c r="CM122" s="38" t="e">
        <f>(100*(CK122-CJ122)/(CI122-CJ122))/100</f>
        <v>#VALUE!</v>
      </c>
      <c r="CN122" s="38" t="e">
        <f>(CI122-CL122)/(CI122-CJ122)</f>
        <v>#VALUE!</v>
      </c>
      <c r="CO122" s="26"/>
      <c r="CP122" s="26"/>
      <c r="CQ122" s="26"/>
      <c r="CR122" s="26" t="str">
        <f t="shared" si="90"/>
        <v>Oats</v>
      </c>
      <c r="CS122" s="26"/>
      <c r="CT122" s="26" t="s">
        <v>267</v>
      </c>
      <c r="CU122" s="38">
        <f t="shared" si="91"/>
        <v>0</v>
      </c>
      <c r="CV122" s="26"/>
      <c r="CW122" s="26"/>
      <c r="CX122" s="26"/>
      <c r="CY122" s="26">
        <v>7</v>
      </c>
      <c r="CZ122" s="26" t="s">
        <v>15</v>
      </c>
      <c r="DA122" s="156" t="e">
        <f t="shared" si="88"/>
        <v>#VALUE!</v>
      </c>
      <c r="DB122" s="37"/>
      <c r="DC122" s="39" t="e">
        <f>LARGE(DA116:DA123,7)</f>
        <v>#VALUE!</v>
      </c>
      <c r="DD122" s="26" t="e">
        <f>MATCH(DC122,DA116:DA123,0)</f>
        <v>#VALUE!</v>
      </c>
      <c r="DE122" s="26" t="e">
        <f>VLOOKUP(DD122,CY116:DA123,2,FALSE)</f>
        <v>#VALUE!</v>
      </c>
      <c r="DF122" s="26"/>
      <c r="DG122" s="26"/>
      <c r="DH122" s="26"/>
      <c r="DI122" s="26"/>
      <c r="DJ122" s="38"/>
      <c r="DK122" s="26"/>
      <c r="DL122" s="26"/>
      <c r="DM122" s="26"/>
      <c r="DN122" s="26"/>
      <c r="DO122" s="26"/>
      <c r="DP122" s="26"/>
      <c r="DQ122" s="38"/>
      <c r="DR122" s="26"/>
    </row>
    <row r="123" spans="83:122">
      <c r="CE123" s="26"/>
      <c r="CF123" s="26" t="s">
        <v>268</v>
      </c>
      <c r="CG123" s="26" t="s">
        <v>269</v>
      </c>
      <c r="CH123" s="26" t="s">
        <v>270</v>
      </c>
      <c r="CI123" s="26" t="str">
        <f>[2]!'#HEG5'</f>
        <v>N\A</v>
      </c>
      <c r="CJ123" s="26" t="str">
        <f>[3]!'#HEG5'</f>
        <v>N\A</v>
      </c>
      <c r="CK123" s="26" t="str">
        <f>[4]!'#HEG5'</f>
        <v>N\A</v>
      </c>
      <c r="CL123" s="26" t="str">
        <f>[5]!'#HEG5'</f>
        <v>N\A</v>
      </c>
      <c r="CM123" s="38" t="e">
        <f>(100*(CK123-CJ123)/(CI123-CJ123))/100</f>
        <v>#VALUE!</v>
      </c>
      <c r="CN123" s="38" t="e">
        <f>(CI123-CL123)/(CI123-CJ123)</f>
        <v>#VALUE!</v>
      </c>
      <c r="CO123" s="26"/>
      <c r="CP123" s="26"/>
      <c r="CQ123" s="26"/>
      <c r="CR123" s="26" t="str">
        <f t="shared" si="90"/>
        <v>Rough Rice</v>
      </c>
      <c r="CS123" s="26"/>
      <c r="CT123" s="26" t="s">
        <v>271</v>
      </c>
      <c r="CU123" s="38">
        <f t="shared" si="91"/>
        <v>0</v>
      </c>
      <c r="CV123" s="26"/>
      <c r="CW123" s="26"/>
      <c r="CX123" s="26"/>
      <c r="CY123" s="26">
        <v>8</v>
      </c>
      <c r="CZ123" s="26" t="s">
        <v>11</v>
      </c>
      <c r="DA123" s="157">
        <f t="shared" si="88"/>
        <v>0.35520624186558158</v>
      </c>
      <c r="DB123" s="37"/>
      <c r="DC123" s="39" t="e">
        <f>LARGE(DA116:DA123,8)</f>
        <v>#VALUE!</v>
      </c>
      <c r="DD123" s="26" t="e">
        <f>MATCH(DC123,DA116:DA123,0)</f>
        <v>#VALUE!</v>
      </c>
      <c r="DE123" s="26" t="e">
        <f>VLOOKUP(DD123,CY116:DA123,2,FALSE)</f>
        <v>#VALUE!</v>
      </c>
      <c r="DF123" s="26"/>
      <c r="DG123" s="26"/>
      <c r="DH123" s="26"/>
      <c r="DI123" s="26"/>
      <c r="DJ123" s="38"/>
      <c r="DK123" s="26"/>
      <c r="DL123" s="26" t="s">
        <v>33</v>
      </c>
      <c r="DM123" s="26" t="s">
        <v>67</v>
      </c>
      <c r="DN123" s="26" t="s">
        <v>68</v>
      </c>
      <c r="DO123" s="26"/>
      <c r="DP123" s="26"/>
      <c r="DQ123" s="38"/>
      <c r="DR123" s="26"/>
    </row>
    <row r="124" spans="83:122">
      <c r="CE124" s="26"/>
      <c r="CF124" s="26" t="s">
        <v>272</v>
      </c>
      <c r="CG124" s="26" t="s">
        <v>273</v>
      </c>
      <c r="CH124" s="26" t="s">
        <v>274</v>
      </c>
      <c r="CI124" s="26" t="str">
        <f>[2]!'#LEJ5'</f>
        <v>N\A</v>
      </c>
      <c r="CJ124" s="26" t="str">
        <f>[3]!'#LEJ5'</f>
        <v>N\A</v>
      </c>
      <c r="CK124" s="26" t="str">
        <f>[4]!'#LEJ5'</f>
        <v>N\A</v>
      </c>
      <c r="CL124" s="26" t="str">
        <f>[5]!'#LEJ5'</f>
        <v>N\A</v>
      </c>
      <c r="CM124" s="38" t="e">
        <f>(100*(CK124-CJ124)/(CI124-CJ124))/100</f>
        <v>#VALUE!</v>
      </c>
      <c r="CN124" s="38" t="e">
        <f>(CI124-CL124)/(CI124-CJ124)</f>
        <v>#VALUE!</v>
      </c>
      <c r="CO124" s="26"/>
      <c r="CP124" s="26"/>
      <c r="CQ124" s="26"/>
      <c r="CR124" s="26" t="str">
        <f t="shared" si="90"/>
        <v>Soybeans</v>
      </c>
      <c r="CS124" s="26"/>
      <c r="CT124" s="26" t="s">
        <v>275</v>
      </c>
      <c r="CU124" s="38">
        <f t="shared" si="91"/>
        <v>0</v>
      </c>
      <c r="CV124" s="26"/>
      <c r="CW124" s="26"/>
      <c r="CX124" s="26"/>
      <c r="CY124" s="26"/>
      <c r="CZ124" s="26"/>
      <c r="DA124" s="39"/>
      <c r="DB124" s="26"/>
      <c r="DC124" s="39"/>
      <c r="DD124" s="26"/>
      <c r="DE124" s="26"/>
      <c r="DF124" s="26"/>
      <c r="DG124" s="26"/>
      <c r="DH124" s="26"/>
      <c r="DI124" s="26"/>
      <c r="DJ124" s="38"/>
      <c r="DK124" s="26" t="s">
        <v>3</v>
      </c>
      <c r="DL124" s="31" t="e">
        <f>DN34</f>
        <v>#VALUE!</v>
      </c>
      <c r="DM124" s="31" t="e">
        <f>DN35</f>
        <v>#VALUE!</v>
      </c>
      <c r="DN124" s="31" t="e">
        <f>DN36</f>
        <v>#VALUE!</v>
      </c>
      <c r="DO124" s="26"/>
      <c r="DP124" s="31"/>
      <c r="DQ124" s="38"/>
      <c r="DR124" s="26"/>
    </row>
    <row r="125" spans="83:122">
      <c r="CE125" s="26"/>
      <c r="CF125" s="26"/>
      <c r="CG125" s="26"/>
      <c r="CH125" s="26"/>
      <c r="CI125" s="26"/>
      <c r="CJ125" s="26"/>
      <c r="CK125" s="26"/>
      <c r="CL125" s="26"/>
      <c r="CM125" s="26"/>
      <c r="CN125" s="26"/>
      <c r="CO125" s="26"/>
      <c r="CP125" s="26"/>
      <c r="CQ125" s="26"/>
      <c r="CR125" s="26" t="str">
        <f t="shared" si="90"/>
        <v>Wheat</v>
      </c>
      <c r="CS125" s="26"/>
      <c r="CT125" s="26" t="s">
        <v>276</v>
      </c>
      <c r="CU125" s="38">
        <f t="shared" si="91"/>
        <v>0</v>
      </c>
      <c r="CV125" s="26"/>
      <c r="CW125" s="26"/>
      <c r="CX125" s="26"/>
      <c r="CY125" s="26"/>
      <c r="CZ125" s="26"/>
      <c r="DA125" s="26"/>
      <c r="DB125" s="26"/>
      <c r="DC125" s="26"/>
      <c r="DD125" s="26"/>
      <c r="DE125" s="26"/>
      <c r="DF125" s="26"/>
      <c r="DG125" s="26"/>
      <c r="DH125" s="26"/>
      <c r="DI125" s="26"/>
      <c r="DJ125" s="38"/>
      <c r="DK125" s="26" t="s">
        <v>5</v>
      </c>
      <c r="DL125" s="31" t="e">
        <f>DN46</f>
        <v>#VALUE!</v>
      </c>
      <c r="DM125" s="31" t="e">
        <f>DN47</f>
        <v>#VALUE!</v>
      </c>
      <c r="DN125" s="31" t="e">
        <f>DN48</f>
        <v>#VALUE!</v>
      </c>
      <c r="DO125" s="26"/>
      <c r="DP125" s="26"/>
      <c r="DQ125" s="38"/>
      <c r="DR125" s="26"/>
    </row>
    <row r="126" spans="83:122">
      <c r="CE126" s="26"/>
      <c r="CF126" s="26" t="s">
        <v>277</v>
      </c>
      <c r="CG126" s="26"/>
      <c r="CH126" s="26"/>
      <c r="CI126" s="26"/>
      <c r="CJ126" s="26"/>
      <c r="CK126" s="26"/>
      <c r="CL126" s="26"/>
      <c r="CM126" s="26"/>
      <c r="CN126" s="26"/>
      <c r="CO126" s="26"/>
      <c r="CP126" s="26"/>
      <c r="CQ126" s="38"/>
      <c r="CR126" s="26" t="str">
        <f t="shared" ref="CR126:CR133" si="92">CF136</f>
        <v>NYBOT Cocoa(CC)</v>
      </c>
      <c r="CS126" s="26"/>
      <c r="CT126" s="26" t="s">
        <v>278</v>
      </c>
      <c r="CU126" s="38">
        <f t="shared" ref="CU126:CU133" si="93">CQ136</f>
        <v>0</v>
      </c>
      <c r="CV126" s="26"/>
      <c r="CW126" s="26"/>
      <c r="CX126" s="26"/>
      <c r="CY126" s="26"/>
      <c r="CZ126" s="26" t="s">
        <v>1</v>
      </c>
      <c r="DA126" s="26"/>
      <c r="DB126" s="26"/>
      <c r="DC126" s="26" t="s">
        <v>128</v>
      </c>
      <c r="DD126" s="26" t="s">
        <v>129</v>
      </c>
      <c r="DE126" s="26" t="s">
        <v>130</v>
      </c>
      <c r="DF126" s="26"/>
      <c r="DG126" s="26"/>
      <c r="DH126" s="26"/>
      <c r="DI126" s="26"/>
      <c r="DJ126" s="38"/>
      <c r="DK126" s="26" t="s">
        <v>7</v>
      </c>
      <c r="DL126" s="31" t="e">
        <f>DN58</f>
        <v>#VALUE!</v>
      </c>
      <c r="DM126" s="31" t="e">
        <f>DN59</f>
        <v>#VALUE!</v>
      </c>
      <c r="DN126" s="31" t="e">
        <f>DN60</f>
        <v>#VALUE!</v>
      </c>
      <c r="DO126" s="26"/>
      <c r="DP126" s="26"/>
      <c r="DQ126" s="26"/>
      <c r="DR126" s="26"/>
    </row>
    <row r="127" spans="83:122">
      <c r="CE127" s="26"/>
      <c r="CF127" s="26" t="s">
        <v>279</v>
      </c>
      <c r="CG127" s="26" t="s">
        <v>257</v>
      </c>
      <c r="CH127" s="26" t="s">
        <v>257</v>
      </c>
      <c r="CI127" s="26" t="str">
        <f>[2]!'#ZCN5'</f>
        <v>N\A</v>
      </c>
      <c r="CJ127" s="26" t="str">
        <f>[3]!'#ZCN5'</f>
        <v>N\A</v>
      </c>
      <c r="CK127" s="26" t="str">
        <f>[4]!'#ZCN5'</f>
        <v>N\A</v>
      </c>
      <c r="CL127" s="26" t="str">
        <f>[5]!'#ZCN5'</f>
        <v>N\A</v>
      </c>
      <c r="CM127" s="38" t="e">
        <f t="shared" ref="CM127:CM133" si="94">(100*(CK127-CJ127)/(CI127-CJ127))/100</f>
        <v>#VALUE!</v>
      </c>
      <c r="CN127" s="38" t="e">
        <f t="shared" ref="CN127:CN133" si="95">(CI127-CL127)/(CI127-CJ127)</f>
        <v>#VALUE!</v>
      </c>
      <c r="CO127" s="26"/>
      <c r="CP127" s="26" t="b">
        <f t="shared" ref="CP127:CP133" si="96">ISERR(CM127)</f>
        <v>1</v>
      </c>
      <c r="CQ127" s="38">
        <f t="shared" ref="CQ127:CQ133" si="97">IF(CP127=FALSE,CM127,0%)</f>
        <v>0</v>
      </c>
      <c r="CR127" s="26" t="str">
        <f t="shared" si="92"/>
        <v>Cocoa</v>
      </c>
      <c r="CS127" s="26"/>
      <c r="CT127" s="26" t="s">
        <v>280</v>
      </c>
      <c r="CU127" s="38">
        <f t="shared" si="93"/>
        <v>0</v>
      </c>
      <c r="CV127" s="26"/>
      <c r="CW127" s="26"/>
      <c r="CX127" s="26"/>
      <c r="CY127" s="26">
        <v>1</v>
      </c>
      <c r="CZ127" s="26" t="s">
        <v>96</v>
      </c>
      <c r="DA127" s="149" t="e">
        <f t="shared" ref="DA127:DA134" si="98">CX51</f>
        <v>#VALUE!</v>
      </c>
      <c r="DB127" s="39"/>
      <c r="DC127" s="37" t="e">
        <f>LARGE(DA127:DA134,1)</f>
        <v>#VALUE!</v>
      </c>
      <c r="DD127" s="26" t="e">
        <f>MATCH(DC127,DA127:DA134,0)</f>
        <v>#VALUE!</v>
      </c>
      <c r="DE127" s="26" t="e">
        <f>VLOOKUP(DD127,CY127:DA134,2,FALSE)</f>
        <v>#VALUE!</v>
      </c>
      <c r="DF127" s="26"/>
      <c r="DG127" s="26"/>
      <c r="DH127" s="26"/>
      <c r="DI127" s="26"/>
      <c r="DJ127" s="38"/>
      <c r="DK127" s="26" t="s">
        <v>9</v>
      </c>
      <c r="DL127" s="31" t="e">
        <f>DN70</f>
        <v>#VALUE!</v>
      </c>
      <c r="DM127" s="31" t="e">
        <f>DN71</f>
        <v>#VALUE!</v>
      </c>
      <c r="DN127" s="31" t="e">
        <f>DN72</f>
        <v>#VALUE!</v>
      </c>
      <c r="DO127" s="26"/>
      <c r="DP127" s="26"/>
      <c r="DQ127" s="26"/>
      <c r="DR127" s="26"/>
    </row>
    <row r="128" spans="83:122">
      <c r="CE128" s="26"/>
      <c r="CF128" s="26" t="s">
        <v>281</v>
      </c>
      <c r="CG128" s="26" t="s">
        <v>259</v>
      </c>
      <c r="CH128" s="26" t="s">
        <v>259</v>
      </c>
      <c r="CI128" s="26" t="str">
        <f>[2]!'#ZLN5'</f>
        <v>N\A</v>
      </c>
      <c r="CJ128" s="26" t="str">
        <f>[3]!'#ZLN5'</f>
        <v>N\A</v>
      </c>
      <c r="CK128" s="26" t="str">
        <f>[4]!'#ZLN5'</f>
        <v>N\A</v>
      </c>
      <c r="CL128" s="26" t="str">
        <f>[5]!'#ZLN5'</f>
        <v>N\A</v>
      </c>
      <c r="CM128" s="38" t="e">
        <f t="shared" si="94"/>
        <v>#VALUE!</v>
      </c>
      <c r="CN128" s="38" t="e">
        <f t="shared" si="95"/>
        <v>#VALUE!</v>
      </c>
      <c r="CO128" s="26"/>
      <c r="CP128" s="26" t="b">
        <f t="shared" si="96"/>
        <v>1</v>
      </c>
      <c r="CQ128" s="38">
        <f t="shared" si="97"/>
        <v>0</v>
      </c>
      <c r="CR128" s="26" t="str">
        <f t="shared" si="92"/>
        <v>NYBOT Cotton No. 2</v>
      </c>
      <c r="CS128" s="26"/>
      <c r="CT128" s="26" t="s">
        <v>282</v>
      </c>
      <c r="CU128" s="38">
        <f t="shared" si="93"/>
        <v>0</v>
      </c>
      <c r="CV128" s="26"/>
      <c r="CW128" s="26"/>
      <c r="CX128" s="26"/>
      <c r="CY128" s="26">
        <v>2</v>
      </c>
      <c r="CZ128" s="26" t="s">
        <v>99</v>
      </c>
      <c r="DA128" s="151" t="e">
        <f t="shared" si="98"/>
        <v>#VALUE!</v>
      </c>
      <c r="DB128" s="39"/>
      <c r="DC128" s="37" t="e">
        <f>LARGE(DA127:DA134,2)</f>
        <v>#VALUE!</v>
      </c>
      <c r="DD128" s="26" t="e">
        <f>MATCH(DC128,DA127:DA134,0)</f>
        <v>#VALUE!</v>
      </c>
      <c r="DE128" s="26" t="e">
        <f>VLOOKUP(DD128,CY127:DA134,2,FALSE)</f>
        <v>#VALUE!</v>
      </c>
      <c r="DF128" s="26"/>
      <c r="DG128" s="26"/>
      <c r="DH128" s="26"/>
      <c r="DI128" s="26"/>
      <c r="DJ128" s="38"/>
      <c r="DK128" s="26" t="s">
        <v>17</v>
      </c>
      <c r="DL128" s="31" t="e">
        <f>DN82</f>
        <v>#VALUE!</v>
      </c>
      <c r="DM128" s="31" t="e">
        <f>DN83</f>
        <v>#VALUE!</v>
      </c>
      <c r="DN128" s="31" t="e">
        <f>DN84</f>
        <v>#VALUE!</v>
      </c>
      <c r="DO128" s="26"/>
      <c r="DP128" s="26"/>
      <c r="DQ128" s="26"/>
      <c r="DR128" s="26"/>
    </row>
    <row r="129" spans="83:122">
      <c r="CE129" s="26"/>
      <c r="CF129" s="26" t="s">
        <v>283</v>
      </c>
      <c r="CG129" s="26" t="s">
        <v>263</v>
      </c>
      <c r="CH129" s="26" t="s">
        <v>263</v>
      </c>
      <c r="CI129" s="26" t="str">
        <f>[2]!'#ZMN5'</f>
        <v>N\A</v>
      </c>
      <c r="CJ129" s="26" t="str">
        <f>[3]!'#ZMN5'</f>
        <v>N\A</v>
      </c>
      <c r="CK129" s="26" t="str">
        <f>[4]!'#ZMN5'</f>
        <v>N\A</v>
      </c>
      <c r="CL129" s="26" t="str">
        <f>[5]!'#ZMN5'</f>
        <v>N\A</v>
      </c>
      <c r="CM129" s="38" t="e">
        <f t="shared" si="94"/>
        <v>#VALUE!</v>
      </c>
      <c r="CN129" s="38" t="e">
        <f t="shared" si="95"/>
        <v>#VALUE!</v>
      </c>
      <c r="CO129" s="26"/>
      <c r="CP129" s="26" t="b">
        <f t="shared" si="96"/>
        <v>1</v>
      </c>
      <c r="CQ129" s="38">
        <f t="shared" si="97"/>
        <v>0</v>
      </c>
      <c r="CR129" s="26" t="str">
        <f t="shared" si="92"/>
        <v>NYBOT Orange Juice(OJ)</v>
      </c>
      <c r="CS129" s="26"/>
      <c r="CT129" s="26" t="s">
        <v>284</v>
      </c>
      <c r="CU129" s="38">
        <f t="shared" si="93"/>
        <v>0</v>
      </c>
      <c r="CV129" s="26"/>
      <c r="CW129" s="26"/>
      <c r="CX129" s="26"/>
      <c r="CY129" s="26">
        <v>3</v>
      </c>
      <c r="CZ129" s="26" t="s">
        <v>102</v>
      </c>
      <c r="DA129" s="153" t="e">
        <f t="shared" si="98"/>
        <v>#VALUE!</v>
      </c>
      <c r="DB129" s="39"/>
      <c r="DC129" s="37" t="e">
        <f>LARGE(DA127:DA134,3)</f>
        <v>#VALUE!</v>
      </c>
      <c r="DD129" s="26" t="e">
        <f>MATCH(DC129,DA127:DA134,0)</f>
        <v>#VALUE!</v>
      </c>
      <c r="DE129" s="26" t="e">
        <f>VLOOKUP(DD129,CY127:DA134,2,FALSE)</f>
        <v>#VALUE!</v>
      </c>
      <c r="DF129" s="26"/>
      <c r="DG129" s="26"/>
      <c r="DH129" s="26"/>
      <c r="DI129" s="26"/>
      <c r="DJ129" s="38"/>
      <c r="DK129" s="26" t="s">
        <v>13</v>
      </c>
      <c r="DL129" s="31" t="e">
        <f>DN94</f>
        <v>#VALUE!</v>
      </c>
      <c r="DM129" s="31" t="e">
        <f>DN95</f>
        <v>#VALUE!</v>
      </c>
      <c r="DN129" s="31" t="e">
        <f>DN96</f>
        <v>#VALUE!</v>
      </c>
      <c r="DO129" s="26"/>
      <c r="DP129" s="26"/>
      <c r="DQ129" s="26"/>
      <c r="DR129" s="26"/>
    </row>
    <row r="130" spans="83:122">
      <c r="CE130" s="26"/>
      <c r="CF130" s="26" t="s">
        <v>285</v>
      </c>
      <c r="CG130" s="26" t="s">
        <v>267</v>
      </c>
      <c r="CH130" s="26" t="s">
        <v>267</v>
      </c>
      <c r="CI130" s="26" t="str">
        <f>[2]!'#ZLK5'</f>
        <v>N\A</v>
      </c>
      <c r="CJ130" s="26" t="str">
        <f>[3]!'#ZLK5'</f>
        <v>N\A</v>
      </c>
      <c r="CK130" s="26" t="str">
        <f>[4]!'#ZLK5'</f>
        <v>N\A</v>
      </c>
      <c r="CL130" s="26" t="str">
        <f>[5]!'#ZLK5'</f>
        <v>N\A</v>
      </c>
      <c r="CM130" s="38" t="e">
        <f t="shared" si="94"/>
        <v>#VALUE!</v>
      </c>
      <c r="CN130" s="38" t="e">
        <f t="shared" si="95"/>
        <v>#VALUE!</v>
      </c>
      <c r="CO130" s="26"/>
      <c r="CP130" s="26" t="b">
        <f t="shared" si="96"/>
        <v>1</v>
      </c>
      <c r="CQ130" s="38">
        <f t="shared" si="97"/>
        <v>0</v>
      </c>
      <c r="CR130" s="26" t="str">
        <f t="shared" si="92"/>
        <v>NYBOT Coffee</v>
      </c>
      <c r="CS130" s="26"/>
      <c r="CT130" s="26" t="s">
        <v>286</v>
      </c>
      <c r="CU130" s="38">
        <f t="shared" si="93"/>
        <v>0</v>
      </c>
      <c r="CV130" s="26"/>
      <c r="CW130" s="26" t="s">
        <v>217</v>
      </c>
      <c r="CX130" s="26"/>
      <c r="CY130" s="26">
        <v>4</v>
      </c>
      <c r="CZ130" s="26" t="s">
        <v>106</v>
      </c>
      <c r="DA130" s="154" t="e">
        <f t="shared" si="98"/>
        <v>#VALUE!</v>
      </c>
      <c r="DB130" s="39"/>
      <c r="DC130" s="37" t="e">
        <f>LARGE(DA127:DA134,4)</f>
        <v>#VALUE!</v>
      </c>
      <c r="DD130" s="26" t="e">
        <f>MATCH(DC130,DA127:DA134,0)</f>
        <v>#VALUE!</v>
      </c>
      <c r="DE130" s="26" t="e">
        <f>VLOOKUP(DD130,CY127:DA134,2,FALSE)</f>
        <v>#VALUE!</v>
      </c>
      <c r="DF130" s="26"/>
      <c r="DG130" s="26"/>
      <c r="DH130" s="26"/>
      <c r="DI130" s="26"/>
      <c r="DJ130" s="38"/>
      <c r="DK130" s="26" t="s">
        <v>15</v>
      </c>
      <c r="DL130" s="31" t="e">
        <f>DN106</f>
        <v>#VALUE!</v>
      </c>
      <c r="DM130" s="31" t="e">
        <f>DN107</f>
        <v>#VALUE!</v>
      </c>
      <c r="DN130" s="31" t="e">
        <f>DN108</f>
        <v>#VALUE!</v>
      </c>
      <c r="DO130" s="26"/>
      <c r="DP130" s="26"/>
      <c r="DQ130" s="26"/>
      <c r="DR130" s="26"/>
    </row>
    <row r="131" spans="83:122">
      <c r="CE131" s="26"/>
      <c r="CF131" s="26" t="s">
        <v>287</v>
      </c>
      <c r="CG131" s="26" t="s">
        <v>271</v>
      </c>
      <c r="CH131" s="26" t="s">
        <v>271</v>
      </c>
      <c r="CI131" s="26" t="str">
        <f>[2]!'#ZMN5'</f>
        <v>N\A</v>
      </c>
      <c r="CJ131" s="26" t="str">
        <f>[3]!'#ZMN5'</f>
        <v>N\A</v>
      </c>
      <c r="CK131" s="26" t="str">
        <f>[4]!'#ZMN5'</f>
        <v>N\A</v>
      </c>
      <c r="CL131" s="26" t="str">
        <f>[5]!'#ZMN5'</f>
        <v>N\A</v>
      </c>
      <c r="CM131" s="38" t="e">
        <f t="shared" si="94"/>
        <v>#VALUE!</v>
      </c>
      <c r="CN131" s="38" t="e">
        <f t="shared" si="95"/>
        <v>#VALUE!</v>
      </c>
      <c r="CO131" s="26"/>
      <c r="CP131" s="26" t="b">
        <f t="shared" si="96"/>
        <v>1</v>
      </c>
      <c r="CQ131" s="38">
        <f t="shared" si="97"/>
        <v>0</v>
      </c>
      <c r="CR131" s="26" t="str">
        <f t="shared" si="92"/>
        <v>Robusta Coffee (10T) Series 409</v>
      </c>
      <c r="CS131" s="26"/>
      <c r="CT131" s="26" t="s">
        <v>288</v>
      </c>
      <c r="CU131" s="38">
        <f t="shared" si="93"/>
        <v>0</v>
      </c>
      <c r="CV131" s="26"/>
      <c r="CW131" s="26"/>
      <c r="CX131" s="26"/>
      <c r="CY131" s="26">
        <v>5</v>
      </c>
      <c r="CZ131" s="26" t="s">
        <v>110</v>
      </c>
      <c r="DA131" s="155" t="e">
        <f t="shared" si="98"/>
        <v>#VALUE!</v>
      </c>
      <c r="DB131" s="39"/>
      <c r="DC131" s="37" t="e">
        <f>LARGE(DA127:DA134,5)</f>
        <v>#VALUE!</v>
      </c>
      <c r="DD131" s="26" t="e">
        <f>MATCH(DC131,DA127:DA134,0)</f>
        <v>#VALUE!</v>
      </c>
      <c r="DE131" s="26" t="e">
        <f>VLOOKUP(DD131,CY127:DA134,2,FALSE)</f>
        <v>#VALUE!</v>
      </c>
      <c r="DF131" s="26"/>
      <c r="DG131" s="26"/>
      <c r="DH131" s="26"/>
      <c r="DI131" s="26"/>
      <c r="DJ131" s="38"/>
      <c r="DK131" s="26" t="s">
        <v>11</v>
      </c>
      <c r="DL131" s="31">
        <f>DN118</f>
        <v>69777200</v>
      </c>
      <c r="DM131" s="31">
        <f>DN119</f>
        <v>139851400</v>
      </c>
      <c r="DN131" s="31">
        <f>DN120</f>
        <v>138995200</v>
      </c>
      <c r="DO131" s="26"/>
      <c r="DP131" s="26"/>
      <c r="DQ131" s="26"/>
      <c r="DR131" s="26"/>
    </row>
    <row r="132" spans="83:122">
      <c r="CE132" s="26"/>
      <c r="CF132" s="26" t="s">
        <v>289</v>
      </c>
      <c r="CG132" s="26" t="s">
        <v>275</v>
      </c>
      <c r="CH132" s="26" t="s">
        <v>275</v>
      </c>
      <c r="CI132" s="26" t="str">
        <f>[2]!'#ZSN5'</f>
        <v>N\A</v>
      </c>
      <c r="CJ132" s="26" t="str">
        <f>[3]!'#ZSN5'</f>
        <v>N\A</v>
      </c>
      <c r="CK132" s="26" t="str">
        <f>[4]!'#ZSN5'</f>
        <v>N\A</v>
      </c>
      <c r="CL132" s="26" t="str">
        <f>[5]!'#ZSN5'</f>
        <v>N\A</v>
      </c>
      <c r="CM132" s="38" t="e">
        <f t="shared" si="94"/>
        <v>#VALUE!</v>
      </c>
      <c r="CN132" s="38" t="e">
        <f t="shared" si="95"/>
        <v>#VALUE!</v>
      </c>
      <c r="CO132" s="26"/>
      <c r="CP132" s="26" t="b">
        <f t="shared" si="96"/>
        <v>1</v>
      </c>
      <c r="CQ132" s="38">
        <f t="shared" si="97"/>
        <v>0</v>
      </c>
      <c r="CR132" s="26" t="str">
        <f t="shared" si="92"/>
        <v>NYBOT Sugar No. 11</v>
      </c>
      <c r="CS132" s="26"/>
      <c r="CT132" s="26" t="s">
        <v>290</v>
      </c>
      <c r="CU132" s="38">
        <f t="shared" si="93"/>
        <v>0</v>
      </c>
      <c r="CV132" s="26"/>
      <c r="CW132" s="26"/>
      <c r="CX132" s="26"/>
      <c r="CY132" s="26">
        <v>6</v>
      </c>
      <c r="CZ132" s="26" t="s">
        <v>113</v>
      </c>
      <c r="DA132" s="37" t="e">
        <f t="shared" si="98"/>
        <v>#VALUE!</v>
      </c>
      <c r="DB132" s="39"/>
      <c r="DC132" s="37" t="e">
        <f>LARGE(DA127:DA134,6)</f>
        <v>#VALUE!</v>
      </c>
      <c r="DD132" s="26" t="e">
        <f>MATCH(DC132,DA127:DA134,0)</f>
        <v>#VALUE!</v>
      </c>
      <c r="DE132" s="26" t="e">
        <f>VLOOKUP(DD132,CY127:DA134,2,FALSE)</f>
        <v>#VALUE!</v>
      </c>
      <c r="DF132" s="26"/>
      <c r="DG132" s="26"/>
      <c r="DH132" s="26"/>
      <c r="DI132" s="26"/>
      <c r="DJ132" s="38"/>
      <c r="DK132" s="26"/>
      <c r="DL132" s="26"/>
      <c r="DM132" s="26"/>
      <c r="DN132" s="26"/>
      <c r="DO132" s="26"/>
      <c r="DP132" s="26"/>
      <c r="DQ132" s="26"/>
      <c r="DR132" s="26"/>
    </row>
    <row r="133" spans="83:122">
      <c r="CE133" s="26"/>
      <c r="CF133" s="26" t="s">
        <v>291</v>
      </c>
      <c r="CG133" s="26" t="s">
        <v>276</v>
      </c>
      <c r="CH133" s="26" t="s">
        <v>276</v>
      </c>
      <c r="CI133" s="26" t="str">
        <f>[2]!'#ZWN5'</f>
        <v>N\A</v>
      </c>
      <c r="CJ133" s="26" t="str">
        <f>[3]!'#ZWN5'</f>
        <v>N\A</v>
      </c>
      <c r="CK133" s="26" t="str">
        <f>[4]!'#ZWN5'</f>
        <v>N\A</v>
      </c>
      <c r="CL133" s="26" t="str">
        <f>[5]!'#ZWN5'</f>
        <v>N\A</v>
      </c>
      <c r="CM133" s="38" t="e">
        <f t="shared" si="94"/>
        <v>#VALUE!</v>
      </c>
      <c r="CN133" s="38" t="e">
        <f t="shared" si="95"/>
        <v>#VALUE!</v>
      </c>
      <c r="CO133" s="38"/>
      <c r="CP133" s="26" t="b">
        <f t="shared" si="96"/>
        <v>1</v>
      </c>
      <c r="CQ133" s="38">
        <f t="shared" si="97"/>
        <v>0</v>
      </c>
      <c r="CR133" s="26" t="str">
        <f t="shared" si="92"/>
        <v>White Sugar (No. 5)</v>
      </c>
      <c r="CS133" s="26"/>
      <c r="CT133" s="26" t="s">
        <v>292</v>
      </c>
      <c r="CU133" s="38">
        <f t="shared" si="93"/>
        <v>0</v>
      </c>
      <c r="CV133" s="26"/>
      <c r="CW133" s="26"/>
      <c r="CX133" s="26"/>
      <c r="CY133" s="26">
        <v>7</v>
      </c>
      <c r="CZ133" s="26" t="s">
        <v>116</v>
      </c>
      <c r="DA133" s="156" t="e">
        <f t="shared" si="98"/>
        <v>#VALUE!</v>
      </c>
      <c r="DB133" s="39"/>
      <c r="DC133" s="37" t="e">
        <f>LARGE(DA127:DA134,7)</f>
        <v>#VALUE!</v>
      </c>
      <c r="DD133" s="26" t="e">
        <f>MATCH(DC133,DA127:DA134,0)</f>
        <v>#VALUE!</v>
      </c>
      <c r="DE133" s="26" t="e">
        <f>VLOOKUP(DD133,CY127:DA134,2,FALSE)</f>
        <v>#VALUE!</v>
      </c>
      <c r="DF133" s="26"/>
      <c r="DG133" s="26"/>
      <c r="DH133" s="26"/>
      <c r="DI133" s="26"/>
      <c r="DJ133" s="38"/>
      <c r="DK133" s="26"/>
      <c r="DL133" s="26"/>
      <c r="DM133" s="26"/>
      <c r="DN133" s="26"/>
      <c r="DO133" s="26"/>
      <c r="DP133" s="26"/>
      <c r="DQ133" s="26"/>
      <c r="DR133" s="26"/>
    </row>
    <row r="134" spans="83:122">
      <c r="CE134" s="26"/>
      <c r="CF134" s="26"/>
      <c r="CG134" s="26"/>
      <c r="CH134" s="26"/>
      <c r="CI134" s="26"/>
      <c r="CJ134" s="26"/>
      <c r="CK134" s="26"/>
      <c r="CL134" s="26"/>
      <c r="CM134" s="26"/>
      <c r="CN134" s="26"/>
      <c r="CO134" s="26"/>
      <c r="CP134" s="26"/>
      <c r="CQ134" s="38"/>
      <c r="CR134" s="26">
        <f>CF146</f>
        <v>0</v>
      </c>
      <c r="CS134" s="26"/>
      <c r="CT134" s="26" t="s">
        <v>293</v>
      </c>
      <c r="CU134" s="38">
        <f>CQ146</f>
        <v>0</v>
      </c>
      <c r="CV134" s="26"/>
      <c r="CW134" s="26"/>
      <c r="CX134" s="26"/>
      <c r="CY134" s="26">
        <v>8</v>
      </c>
      <c r="CZ134" s="26" t="s">
        <v>120</v>
      </c>
      <c r="DA134" s="157">
        <f t="shared" si="98"/>
        <v>0.35520624186558158</v>
      </c>
      <c r="DB134" s="39"/>
      <c r="DC134" s="37" t="e">
        <f>LARGE(DA127:DA134,8)</f>
        <v>#VALUE!</v>
      </c>
      <c r="DD134" s="26" t="e">
        <f>MATCH(DC134,DA127:DA134,0)</f>
        <v>#VALUE!</v>
      </c>
      <c r="DE134" s="26" t="e">
        <f>VLOOKUP(DD134,CY127:DA134,2,FALSE)</f>
        <v>#VALUE!</v>
      </c>
      <c r="DF134" s="26"/>
      <c r="DG134" s="26"/>
      <c r="DH134" s="26"/>
      <c r="DI134" s="26"/>
      <c r="DJ134" s="38"/>
      <c r="DK134" s="26"/>
      <c r="DL134" s="26"/>
      <c r="DM134" s="26"/>
      <c r="DN134" s="26"/>
      <c r="DO134" s="26"/>
      <c r="DP134" s="26"/>
      <c r="DQ134" s="26"/>
      <c r="DR134" s="26"/>
    </row>
    <row r="135" spans="83:122">
      <c r="CE135" s="26"/>
      <c r="CF135" s="26" t="s">
        <v>294</v>
      </c>
      <c r="CG135" s="26"/>
      <c r="CH135" s="26"/>
      <c r="CI135" s="26"/>
      <c r="CJ135" s="26"/>
      <c r="CK135" s="26"/>
      <c r="CL135" s="26"/>
      <c r="CM135" s="26"/>
      <c r="CN135" s="26"/>
      <c r="CO135" s="26"/>
      <c r="CP135" s="26"/>
      <c r="CQ135" s="38"/>
      <c r="CR135" s="26">
        <f>CF147</f>
        <v>0</v>
      </c>
      <c r="CS135" s="26"/>
      <c r="CT135" s="26" t="s">
        <v>295</v>
      </c>
      <c r="CU135" s="38">
        <f>CQ147</f>
        <v>0</v>
      </c>
      <c r="CV135" s="26"/>
      <c r="CW135" s="26"/>
      <c r="CX135" s="26"/>
      <c r="CY135" s="26"/>
      <c r="CZ135" s="26"/>
      <c r="DA135" s="37"/>
      <c r="DB135" s="39"/>
      <c r="DC135" s="37"/>
      <c r="DD135" s="26"/>
      <c r="DE135" s="26"/>
      <c r="DF135" s="26"/>
      <c r="DG135" s="26"/>
      <c r="DH135" s="26"/>
      <c r="DI135" s="26"/>
      <c r="DJ135" s="38"/>
      <c r="DK135" s="26"/>
      <c r="DL135" s="26"/>
      <c r="DM135" s="26"/>
      <c r="DN135" s="26"/>
      <c r="DO135" s="26"/>
      <c r="DP135" s="26"/>
      <c r="DQ135" s="26"/>
      <c r="DR135" s="26"/>
    </row>
    <row r="136" spans="83:122">
      <c r="CE136" s="26"/>
      <c r="CF136" s="26" t="s">
        <v>296</v>
      </c>
      <c r="CG136" s="26" t="s">
        <v>278</v>
      </c>
      <c r="CH136" s="26" t="s">
        <v>278</v>
      </c>
      <c r="CI136" s="26" t="str">
        <f>[2]!'#CCN5'</f>
        <v>N\A</v>
      </c>
      <c r="CJ136" s="26" t="str">
        <f>[3]!'#CCN5'</f>
        <v>N\A</v>
      </c>
      <c r="CK136" s="26" t="str">
        <f>[4]!'#CCN5'</f>
        <v>N\A</v>
      </c>
      <c r="CL136" s="26" t="str">
        <f>[5]!'#CCN5'</f>
        <v>N\A</v>
      </c>
      <c r="CM136" s="38" t="e">
        <f t="shared" ref="CM136:CM143" si="99">(100*(CK136-CJ136)/(CI136-CJ136))/100</f>
        <v>#VALUE!</v>
      </c>
      <c r="CN136" s="38" t="e">
        <f t="shared" ref="CN136:CN143" si="100">(CI136-CL136)/(CI136-CJ136)</f>
        <v>#VALUE!</v>
      </c>
      <c r="CO136" s="26"/>
      <c r="CP136" s="26" t="b">
        <f t="shared" ref="CP136:CP143" si="101">ISERR(CM136)</f>
        <v>1</v>
      </c>
      <c r="CQ136" s="38">
        <f t="shared" ref="CQ136:CQ143" si="102">IF(CP136=FALSE,CM136,0%)</f>
        <v>0</v>
      </c>
      <c r="CR136" s="26">
        <f>CF148</f>
        <v>0</v>
      </c>
      <c r="CS136" s="26"/>
      <c r="CT136" s="26" t="s">
        <v>297</v>
      </c>
      <c r="CU136" s="38">
        <f>CQ148</f>
        <v>0</v>
      </c>
      <c r="CV136" s="26"/>
      <c r="CW136" s="26"/>
      <c r="CX136" s="26"/>
      <c r="CY136" s="26"/>
      <c r="CZ136" s="26"/>
      <c r="DA136" s="26"/>
      <c r="DB136" s="26"/>
      <c r="DC136" s="26"/>
      <c r="DD136" s="26"/>
      <c r="DE136" s="26"/>
      <c r="DF136" s="26"/>
      <c r="DG136" s="26"/>
      <c r="DH136" s="26"/>
      <c r="DI136" s="26"/>
      <c r="DJ136" s="38"/>
      <c r="DK136" s="26"/>
      <c r="DL136" s="26"/>
      <c r="DM136" s="26"/>
      <c r="DN136" s="26"/>
      <c r="DO136" s="26"/>
      <c r="DP136" s="26"/>
      <c r="DQ136" s="26"/>
      <c r="DR136" s="26"/>
    </row>
    <row r="137" spans="83:122">
      <c r="CE137" s="26"/>
      <c r="CF137" s="26" t="s">
        <v>298</v>
      </c>
      <c r="CG137" s="26" t="s">
        <v>280</v>
      </c>
      <c r="CH137" s="26" t="s">
        <v>280</v>
      </c>
      <c r="CI137" s="26" t="str">
        <f>[2]!'#CCH5'</f>
        <v>N\A</v>
      </c>
      <c r="CJ137" s="26" t="str">
        <f>[3]!'#CCH5'</f>
        <v>N\A</v>
      </c>
      <c r="CK137" s="26" t="str">
        <f>[4]!'#CCH5'</f>
        <v>N\A</v>
      </c>
      <c r="CL137" s="26" t="str">
        <f>[5]!'#CCH5'</f>
        <v>N\A</v>
      </c>
      <c r="CM137" s="38" t="e">
        <f t="shared" si="99"/>
        <v>#VALUE!</v>
      </c>
      <c r="CN137" s="38" t="e">
        <f t="shared" si="100"/>
        <v>#VALUE!</v>
      </c>
      <c r="CO137" s="26"/>
      <c r="CP137" s="26" t="b">
        <f t="shared" si="101"/>
        <v>1</v>
      </c>
      <c r="CQ137" s="38">
        <f t="shared" si="102"/>
        <v>0</v>
      </c>
      <c r="CR137" s="26">
        <f>CF149</f>
        <v>0</v>
      </c>
      <c r="CS137" s="26"/>
      <c r="CT137" s="26" t="s">
        <v>299</v>
      </c>
      <c r="CU137" s="38">
        <f>CQ149</f>
        <v>0</v>
      </c>
      <c r="CV137" s="26"/>
      <c r="CW137" s="26"/>
      <c r="CX137" s="26"/>
      <c r="CY137" s="26"/>
      <c r="CZ137" s="26"/>
      <c r="DA137" s="26"/>
      <c r="DB137" s="26"/>
      <c r="DC137" s="26"/>
      <c r="DD137" s="26"/>
      <c r="DE137" s="26"/>
      <c r="DF137" s="26"/>
      <c r="DG137" s="26"/>
      <c r="DH137" s="26"/>
      <c r="DI137" s="26"/>
      <c r="DJ137" s="38"/>
      <c r="DK137" s="26"/>
      <c r="DL137" s="26"/>
      <c r="DM137" s="26"/>
      <c r="DN137" s="26"/>
      <c r="DO137" s="26"/>
      <c r="DP137" s="26"/>
      <c r="DQ137" s="26"/>
      <c r="DR137" s="26"/>
    </row>
    <row r="138" spans="83:122">
      <c r="CE138" s="26"/>
      <c r="CF138" s="26" t="s">
        <v>300</v>
      </c>
      <c r="CG138" s="26" t="s">
        <v>282</v>
      </c>
      <c r="CH138" s="26" t="s">
        <v>282</v>
      </c>
      <c r="CI138" s="26" t="str">
        <f>[2]!'#CTH5'</f>
        <v>N\A</v>
      </c>
      <c r="CJ138" s="26" t="str">
        <f>[3]!'#CTH5'</f>
        <v>N\A</v>
      </c>
      <c r="CK138" s="26" t="str">
        <f>[4]!'#CTH5'</f>
        <v>N\A</v>
      </c>
      <c r="CL138" s="26" t="str">
        <f>[5]!'#CTH5'</f>
        <v>N\A</v>
      </c>
      <c r="CM138" s="38" t="e">
        <f t="shared" si="99"/>
        <v>#VALUE!</v>
      </c>
      <c r="CN138" s="38" t="e">
        <f t="shared" si="100"/>
        <v>#VALUE!</v>
      </c>
      <c r="CO138" s="26"/>
      <c r="CP138" s="26" t="b">
        <f t="shared" si="101"/>
        <v>1</v>
      </c>
      <c r="CQ138" s="38">
        <f t="shared" si="102"/>
        <v>0</v>
      </c>
      <c r="CR138" s="26"/>
      <c r="CS138" s="26"/>
      <c r="CT138" s="26"/>
      <c r="CU138" s="26"/>
      <c r="CV138" s="26"/>
      <c r="CW138" s="26"/>
      <c r="CX138" s="26"/>
      <c r="CY138" s="26"/>
      <c r="CZ138" s="26"/>
      <c r="DA138" s="26"/>
      <c r="DB138" s="26"/>
      <c r="DC138" s="26"/>
      <c r="DD138" s="26"/>
      <c r="DE138" s="26"/>
      <c r="DF138" s="26"/>
      <c r="DG138" s="26"/>
      <c r="DH138" s="26"/>
      <c r="DI138" s="26"/>
      <c r="DJ138" s="38"/>
      <c r="DK138" s="26"/>
      <c r="DL138" s="26"/>
      <c r="DM138" s="26"/>
      <c r="DN138" s="26"/>
      <c r="DO138" s="26"/>
      <c r="DP138" s="26"/>
      <c r="DQ138" s="26"/>
      <c r="DR138" s="26"/>
    </row>
    <row r="139" spans="83:122">
      <c r="CE139" s="26"/>
      <c r="CF139" s="26" t="s">
        <v>301</v>
      </c>
      <c r="CG139" s="26" t="s">
        <v>284</v>
      </c>
      <c r="CH139" s="26" t="s">
        <v>284</v>
      </c>
      <c r="CI139" s="26" t="str">
        <f>[2]!'#JON5'</f>
        <v>N\A</v>
      </c>
      <c r="CJ139" s="26" t="str">
        <f>[3]!'#JON5'</f>
        <v>N\A</v>
      </c>
      <c r="CK139" s="26" t="str">
        <f>[4]!'#JON5'</f>
        <v>N\A</v>
      </c>
      <c r="CL139" s="26" t="str">
        <f>[5]!'#JON5'</f>
        <v>N\A</v>
      </c>
      <c r="CM139" s="38" t="e">
        <f t="shared" si="99"/>
        <v>#VALUE!</v>
      </c>
      <c r="CN139" s="38" t="e">
        <f t="shared" si="100"/>
        <v>#VALUE!</v>
      </c>
      <c r="CO139" s="26"/>
      <c r="CP139" s="26" t="b">
        <f t="shared" si="101"/>
        <v>1</v>
      </c>
      <c r="CQ139" s="38">
        <f t="shared" si="102"/>
        <v>0</v>
      </c>
      <c r="CR139" s="26"/>
      <c r="CS139" s="26"/>
      <c r="CT139" s="26"/>
      <c r="CU139" s="26"/>
      <c r="CV139" s="26"/>
      <c r="CW139" s="26"/>
      <c r="CX139" s="26"/>
      <c r="CY139" s="26"/>
      <c r="CZ139" s="26"/>
      <c r="DA139" s="26"/>
      <c r="DB139" s="26"/>
      <c r="DC139" s="26"/>
      <c r="DD139" s="26"/>
      <c r="DE139" s="26"/>
      <c r="DF139" s="26"/>
      <c r="DG139" s="26"/>
      <c r="DH139" s="26"/>
      <c r="DI139" s="26"/>
      <c r="DJ139" s="26"/>
      <c r="DK139" s="26"/>
      <c r="DL139" s="26"/>
      <c r="DM139" s="26"/>
      <c r="DN139" s="26"/>
      <c r="DO139" s="26"/>
      <c r="DP139" s="26"/>
      <c r="DQ139" s="26"/>
      <c r="DR139" s="26"/>
    </row>
    <row r="140" spans="83:122">
      <c r="CE140" s="26"/>
      <c r="CF140" s="26" t="s">
        <v>302</v>
      </c>
      <c r="CG140" s="26" t="s">
        <v>286</v>
      </c>
      <c r="CH140" s="26" t="s">
        <v>286</v>
      </c>
      <c r="CI140" s="26" t="str">
        <f>[2]!'#KCN5'</f>
        <v>N\A</v>
      </c>
      <c r="CJ140" s="26" t="str">
        <f>[3]!'#KCN5'</f>
        <v>N\A</v>
      </c>
      <c r="CK140" s="26" t="str">
        <f>[4]!'#KCN5'</f>
        <v>N\A</v>
      </c>
      <c r="CL140" s="26" t="str">
        <f>[5]!'#KCN5'</f>
        <v>N\A</v>
      </c>
      <c r="CM140" s="38" t="e">
        <f t="shared" si="99"/>
        <v>#VALUE!</v>
      </c>
      <c r="CN140" s="38" t="e">
        <f t="shared" si="100"/>
        <v>#VALUE!</v>
      </c>
      <c r="CO140" s="26"/>
      <c r="CP140" s="26" t="b">
        <f t="shared" si="101"/>
        <v>1</v>
      </c>
      <c r="CQ140" s="38">
        <f t="shared" si="102"/>
        <v>0</v>
      </c>
      <c r="CR140" s="26"/>
      <c r="CS140" s="26"/>
      <c r="CT140" s="26"/>
      <c r="CU140" s="26"/>
      <c r="CV140" s="26"/>
      <c r="CW140" s="26"/>
      <c r="CX140" s="26"/>
      <c r="CY140" s="26"/>
      <c r="CZ140" s="26"/>
      <c r="DA140" s="26"/>
      <c r="DB140" s="26"/>
      <c r="DC140" s="26"/>
      <c r="DD140" s="26"/>
      <c r="DE140" s="26"/>
      <c r="DF140" s="26"/>
      <c r="DG140" s="26"/>
      <c r="DH140" s="26"/>
      <c r="DI140" s="26"/>
      <c r="DJ140" s="26"/>
      <c r="DK140" s="26"/>
      <c r="DL140" s="26"/>
      <c r="DM140" s="26"/>
      <c r="DN140" s="26"/>
      <c r="DO140" s="26"/>
      <c r="DP140" s="26"/>
      <c r="DQ140" s="26"/>
      <c r="DR140" s="26"/>
    </row>
    <row r="141" spans="83:122">
      <c r="CE141" s="26"/>
      <c r="CF141" s="26" t="s">
        <v>303</v>
      </c>
      <c r="CG141" s="26" t="s">
        <v>288</v>
      </c>
      <c r="CH141" s="26" t="s">
        <v>288</v>
      </c>
      <c r="CI141" s="26" t="str">
        <f>[2]!'#KCK5'</f>
        <v>N\A</v>
      </c>
      <c r="CJ141" s="26" t="str">
        <f>[3]!'#KCK5'</f>
        <v>N\A</v>
      </c>
      <c r="CK141" s="26" t="str">
        <f>[4]!'#KCK5'</f>
        <v>N\A</v>
      </c>
      <c r="CL141" s="26" t="str">
        <f>[5]!'#KCK5'</f>
        <v>N\A</v>
      </c>
      <c r="CM141" s="38" t="e">
        <f t="shared" si="99"/>
        <v>#VALUE!</v>
      </c>
      <c r="CN141" s="38" t="e">
        <f t="shared" si="100"/>
        <v>#VALUE!</v>
      </c>
      <c r="CO141" s="26"/>
      <c r="CP141" s="26" t="b">
        <f t="shared" si="101"/>
        <v>1</v>
      </c>
      <c r="CQ141" s="38">
        <f t="shared" si="102"/>
        <v>0</v>
      </c>
      <c r="CR141" s="26"/>
      <c r="CS141" s="26"/>
      <c r="CT141" s="26"/>
      <c r="CU141" s="26"/>
      <c r="CV141" s="26"/>
      <c r="CW141" s="26"/>
      <c r="CX141" s="26"/>
      <c r="CY141" s="26"/>
      <c r="CZ141" s="26"/>
      <c r="DA141" s="26"/>
      <c r="DB141" s="26"/>
      <c r="DC141" s="26"/>
      <c r="DD141" s="26"/>
      <c r="DE141" s="26"/>
      <c r="DF141" s="26"/>
      <c r="DG141" s="26"/>
      <c r="DH141" s="26"/>
      <c r="DI141" s="26"/>
      <c r="DJ141" s="26"/>
      <c r="DK141" s="26"/>
      <c r="DL141" s="26"/>
      <c r="DM141" s="26"/>
      <c r="DN141" s="26"/>
      <c r="DO141" s="26"/>
      <c r="DP141" s="26"/>
      <c r="DQ141" s="26"/>
      <c r="DR141" s="26"/>
    </row>
    <row r="142" spans="83:122">
      <c r="CE142" s="26"/>
      <c r="CF142" s="26" t="s">
        <v>304</v>
      </c>
      <c r="CG142" s="26" t="s">
        <v>290</v>
      </c>
      <c r="CH142" s="26" t="s">
        <v>290</v>
      </c>
      <c r="CI142" s="26" t="str">
        <f>[2]!'#SBN5'</f>
        <v>N\A</v>
      </c>
      <c r="CJ142" s="26" t="str">
        <f>[3]!'#SBN5'</f>
        <v>N\A</v>
      </c>
      <c r="CK142" s="26" t="str">
        <f>[4]!'#SBN5'</f>
        <v>N\A</v>
      </c>
      <c r="CL142" s="26" t="str">
        <f>[5]!'#SBN5'</f>
        <v>N\A</v>
      </c>
      <c r="CM142" s="38" t="e">
        <f t="shared" si="99"/>
        <v>#VALUE!</v>
      </c>
      <c r="CN142" s="38" t="e">
        <f t="shared" si="100"/>
        <v>#VALUE!</v>
      </c>
      <c r="CO142" s="26"/>
      <c r="CP142" s="26" t="b">
        <f t="shared" si="101"/>
        <v>1</v>
      </c>
      <c r="CQ142" s="38">
        <f t="shared" si="102"/>
        <v>0</v>
      </c>
      <c r="CR142" s="26"/>
      <c r="CS142" s="26"/>
      <c r="CT142" s="26"/>
      <c r="CU142" s="26"/>
      <c r="CV142" s="26"/>
      <c r="CW142" s="26"/>
      <c r="CX142" s="26"/>
      <c r="CY142" s="26"/>
      <c r="CZ142" s="26"/>
      <c r="DA142" s="26"/>
      <c r="DB142" s="26"/>
      <c r="DC142" s="26"/>
      <c r="DD142" s="26"/>
      <c r="DE142" s="26"/>
      <c r="DF142" s="26"/>
      <c r="DG142" s="26"/>
      <c r="DH142" s="26"/>
      <c r="DI142" s="26"/>
      <c r="DJ142" s="26"/>
      <c r="DK142" s="26"/>
      <c r="DL142" s="26"/>
      <c r="DM142" s="26"/>
      <c r="DN142" s="26"/>
      <c r="DO142" s="26"/>
      <c r="DP142" s="26"/>
      <c r="DQ142" s="26"/>
      <c r="DR142" s="26"/>
    </row>
    <row r="143" spans="83:122">
      <c r="CE143" s="26"/>
      <c r="CF143" s="26" t="s">
        <v>305</v>
      </c>
      <c r="CG143" s="26" t="s">
        <v>292</v>
      </c>
      <c r="CH143" s="26" t="s">
        <v>292</v>
      </c>
      <c r="CI143" s="26" t="str">
        <f>[2]!'#SBK5'</f>
        <v>N\A</v>
      </c>
      <c r="CJ143" s="26" t="str">
        <f>[3]!'#SBK5'</f>
        <v>N\A</v>
      </c>
      <c r="CK143" s="26" t="str">
        <f>[4]!'#SBK5'</f>
        <v>N\A</v>
      </c>
      <c r="CL143" s="26" t="str">
        <f>[5]!'#SBK5'</f>
        <v>N\A</v>
      </c>
      <c r="CM143" s="38" t="e">
        <f t="shared" si="99"/>
        <v>#VALUE!</v>
      </c>
      <c r="CN143" s="38" t="e">
        <f t="shared" si="100"/>
        <v>#VALUE!</v>
      </c>
      <c r="CO143" s="38"/>
      <c r="CP143" s="26" t="b">
        <f t="shared" si="101"/>
        <v>1</v>
      </c>
      <c r="CQ143" s="38">
        <f t="shared" si="102"/>
        <v>0</v>
      </c>
      <c r="CR143" s="26"/>
      <c r="CS143" s="26"/>
      <c r="CT143" s="26"/>
      <c r="CU143" s="26"/>
      <c r="CV143" s="26"/>
      <c r="CW143" s="26"/>
      <c r="CX143" s="26"/>
      <c r="CY143" s="26"/>
      <c r="CZ143" s="26"/>
      <c r="DA143" s="26"/>
      <c r="DB143" s="26"/>
      <c r="DC143" s="26"/>
      <c r="DD143" s="26"/>
      <c r="DE143" s="26"/>
      <c r="DF143" s="26"/>
      <c r="DG143" s="26"/>
      <c r="DH143" s="26"/>
      <c r="DI143" s="26"/>
      <c r="DJ143" s="26"/>
      <c r="DK143" s="26"/>
      <c r="DL143" s="26"/>
      <c r="DM143" s="26"/>
      <c r="DN143" s="26"/>
      <c r="DO143" s="26"/>
      <c r="DP143" s="26"/>
      <c r="DQ143" s="26"/>
      <c r="DR143" s="26"/>
    </row>
    <row r="144" spans="83:122">
      <c r="CE144" s="26"/>
      <c r="CF144" s="26"/>
      <c r="CG144" s="26"/>
      <c r="CH144" s="26"/>
      <c r="CI144" s="26"/>
      <c r="CJ144" s="26"/>
      <c r="CK144" s="26"/>
      <c r="CL144" s="26"/>
      <c r="CM144" s="26"/>
      <c r="CN144" s="26"/>
      <c r="CO144" s="26"/>
      <c r="CP144" s="26"/>
      <c r="CQ144" s="38"/>
      <c r="CR144" s="26"/>
      <c r="CS144" s="26"/>
      <c r="CT144" s="26"/>
      <c r="CU144" s="26"/>
      <c r="CV144" s="26"/>
      <c r="CW144" s="26"/>
      <c r="CX144" s="26"/>
      <c r="CY144" s="26"/>
      <c r="CZ144" s="26"/>
      <c r="DA144" s="26"/>
      <c r="DB144" s="26"/>
      <c r="DC144" s="26"/>
      <c r="DD144" s="26"/>
      <c r="DE144" s="26"/>
      <c r="DF144" s="26"/>
      <c r="DG144" s="26"/>
      <c r="DH144" s="26"/>
      <c r="DI144" s="26"/>
      <c r="DJ144" s="26"/>
      <c r="DK144" s="26"/>
      <c r="DL144" s="26"/>
      <c r="DM144" s="26"/>
      <c r="DN144" s="26"/>
      <c r="DO144" s="26"/>
      <c r="DP144" s="26"/>
      <c r="DQ144" s="26"/>
      <c r="DR144" s="26"/>
    </row>
    <row r="145" spans="83:122">
      <c r="CE145" s="26"/>
      <c r="CF145" s="26"/>
      <c r="CG145" s="26"/>
      <c r="CH145" s="26"/>
      <c r="CI145" s="26"/>
      <c r="CJ145" s="26"/>
      <c r="CK145" s="26"/>
      <c r="CL145" s="26"/>
      <c r="CM145" s="26"/>
      <c r="CN145" s="26"/>
      <c r="CO145" s="26"/>
      <c r="CP145" s="26"/>
      <c r="CQ145" s="38"/>
      <c r="CR145" s="26"/>
      <c r="CS145" s="26"/>
      <c r="CT145" s="26"/>
      <c r="CU145" s="26"/>
      <c r="CV145" s="26"/>
      <c r="CW145" s="26"/>
      <c r="CX145" s="26"/>
      <c r="CY145" s="26"/>
      <c r="CZ145" s="26"/>
      <c r="DA145" s="26"/>
      <c r="DB145" s="26"/>
      <c r="DC145" s="26"/>
      <c r="DD145" s="26"/>
      <c r="DE145" s="26"/>
      <c r="DF145" s="26"/>
      <c r="DG145" s="26"/>
      <c r="DH145" s="26"/>
      <c r="DI145" s="26"/>
      <c r="DJ145" s="26"/>
      <c r="DK145" s="26"/>
      <c r="DL145" s="26"/>
      <c r="DM145" s="26"/>
      <c r="DN145" s="26"/>
      <c r="DO145" s="26"/>
      <c r="DP145" s="26"/>
      <c r="DQ145" s="26"/>
      <c r="DR145" s="26"/>
    </row>
    <row r="146" spans="83:122">
      <c r="CE146" s="26"/>
      <c r="CF146" s="26"/>
      <c r="CG146" s="26"/>
      <c r="CH146" s="26"/>
      <c r="CI146" s="26"/>
      <c r="CJ146" s="26"/>
      <c r="CK146" s="26"/>
      <c r="CL146" s="26"/>
      <c r="CM146" s="38"/>
      <c r="CN146" s="38"/>
      <c r="CO146" s="26"/>
      <c r="CP146" s="26"/>
      <c r="CQ146" s="38"/>
      <c r="CR146" s="26"/>
      <c r="CS146" s="26"/>
      <c r="CT146" s="26"/>
      <c r="CU146" s="26"/>
      <c r="CV146" s="26"/>
      <c r="CW146" s="26"/>
      <c r="CX146" s="26"/>
      <c r="CY146" s="26"/>
      <c r="CZ146" s="26"/>
      <c r="DA146" s="26"/>
      <c r="DB146" s="26"/>
      <c r="DC146" s="26"/>
      <c r="DD146" s="26"/>
      <c r="DE146" s="26"/>
      <c r="DF146" s="26"/>
      <c r="DG146" s="26"/>
      <c r="DH146" s="26"/>
      <c r="DI146" s="26"/>
      <c r="DJ146" s="26"/>
      <c r="DK146" s="26"/>
      <c r="DL146" s="26"/>
      <c r="DM146" s="26"/>
      <c r="DN146" s="26"/>
      <c r="DO146" s="26"/>
      <c r="DP146" s="26"/>
      <c r="DQ146" s="26"/>
      <c r="DR146" s="26"/>
    </row>
    <row r="147" spans="83:122">
      <c r="CE147" s="26"/>
      <c r="CF147" s="26"/>
      <c r="CG147" s="26"/>
      <c r="CH147" s="26"/>
      <c r="CI147" s="26"/>
      <c r="CJ147" s="26"/>
      <c r="CK147" s="26"/>
      <c r="CL147" s="26"/>
      <c r="CM147" s="38"/>
      <c r="CN147" s="38"/>
      <c r="CO147" s="26"/>
      <c r="CP147" s="26"/>
      <c r="CQ147" s="38"/>
      <c r="CR147" s="26"/>
      <c r="CS147" s="26"/>
      <c r="CT147" s="26"/>
      <c r="CU147" s="26"/>
      <c r="CV147" s="26"/>
      <c r="CW147" s="26"/>
      <c r="CX147" s="26"/>
      <c r="CY147" s="26"/>
      <c r="CZ147" s="26"/>
      <c r="DA147" s="26"/>
      <c r="DB147" s="26"/>
      <c r="DC147" s="26"/>
      <c r="DD147" s="26"/>
      <c r="DE147" s="26"/>
      <c r="DF147" s="26"/>
      <c r="DG147" s="26"/>
      <c r="DH147" s="26"/>
      <c r="DI147" s="26"/>
      <c r="DJ147" s="26"/>
      <c r="DK147" s="26"/>
      <c r="DL147" s="26"/>
      <c r="DM147" s="26"/>
      <c r="DN147" s="26"/>
      <c r="DO147" s="26"/>
      <c r="DP147" s="26"/>
      <c r="DQ147" s="26"/>
      <c r="DR147" s="26"/>
    </row>
    <row r="148" spans="83:122">
      <c r="CE148" s="26"/>
      <c r="CF148" s="26"/>
      <c r="CG148" s="26"/>
      <c r="CH148" s="26"/>
      <c r="CI148" s="26"/>
      <c r="CJ148" s="26"/>
      <c r="CK148" s="26"/>
      <c r="CL148" s="26"/>
      <c r="CM148" s="38"/>
      <c r="CN148" s="38"/>
      <c r="CO148" s="26"/>
      <c r="CP148" s="26"/>
      <c r="CQ148" s="38"/>
      <c r="CR148" s="26"/>
      <c r="CS148" s="26"/>
      <c r="CT148" s="26"/>
      <c r="CU148" s="26"/>
      <c r="CV148" s="26"/>
      <c r="CW148" s="26"/>
      <c r="CX148" s="26"/>
      <c r="CY148" s="26"/>
      <c r="CZ148" s="26"/>
      <c r="DA148" s="26"/>
      <c r="DB148" s="26"/>
      <c r="DC148" s="26"/>
      <c r="DD148" s="26"/>
      <c r="DE148" s="26"/>
      <c r="DF148" s="26"/>
      <c r="DG148" s="26"/>
      <c r="DH148" s="26"/>
      <c r="DI148" s="26"/>
      <c r="DJ148" s="26"/>
      <c r="DK148" s="26"/>
      <c r="DL148" s="26"/>
      <c r="DM148" s="26"/>
      <c r="DN148" s="26"/>
      <c r="DO148" s="26"/>
      <c r="DP148" s="26"/>
      <c r="DQ148" s="26"/>
      <c r="DR148" s="26"/>
    </row>
    <row r="149" spans="83:122">
      <c r="CE149" s="26"/>
      <c r="CF149" s="26"/>
      <c r="CG149" s="26"/>
      <c r="CH149" s="26"/>
      <c r="CI149" s="26"/>
      <c r="CJ149" s="26"/>
      <c r="CK149" s="26"/>
      <c r="CL149" s="26"/>
      <c r="CM149" s="38"/>
      <c r="CN149" s="38"/>
      <c r="CO149" s="38"/>
      <c r="CP149" s="26"/>
      <c r="CQ149" s="38"/>
      <c r="CR149" s="26"/>
      <c r="CS149" s="26"/>
      <c r="CT149" s="26"/>
      <c r="CU149" s="26"/>
      <c r="CV149" s="26"/>
      <c r="CW149" s="26"/>
      <c r="CX149" s="26"/>
      <c r="CY149" s="26"/>
      <c r="CZ149" s="26"/>
      <c r="DA149" s="26"/>
      <c r="DB149" s="26"/>
      <c r="DC149" s="26"/>
      <c r="DD149" s="26"/>
      <c r="DE149" s="26"/>
      <c r="DF149" s="26"/>
      <c r="DG149" s="26"/>
      <c r="DH149" s="26"/>
      <c r="DI149" s="26"/>
      <c r="DJ149" s="26"/>
      <c r="DK149" s="26"/>
      <c r="DL149" s="26"/>
      <c r="DM149" s="26"/>
      <c r="DN149" s="26"/>
      <c r="DO149" s="26"/>
      <c r="DP149" s="26"/>
      <c r="DQ149" s="26"/>
      <c r="DR149" s="26"/>
    </row>
    <row r="150" spans="83:122">
      <c r="CE150" s="26"/>
      <c r="CF150" s="26"/>
      <c r="CG150" s="26"/>
      <c r="CH150" s="26"/>
      <c r="CI150" s="26"/>
      <c r="CJ150" s="26"/>
      <c r="CK150" s="26"/>
      <c r="CL150" s="26"/>
      <c r="CM150" s="26"/>
      <c r="CN150" s="26"/>
      <c r="CO150" s="26"/>
      <c r="CP150" s="26"/>
      <c r="CQ150" s="38"/>
      <c r="CR150" s="26"/>
      <c r="CS150" s="26"/>
      <c r="CT150" s="26"/>
      <c r="CU150" s="26"/>
      <c r="CV150" s="26"/>
      <c r="CW150" s="26"/>
      <c r="CX150" s="26"/>
      <c r="CY150" s="26"/>
      <c r="CZ150" s="26"/>
      <c r="DA150" s="26"/>
      <c r="DB150" s="26"/>
      <c r="DC150" s="26"/>
      <c r="DD150" s="26"/>
      <c r="DE150" s="26"/>
      <c r="DF150" s="26"/>
      <c r="DG150" s="26"/>
      <c r="DH150" s="26"/>
      <c r="DI150" s="26"/>
      <c r="DJ150" s="26"/>
      <c r="DK150" s="26"/>
      <c r="DL150" s="26"/>
      <c r="DM150" s="26"/>
      <c r="DN150" s="26"/>
      <c r="DO150" s="26"/>
      <c r="DP150" s="26"/>
      <c r="DQ150" s="26"/>
      <c r="DR150" s="26"/>
    </row>
    <row r="151" spans="83:122">
      <c r="CE151" s="26"/>
      <c r="CF151" s="26" t="s">
        <v>306</v>
      </c>
      <c r="CG151" s="26"/>
      <c r="CH151" s="26"/>
      <c r="CI151" s="26"/>
      <c r="CJ151" s="26"/>
      <c r="CK151" s="26"/>
      <c r="CL151" s="26"/>
      <c r="CM151" s="26"/>
      <c r="CN151" s="26"/>
      <c r="CO151" s="26"/>
      <c r="CP151" s="26"/>
      <c r="CQ151" s="38"/>
      <c r="CR151" s="26"/>
      <c r="CS151" s="26"/>
      <c r="CT151" s="26" t="str">
        <f t="shared" ref="CT151:CT157" si="103">CF153</f>
        <v>Euro-bund, German Government</v>
      </c>
      <c r="CU151" s="38">
        <f t="shared" ref="CU151:CU157" si="104">CQ153</f>
        <v>0</v>
      </c>
      <c r="CV151" s="26"/>
      <c r="CW151" s="26"/>
      <c r="CX151" s="26"/>
      <c r="CY151" s="26"/>
      <c r="CZ151" s="26"/>
      <c r="DA151" s="26"/>
      <c r="DB151" s="26"/>
      <c r="DC151" s="26"/>
      <c r="DD151" s="26"/>
      <c r="DE151" s="26"/>
      <c r="DF151" s="26"/>
      <c r="DG151" s="26"/>
      <c r="DH151" s="26"/>
      <c r="DI151" s="26"/>
      <c r="DJ151" s="26"/>
      <c r="DK151" s="26"/>
      <c r="DL151" s="26"/>
      <c r="DM151" s="26"/>
      <c r="DN151" s="26"/>
      <c r="DO151" s="26"/>
      <c r="DP151" s="26"/>
      <c r="DQ151" s="26"/>
      <c r="DR151" s="26"/>
    </row>
    <row r="152" spans="83:122">
      <c r="CE152" s="26"/>
      <c r="CF152" s="26" t="s">
        <v>307</v>
      </c>
      <c r="CG152" s="26"/>
      <c r="CH152" s="26"/>
      <c r="CI152" s="26"/>
      <c r="CJ152" s="26"/>
      <c r="CK152" s="26"/>
      <c r="CL152" s="26"/>
      <c r="CM152" s="26"/>
      <c r="CN152" s="26"/>
      <c r="CO152" s="26"/>
      <c r="CP152" s="26"/>
      <c r="CQ152" s="38"/>
      <c r="CR152" s="26"/>
      <c r="CS152" s="26"/>
      <c r="CT152" s="26" t="str">
        <f t="shared" si="103"/>
        <v>Euro BOBL</v>
      </c>
      <c r="CU152" s="38">
        <f t="shared" si="104"/>
        <v>0</v>
      </c>
      <c r="CV152" s="26"/>
      <c r="CW152" s="26"/>
      <c r="CX152" s="26"/>
      <c r="CY152" s="26"/>
      <c r="CZ152" s="26"/>
      <c r="DA152" s="26"/>
      <c r="DB152" s="26"/>
      <c r="DC152" s="26"/>
      <c r="DD152" s="26"/>
      <c r="DE152" s="26"/>
      <c r="DF152" s="26"/>
      <c r="DG152" s="26"/>
      <c r="DH152" s="26"/>
      <c r="DI152" s="26"/>
      <c r="DJ152" s="26"/>
      <c r="DK152" s="26"/>
      <c r="DL152" s="26"/>
      <c r="DM152" s="26"/>
      <c r="DN152" s="26"/>
      <c r="DO152" s="26"/>
      <c r="DP152" s="26"/>
      <c r="DQ152" s="26"/>
      <c r="DR152" s="26"/>
    </row>
    <row r="153" spans="83:122">
      <c r="CE153" s="26"/>
      <c r="CF153" s="26" t="s">
        <v>308</v>
      </c>
      <c r="CG153" s="26" t="s">
        <v>309</v>
      </c>
      <c r="CH153" s="26"/>
      <c r="CI153" s="26"/>
      <c r="CJ153" s="26"/>
      <c r="CK153" s="26"/>
      <c r="CL153" s="26"/>
      <c r="CM153" s="38" t="e">
        <f t="shared" ref="CM153:CM159" si="105">(100*(CK153-CJ153)/(CI153-CJ153))/100</f>
        <v>#DIV/0!</v>
      </c>
      <c r="CN153" s="38" t="e">
        <f t="shared" ref="CN153:CN159" si="106">(CI153-CL153)/(CI153-CJ153)</f>
        <v>#DIV/0!</v>
      </c>
      <c r="CO153" s="26"/>
      <c r="CP153" s="26" t="b">
        <f t="shared" ref="CP153:CP159" si="107">ISERR(CM153)</f>
        <v>1</v>
      </c>
      <c r="CQ153" s="38">
        <f t="shared" ref="CQ153:CQ158" si="108">IF(CP153=FALSE,CM153,0%)</f>
        <v>0</v>
      </c>
      <c r="CR153" s="26"/>
      <c r="CS153" s="26"/>
      <c r="CT153" s="26" t="str">
        <f t="shared" si="103"/>
        <v>Euro Schatz</v>
      </c>
      <c r="CU153" s="38">
        <f t="shared" si="104"/>
        <v>0</v>
      </c>
      <c r="CV153" s="26"/>
      <c r="CW153" s="26"/>
      <c r="CX153" s="26"/>
      <c r="CY153" s="26"/>
      <c r="CZ153" s="26"/>
      <c r="DA153" s="26"/>
      <c r="DB153" s="26"/>
      <c r="DC153" s="26"/>
      <c r="DD153" s="26"/>
      <c r="DE153" s="26"/>
      <c r="DF153" s="26"/>
      <c r="DG153" s="26"/>
      <c r="DH153" s="26"/>
      <c r="DI153" s="26"/>
      <c r="DJ153" s="26"/>
      <c r="DK153" s="26"/>
      <c r="DL153" s="26"/>
      <c r="DM153" s="26"/>
      <c r="DN153" s="26"/>
      <c r="DO153" s="26"/>
      <c r="DP153" s="26"/>
      <c r="DQ153" s="26"/>
      <c r="DR153" s="26"/>
    </row>
    <row r="154" spans="83:122">
      <c r="CE154" s="26"/>
      <c r="CF154" s="26" t="s">
        <v>310</v>
      </c>
      <c r="CG154" s="26" t="s">
        <v>311</v>
      </c>
      <c r="CH154" s="26"/>
      <c r="CI154" s="26"/>
      <c r="CJ154" s="26"/>
      <c r="CK154" s="26"/>
      <c r="CL154" s="26"/>
      <c r="CM154" s="38" t="e">
        <f t="shared" si="105"/>
        <v>#DIV/0!</v>
      </c>
      <c r="CN154" s="38" t="e">
        <f t="shared" si="106"/>
        <v>#DIV/0!</v>
      </c>
      <c r="CO154" s="26"/>
      <c r="CP154" s="26" t="b">
        <f t="shared" si="107"/>
        <v>1</v>
      </c>
      <c r="CQ154" s="38">
        <f t="shared" si="108"/>
        <v>0</v>
      </c>
      <c r="CR154" s="26"/>
      <c r="CS154" s="26"/>
      <c r="CT154" s="26" t="str">
        <f t="shared" si="103"/>
        <v>Eurodollar</v>
      </c>
      <c r="CU154" s="38">
        <f t="shared" si="104"/>
        <v>0</v>
      </c>
      <c r="CV154" s="26"/>
      <c r="CW154" s="26"/>
      <c r="CX154" s="26"/>
      <c r="CY154" s="26"/>
      <c r="CZ154" s="26"/>
      <c r="DA154" s="26"/>
      <c r="DB154" s="26"/>
      <c r="DC154" s="26"/>
      <c r="DD154" s="26"/>
      <c r="DE154" s="26"/>
      <c r="DF154" s="26"/>
      <c r="DG154" s="26"/>
      <c r="DH154" s="26"/>
      <c r="DI154" s="26"/>
      <c r="DJ154" s="26"/>
      <c r="DK154" s="26"/>
      <c r="DL154" s="26"/>
      <c r="DM154" s="26"/>
      <c r="DN154" s="26"/>
      <c r="DO154" s="26"/>
      <c r="DP154" s="26"/>
      <c r="DQ154" s="26"/>
      <c r="DR154" s="26"/>
    </row>
    <row r="155" spans="83:122">
      <c r="CE155" s="26"/>
      <c r="CF155" s="26" t="s">
        <v>312</v>
      </c>
      <c r="CG155" s="26" t="s">
        <v>313</v>
      </c>
      <c r="CH155" s="26"/>
      <c r="CI155" s="26"/>
      <c r="CJ155" s="26"/>
      <c r="CK155" s="26"/>
      <c r="CL155" s="26"/>
      <c r="CM155" s="38" t="e">
        <f t="shared" si="105"/>
        <v>#DIV/0!</v>
      </c>
      <c r="CN155" s="38" t="e">
        <f t="shared" si="106"/>
        <v>#DIV/0!</v>
      </c>
      <c r="CO155" s="26"/>
      <c r="CP155" s="26" t="b">
        <f t="shared" si="107"/>
        <v>1</v>
      </c>
      <c r="CQ155" s="38">
        <f t="shared" si="108"/>
        <v>0</v>
      </c>
      <c r="CR155" s="26"/>
      <c r="CS155" s="26"/>
      <c r="CT155" s="26" t="str">
        <f t="shared" si="103"/>
        <v>Gilt Long</v>
      </c>
      <c r="CU155" s="38">
        <f t="shared" si="104"/>
        <v>0</v>
      </c>
      <c r="CV155" s="26"/>
      <c r="CW155" s="26"/>
      <c r="CX155" s="26"/>
      <c r="CY155" s="26"/>
      <c r="CZ155" s="26"/>
      <c r="DA155" s="26"/>
      <c r="DB155" s="26"/>
      <c r="DC155" s="26"/>
      <c r="DD155" s="26"/>
      <c r="DE155" s="26"/>
      <c r="DF155" s="26"/>
      <c r="DG155" s="26"/>
      <c r="DH155" s="26"/>
      <c r="DI155" s="26"/>
      <c r="DJ155" s="26"/>
      <c r="DK155" s="26"/>
      <c r="DL155" s="26"/>
      <c r="DM155" s="26"/>
      <c r="DN155" s="26"/>
      <c r="DO155" s="26"/>
      <c r="DP155" s="26"/>
      <c r="DQ155" s="26"/>
      <c r="DR155" s="26"/>
    </row>
    <row r="156" spans="83:122">
      <c r="CE156" s="26"/>
      <c r="CF156" s="26" t="s">
        <v>314</v>
      </c>
      <c r="CG156" s="26" t="s">
        <v>315</v>
      </c>
      <c r="CH156" s="26"/>
      <c r="CI156" s="26"/>
      <c r="CJ156" s="26"/>
      <c r="CK156" s="26"/>
      <c r="CL156" s="26"/>
      <c r="CM156" s="38" t="e">
        <f t="shared" si="105"/>
        <v>#DIV/0!</v>
      </c>
      <c r="CN156" s="38" t="e">
        <f t="shared" si="106"/>
        <v>#DIV/0!</v>
      </c>
      <c r="CO156" s="26"/>
      <c r="CP156" s="26" t="b">
        <f t="shared" si="107"/>
        <v>1</v>
      </c>
      <c r="CQ156" s="38">
        <f t="shared" si="108"/>
        <v>0</v>
      </c>
      <c r="CR156" s="26"/>
      <c r="CS156" s="26"/>
      <c r="CT156" s="26" t="str">
        <f t="shared" si="103"/>
        <v>30-year US T-Bond</v>
      </c>
      <c r="CU156" s="38">
        <f t="shared" si="104"/>
        <v>0</v>
      </c>
      <c r="CV156" s="26"/>
      <c r="CW156" s="26"/>
      <c r="CX156" s="26"/>
      <c r="CY156" s="26"/>
      <c r="CZ156" s="26"/>
      <c r="DA156" s="26"/>
      <c r="DB156" s="26"/>
      <c r="DC156" s="26"/>
      <c r="DD156" s="26"/>
      <c r="DE156" s="26"/>
      <c r="DF156" s="26"/>
      <c r="DG156" s="26"/>
      <c r="DH156" s="26"/>
      <c r="DI156" s="26"/>
      <c r="DJ156" s="26"/>
      <c r="DK156" s="26"/>
      <c r="DL156" s="26"/>
      <c r="DM156" s="26"/>
      <c r="DN156" s="26"/>
      <c r="DO156" s="26"/>
      <c r="DP156" s="26"/>
      <c r="DQ156" s="26"/>
      <c r="DR156" s="26"/>
    </row>
    <row r="157" spans="83:122">
      <c r="CE157" s="26"/>
      <c r="CF157" s="26" t="s">
        <v>316</v>
      </c>
      <c r="CG157" s="26" t="s">
        <v>317</v>
      </c>
      <c r="CH157" s="26"/>
      <c r="CI157" s="26"/>
      <c r="CJ157" s="26"/>
      <c r="CK157" s="26"/>
      <c r="CL157" s="26"/>
      <c r="CM157" s="38" t="e">
        <f t="shared" si="105"/>
        <v>#DIV/0!</v>
      </c>
      <c r="CN157" s="38" t="e">
        <f t="shared" si="106"/>
        <v>#DIV/0!</v>
      </c>
      <c r="CO157" s="26"/>
      <c r="CP157" s="26" t="b">
        <f t="shared" si="107"/>
        <v>1</v>
      </c>
      <c r="CQ157" s="38">
        <f t="shared" si="108"/>
        <v>0</v>
      </c>
      <c r="CR157" s="26"/>
      <c r="CS157" s="26"/>
      <c r="CT157" s="26" t="str">
        <f t="shared" si="103"/>
        <v>10 Year US T-Notes Composite</v>
      </c>
      <c r="CU157" s="38">
        <f t="shared" si="104"/>
        <v>0</v>
      </c>
      <c r="CV157" s="26"/>
      <c r="CW157" s="26"/>
      <c r="CX157" s="26"/>
      <c r="CY157" s="26"/>
      <c r="CZ157" s="26"/>
      <c r="DA157" s="26"/>
      <c r="DB157" s="26"/>
      <c r="DC157" s="26"/>
      <c r="DD157" s="26"/>
      <c r="DE157" s="26"/>
      <c r="DF157" s="26"/>
      <c r="DG157" s="26"/>
      <c r="DH157" s="26"/>
      <c r="DI157" s="26"/>
      <c r="DJ157" s="26"/>
      <c r="DK157" s="26"/>
      <c r="DL157" s="26"/>
      <c r="DM157" s="26"/>
      <c r="DN157" s="26"/>
      <c r="DO157" s="26"/>
      <c r="DP157" s="26"/>
      <c r="DQ157" s="26"/>
      <c r="DR157" s="26"/>
    </row>
    <row r="158" spans="83:122">
      <c r="CE158" s="26"/>
      <c r="CF158" s="26" t="s">
        <v>318</v>
      </c>
      <c r="CG158" s="26" t="s">
        <v>319</v>
      </c>
      <c r="CH158" s="26"/>
      <c r="CI158" s="26"/>
      <c r="CJ158" s="26"/>
      <c r="CK158" s="26"/>
      <c r="CL158" s="26"/>
      <c r="CM158" s="38" t="e">
        <f t="shared" si="105"/>
        <v>#DIV/0!</v>
      </c>
      <c r="CN158" s="38" t="e">
        <f t="shared" si="106"/>
        <v>#DIV/0!</v>
      </c>
      <c r="CO158" s="26"/>
      <c r="CP158" s="26" t="b">
        <f t="shared" si="107"/>
        <v>1</v>
      </c>
      <c r="CQ158" s="38">
        <f t="shared" si="108"/>
        <v>0</v>
      </c>
      <c r="CR158" s="26"/>
      <c r="CS158" s="26"/>
      <c r="CT158" s="26"/>
      <c r="CU158" s="26"/>
      <c r="CV158" s="26"/>
      <c r="CW158" s="26"/>
      <c r="CX158" s="26"/>
      <c r="CY158" s="26"/>
      <c r="CZ158" s="26"/>
      <c r="DA158" s="26"/>
      <c r="DB158" s="26"/>
      <c r="DC158" s="26"/>
      <c r="DD158" s="26"/>
      <c r="DE158" s="26"/>
      <c r="DF158" s="26"/>
      <c r="DG158" s="26"/>
      <c r="DH158" s="26"/>
      <c r="DI158" s="26"/>
      <c r="DJ158" s="26"/>
      <c r="DK158" s="26"/>
      <c r="DL158" s="26"/>
      <c r="DM158" s="26"/>
      <c r="DN158" s="26"/>
      <c r="DO158" s="26"/>
      <c r="DP158" s="26"/>
      <c r="DQ158" s="26"/>
      <c r="DR158" s="26"/>
    </row>
    <row r="159" spans="83:122">
      <c r="CE159" s="26"/>
      <c r="CF159" s="26" t="s">
        <v>320</v>
      </c>
      <c r="CG159" s="26" t="s">
        <v>321</v>
      </c>
      <c r="CH159" s="26"/>
      <c r="CI159" s="26"/>
      <c r="CJ159" s="26"/>
      <c r="CK159" s="26"/>
      <c r="CL159" s="26"/>
      <c r="CM159" s="38" t="e">
        <f t="shared" si="105"/>
        <v>#DIV/0!</v>
      </c>
      <c r="CN159" s="38" t="e">
        <f t="shared" si="106"/>
        <v>#DIV/0!</v>
      </c>
      <c r="CO159" s="26"/>
      <c r="CP159" s="26" t="b">
        <f t="shared" si="107"/>
        <v>1</v>
      </c>
      <c r="CQ159" s="38">
        <f>IF(CP159=FALSE,CM159,0%)</f>
        <v>0</v>
      </c>
      <c r="CR159" s="26"/>
      <c r="CS159" s="26"/>
      <c r="CT159" s="26"/>
      <c r="CU159" s="26"/>
      <c r="CV159" s="26"/>
      <c r="CW159" s="26"/>
      <c r="CX159" s="26"/>
      <c r="CY159" s="26"/>
      <c r="CZ159" s="26"/>
      <c r="DA159" s="26"/>
      <c r="DB159" s="26"/>
      <c r="DC159" s="26"/>
      <c r="DD159" s="26"/>
      <c r="DE159" s="26"/>
      <c r="DF159" s="26"/>
      <c r="DG159" s="26"/>
      <c r="DH159" s="26"/>
      <c r="DI159" s="26"/>
      <c r="DJ159" s="26"/>
      <c r="DK159" s="26"/>
      <c r="DL159" s="26"/>
      <c r="DM159" s="26"/>
      <c r="DN159" s="26"/>
      <c r="DO159" s="26"/>
      <c r="DP159" s="26"/>
      <c r="DQ159" s="26"/>
      <c r="DR159" s="26"/>
    </row>
    <row r="160" spans="83:122">
      <c r="CE160" s="26"/>
      <c r="CF160" s="26"/>
      <c r="CG160" s="26"/>
      <c r="CH160" s="26"/>
      <c r="CI160" s="26"/>
      <c r="CJ160" s="26"/>
      <c r="CK160" s="26"/>
      <c r="CL160" s="26"/>
      <c r="CM160" s="26"/>
      <c r="CN160" s="26"/>
      <c r="CO160" s="26"/>
      <c r="CP160" s="26"/>
      <c r="CQ160" s="26"/>
      <c r="CR160" s="26"/>
      <c r="CS160" s="26"/>
      <c r="CT160" s="26"/>
      <c r="CU160" s="26"/>
      <c r="CV160" s="26"/>
      <c r="CW160" s="26"/>
      <c r="CX160" s="26"/>
      <c r="CY160" s="26"/>
      <c r="CZ160" s="26"/>
      <c r="DA160" s="26"/>
      <c r="DB160" s="26"/>
      <c r="DC160" s="26"/>
      <c r="DD160" s="26"/>
      <c r="DE160" s="26"/>
      <c r="DF160" s="26"/>
      <c r="DG160" s="26"/>
      <c r="DH160" s="26"/>
      <c r="DI160" s="26"/>
      <c r="DJ160" s="26"/>
      <c r="DK160" s="26"/>
      <c r="DL160" s="26"/>
      <c r="DM160" s="26"/>
      <c r="DN160" s="26"/>
      <c r="DO160" s="26"/>
      <c r="DP160" s="26"/>
      <c r="DQ160" s="26"/>
      <c r="DR160" s="26"/>
    </row>
    <row r="161" spans="83:122">
      <c r="CE161" s="26"/>
      <c r="CF161" s="26" t="s">
        <v>322</v>
      </c>
      <c r="CG161" s="26" t="s">
        <v>323</v>
      </c>
      <c r="CH161" s="26" t="s">
        <v>324</v>
      </c>
      <c r="CI161" s="26"/>
      <c r="CJ161" s="26"/>
      <c r="CK161" s="26"/>
      <c r="CL161" s="26"/>
      <c r="CM161" s="38" t="e">
        <f>(100*(CK161-CJ161)/(CI161-CJ161))/100</f>
        <v>#DIV/0!</v>
      </c>
      <c r="CN161" s="38" t="e">
        <f>(CI161-CL161)/(CI161-CJ161)</f>
        <v>#DIV/0!</v>
      </c>
      <c r="CO161" s="26"/>
      <c r="CP161" s="26" t="b">
        <f>ISERR(CM161)</f>
        <v>1</v>
      </c>
      <c r="CQ161" s="38">
        <f>IF(CP161=FALSE,CM161,0%)</f>
        <v>0</v>
      </c>
      <c r="CR161" s="26"/>
      <c r="CS161" s="26"/>
      <c r="CT161" s="26"/>
      <c r="CU161" s="26"/>
      <c r="CV161" s="26"/>
      <c r="CW161" s="26"/>
      <c r="CX161" s="26"/>
      <c r="CY161" s="26"/>
      <c r="CZ161" s="26"/>
      <c r="DA161" s="26"/>
      <c r="DB161" s="26"/>
      <c r="DC161" s="26"/>
      <c r="DD161" s="26"/>
      <c r="DE161" s="26"/>
      <c r="DF161" s="26"/>
      <c r="DG161" s="26"/>
      <c r="DH161" s="26"/>
      <c r="DI161" s="26"/>
      <c r="DJ161" s="26"/>
      <c r="DK161" s="26"/>
      <c r="DL161" s="26"/>
      <c r="DM161" s="26"/>
      <c r="DN161" s="26"/>
      <c r="DO161" s="26"/>
      <c r="DP161" s="26"/>
      <c r="DQ161" s="26"/>
      <c r="DR161" s="26"/>
    </row>
    <row r="162" spans="83:122">
      <c r="CE162" s="26"/>
      <c r="CF162" s="26" t="s">
        <v>325</v>
      </c>
      <c r="CG162" s="26" t="s">
        <v>326</v>
      </c>
      <c r="CH162" s="26" t="s">
        <v>327</v>
      </c>
      <c r="CI162" s="26"/>
      <c r="CJ162" s="26"/>
      <c r="CK162" s="26"/>
      <c r="CL162" s="26"/>
      <c r="CM162" s="38" t="e">
        <f>(100*(CK162-CJ162)/(CI162-CJ162))/100</f>
        <v>#DIV/0!</v>
      </c>
      <c r="CN162" s="38" t="e">
        <f>(CI162-CL162)/(CI162-CJ162)</f>
        <v>#DIV/0!</v>
      </c>
      <c r="CO162" s="26"/>
      <c r="CP162" s="26" t="b">
        <f>ISERR(CM162)</f>
        <v>1</v>
      </c>
      <c r="CQ162" s="38">
        <f>IF(CP162=FALSE,CM162,0%)</f>
        <v>0</v>
      </c>
      <c r="CR162" s="26"/>
      <c r="CS162" s="26"/>
      <c r="CT162" s="26"/>
      <c r="CU162" s="26"/>
      <c r="CV162" s="26"/>
      <c r="CW162" s="26"/>
      <c r="CX162" s="26"/>
      <c r="CY162" s="26"/>
      <c r="CZ162" s="26"/>
      <c r="DA162" s="26"/>
      <c r="DB162" s="26"/>
      <c r="DC162" s="26"/>
      <c r="DD162" s="26"/>
      <c r="DE162" s="26"/>
      <c r="DF162" s="26"/>
      <c r="DG162" s="26"/>
      <c r="DH162" s="26"/>
      <c r="DI162" s="26"/>
      <c r="DJ162" s="26"/>
      <c r="DK162" s="26"/>
      <c r="DL162" s="26"/>
      <c r="DM162" s="26"/>
      <c r="DN162" s="26"/>
      <c r="DO162" s="26"/>
      <c r="DP162" s="26"/>
      <c r="DQ162" s="26"/>
      <c r="DR162" s="26"/>
    </row>
    <row r="163" spans="83:122">
      <c r="CE163" s="26"/>
      <c r="CF163" s="26" t="s">
        <v>328</v>
      </c>
      <c r="CG163" s="26" t="s">
        <v>329</v>
      </c>
      <c r="CH163" s="26"/>
      <c r="CI163" s="26"/>
      <c r="CJ163" s="26"/>
      <c r="CK163" s="26"/>
      <c r="CL163" s="26"/>
      <c r="CM163" s="38" t="e">
        <f>(100*(CK163-CJ163)/(CI163-CJ163))/100</f>
        <v>#DIV/0!</v>
      </c>
      <c r="CN163" s="38" t="e">
        <f>(CI163-CL163)/(CI163-CJ163)</f>
        <v>#DIV/0!</v>
      </c>
      <c r="CO163" s="26"/>
      <c r="CP163" s="26"/>
      <c r="CQ163" s="26"/>
      <c r="CR163" s="26"/>
      <c r="CS163" s="26"/>
      <c r="CT163" s="26"/>
      <c r="CU163" s="26"/>
      <c r="CV163" s="26"/>
      <c r="CW163" s="26"/>
      <c r="CX163" s="26"/>
      <c r="CY163" s="26"/>
      <c r="CZ163" s="26"/>
      <c r="DA163" s="26"/>
      <c r="DB163" s="26"/>
      <c r="DC163" s="26"/>
      <c r="DD163" s="26"/>
      <c r="DE163" s="26"/>
      <c r="DF163" s="26"/>
      <c r="DG163" s="26"/>
      <c r="DH163" s="26"/>
      <c r="DI163" s="26"/>
      <c r="DJ163" s="26"/>
      <c r="DK163" s="26"/>
      <c r="DL163" s="26"/>
      <c r="DM163" s="26"/>
      <c r="DN163" s="26"/>
      <c r="DO163" s="26"/>
      <c r="DP163" s="26"/>
      <c r="DQ163" s="26"/>
      <c r="DR163" s="26"/>
    </row>
    <row r="164" spans="83:122">
      <c r="CE164" s="26"/>
      <c r="CF164" s="26"/>
      <c r="CG164" s="26"/>
      <c r="CH164" s="26"/>
      <c r="CI164" s="26"/>
      <c r="CJ164" s="26"/>
      <c r="CK164" s="26"/>
      <c r="CL164" s="26"/>
      <c r="CM164" s="26"/>
      <c r="CN164" s="26"/>
      <c r="CO164" s="26"/>
      <c r="CP164" s="26"/>
      <c r="CQ164" s="26"/>
      <c r="CR164" s="26"/>
      <c r="CS164" s="26"/>
      <c r="CT164" s="26"/>
      <c r="CU164" s="26"/>
      <c r="CV164" s="26"/>
      <c r="CW164" s="26"/>
      <c r="CX164" s="26"/>
      <c r="CY164" s="26"/>
      <c r="CZ164" s="26"/>
      <c r="DA164" s="26"/>
      <c r="DB164" s="26"/>
      <c r="DC164" s="26"/>
      <c r="DD164" s="26"/>
      <c r="DE164" s="26"/>
      <c r="DF164" s="26"/>
      <c r="DG164" s="26"/>
      <c r="DH164" s="26"/>
      <c r="DI164" s="26"/>
      <c r="DJ164" s="26"/>
      <c r="DK164" s="26"/>
      <c r="DL164" s="26"/>
      <c r="DM164" s="26"/>
      <c r="DN164" s="26"/>
      <c r="DO164" s="26"/>
      <c r="DP164" s="26"/>
      <c r="DQ164" s="26"/>
      <c r="DR164" s="26"/>
    </row>
    <row r="165" spans="83:122">
      <c r="CE165" s="26"/>
      <c r="CF165" s="26"/>
      <c r="CG165" s="26"/>
      <c r="CH165" s="26"/>
      <c r="CI165" s="26"/>
      <c r="CJ165" s="26"/>
      <c r="CK165" s="26"/>
      <c r="CL165" s="26"/>
      <c r="CM165" s="26"/>
      <c r="CN165" s="26"/>
      <c r="CO165" s="26"/>
      <c r="CP165" s="26"/>
      <c r="CQ165" s="26" t="s">
        <v>330</v>
      </c>
      <c r="CR165" s="38">
        <f>$BX$103</f>
        <v>0</v>
      </c>
      <c r="CS165" s="26"/>
      <c r="CT165" s="26"/>
      <c r="CU165" s="26"/>
      <c r="CV165" s="26"/>
      <c r="CW165" s="26"/>
      <c r="CX165" s="26"/>
      <c r="CY165" s="26"/>
      <c r="CZ165" s="26"/>
      <c r="DA165" s="26"/>
      <c r="DB165" s="26"/>
      <c r="DC165" s="26"/>
      <c r="DD165" s="26"/>
      <c r="DE165" s="26"/>
      <c r="DF165" s="26"/>
      <c r="DG165" s="26"/>
      <c r="DH165" s="26"/>
      <c r="DI165" s="26"/>
      <c r="DJ165" s="26"/>
      <c r="DK165" s="26"/>
      <c r="DL165" s="26"/>
      <c r="DM165" s="26"/>
      <c r="DN165" s="26"/>
      <c r="DO165" s="26"/>
      <c r="DP165" s="26"/>
      <c r="DQ165" s="26"/>
      <c r="DR165" s="26"/>
    </row>
    <row r="166" spans="83:122">
      <c r="CE166" s="26"/>
      <c r="CF166" s="26"/>
      <c r="CG166" s="26"/>
      <c r="CH166" s="26" t="s">
        <v>331</v>
      </c>
      <c r="CI166" s="26"/>
      <c r="CJ166" s="26" t="s">
        <v>53</v>
      </c>
      <c r="CK166" s="26">
        <f>DF33</f>
        <v>1115190000</v>
      </c>
      <c r="CL166" s="26" t="s">
        <v>66</v>
      </c>
      <c r="CM166" s="26">
        <f>DF55</f>
        <v>10385000</v>
      </c>
      <c r="CN166" s="26" t="s">
        <v>52</v>
      </c>
      <c r="CO166" s="26">
        <f>DF34</f>
        <v>11578700</v>
      </c>
      <c r="CP166" s="26"/>
      <c r="CQ166" s="26" t="s">
        <v>332</v>
      </c>
      <c r="CR166" s="38">
        <f>$BX$86</f>
        <v>0</v>
      </c>
      <c r="CS166" s="26"/>
      <c r="CT166" s="26"/>
      <c r="CU166" s="26"/>
      <c r="CV166" s="26"/>
      <c r="CW166" s="26"/>
      <c r="CX166" s="26"/>
      <c r="CY166" s="26"/>
      <c r="CZ166" s="26"/>
      <c r="DA166" s="26"/>
      <c r="DB166" s="26"/>
      <c r="DC166" s="26"/>
      <c r="DD166" s="26"/>
      <c r="DE166" s="26"/>
      <c r="DF166" s="26"/>
      <c r="DG166" s="26"/>
      <c r="DH166" s="26"/>
      <c r="DI166" s="26"/>
      <c r="DJ166" s="26"/>
      <c r="DK166" s="26"/>
      <c r="DL166" s="26"/>
      <c r="DM166" s="26"/>
      <c r="DN166" s="26"/>
      <c r="DO166" s="26"/>
      <c r="DP166" s="26"/>
      <c r="DQ166" s="26"/>
      <c r="DR166" s="26"/>
    </row>
    <row r="167" spans="83:122">
      <c r="CE167" s="26"/>
      <c r="CF167" s="26"/>
      <c r="CG167" s="26"/>
      <c r="CH167" s="26" t="s">
        <v>333</v>
      </c>
      <c r="CI167" s="26"/>
      <c r="CJ167" s="26" t="s">
        <v>59</v>
      </c>
      <c r="CK167" s="26">
        <f>DF39</f>
        <v>1329000000</v>
      </c>
      <c r="CL167" s="26" t="s">
        <v>66</v>
      </c>
      <c r="CM167" s="26" t="e">
        <f>#REF!</f>
        <v>#REF!</v>
      </c>
      <c r="CN167" s="26" t="s">
        <v>57</v>
      </c>
      <c r="CO167" s="26">
        <f>DF40</f>
        <v>13801700</v>
      </c>
      <c r="CP167" s="26"/>
      <c r="CQ167" s="26" t="s">
        <v>324</v>
      </c>
      <c r="CR167" s="38">
        <f>CQ161</f>
        <v>0</v>
      </c>
      <c r="CS167" s="26"/>
      <c r="CT167" s="26"/>
      <c r="CU167" s="26"/>
      <c r="CV167" s="26"/>
      <c r="CW167" s="26"/>
      <c r="CX167" s="26"/>
      <c r="CY167" s="26"/>
      <c r="CZ167" s="26"/>
      <c r="DA167" s="26"/>
      <c r="DB167" s="26"/>
      <c r="DC167" s="26"/>
      <c r="DD167" s="26"/>
      <c r="DE167" s="26"/>
      <c r="DF167" s="26"/>
      <c r="DG167" s="26"/>
      <c r="DH167" s="26"/>
      <c r="DI167" s="26"/>
      <c r="DJ167" s="26"/>
      <c r="DK167" s="26"/>
      <c r="DL167" s="26"/>
      <c r="DM167" s="26"/>
      <c r="DN167" s="26"/>
      <c r="DO167" s="26"/>
      <c r="DP167" s="26"/>
      <c r="DQ167" s="26"/>
      <c r="DR167" s="26"/>
    </row>
    <row r="168" spans="83:122">
      <c r="CE168" s="26"/>
      <c r="CF168" s="26"/>
      <c r="CG168" s="26"/>
      <c r="CH168" s="26"/>
      <c r="CI168" s="26"/>
      <c r="CJ168" s="26" t="s">
        <v>46</v>
      </c>
      <c r="CK168" s="26" t="e">
        <f>DF44</f>
        <v>#VALUE!</v>
      </c>
      <c r="CL168" s="26" t="s">
        <v>66</v>
      </c>
      <c r="CM168" s="26" t="e">
        <f>#REF!</f>
        <v>#REF!</v>
      </c>
      <c r="CN168" s="26" t="s">
        <v>44</v>
      </c>
      <c r="CO168" s="26">
        <f>DF45</f>
        <v>7862500</v>
      </c>
      <c r="CP168" s="26"/>
      <c r="CQ168" s="26" t="s">
        <v>327</v>
      </c>
      <c r="CR168" s="38">
        <f>CQ162</f>
        <v>0</v>
      </c>
      <c r="CS168" s="26"/>
      <c r="CT168" s="26"/>
      <c r="CU168" s="26"/>
      <c r="CV168" s="26"/>
      <c r="CW168" s="26"/>
      <c r="CX168" s="26"/>
      <c r="CY168" s="26"/>
      <c r="CZ168" s="26"/>
      <c r="DA168" s="26"/>
      <c r="DB168" s="26"/>
      <c r="DC168" s="26"/>
      <c r="DD168" s="26"/>
      <c r="DE168" s="26"/>
      <c r="DF168" s="26"/>
      <c r="DG168" s="26"/>
      <c r="DH168" s="26"/>
      <c r="DI168" s="26"/>
      <c r="DJ168" s="26"/>
      <c r="DK168" s="26"/>
      <c r="DL168" s="26"/>
      <c r="DM168" s="26"/>
      <c r="DN168" s="26"/>
      <c r="DO168" s="26"/>
      <c r="DP168" s="26"/>
      <c r="DQ168" s="26"/>
      <c r="DR168" s="26"/>
    </row>
    <row r="169" spans="83:122">
      <c r="CE169" s="26"/>
      <c r="CF169" s="26"/>
      <c r="CG169" s="26"/>
      <c r="CH169" s="26"/>
      <c r="CI169" s="26"/>
      <c r="CJ169" s="26" t="s">
        <v>63</v>
      </c>
      <c r="CK169" s="26" t="e">
        <f>DF48</f>
        <v>#VALUE!</v>
      </c>
      <c r="CL169" s="26" t="s">
        <v>66</v>
      </c>
      <c r="CM169" s="26" t="e">
        <f>#REF!</f>
        <v>#REF!</v>
      </c>
      <c r="CN169" s="26" t="s">
        <v>62</v>
      </c>
      <c r="CO169" s="26">
        <f>DF49</f>
        <v>7563900</v>
      </c>
      <c r="CP169" s="26"/>
      <c r="CQ169" s="26"/>
      <c r="CR169" s="26"/>
      <c r="CS169" s="26"/>
      <c r="CT169" s="26"/>
      <c r="CU169" s="26"/>
      <c r="CV169" s="26"/>
      <c r="CW169" s="26"/>
      <c r="CX169" s="26"/>
      <c r="CY169" s="26"/>
      <c r="CZ169" s="26"/>
      <c r="DA169" s="26"/>
      <c r="DB169" s="26"/>
      <c r="DC169" s="26"/>
      <c r="DD169" s="26"/>
      <c r="DE169" s="26"/>
      <c r="DF169" s="26"/>
      <c r="DG169" s="26"/>
      <c r="DH169" s="26"/>
      <c r="DI169" s="26"/>
      <c r="DJ169" s="26"/>
      <c r="DK169" s="26"/>
      <c r="DL169" s="26"/>
      <c r="DM169" s="26"/>
      <c r="DN169" s="26"/>
      <c r="DO169" s="26"/>
      <c r="DP169" s="26"/>
      <c r="DQ169" s="26"/>
      <c r="DR169" s="26"/>
    </row>
    <row r="170" spans="83:122">
      <c r="CE170" s="26"/>
      <c r="CF170" s="26"/>
      <c r="CG170" s="26"/>
      <c r="CH170" s="26"/>
      <c r="CI170" s="26"/>
      <c r="CJ170" s="26" t="s">
        <v>59</v>
      </c>
      <c r="CK170" s="26" t="e">
        <f>#REF!</f>
        <v>#REF!</v>
      </c>
      <c r="CL170" s="26" t="s">
        <v>65</v>
      </c>
      <c r="CM170" s="26" t="e">
        <f>#REF!</f>
        <v>#REF!</v>
      </c>
      <c r="CN170" s="26" t="s">
        <v>56</v>
      </c>
      <c r="CO170" s="26">
        <f>DF38</f>
        <v>1302520000</v>
      </c>
      <c r="CP170" s="26"/>
      <c r="CQ170" s="26"/>
      <c r="CR170" s="26"/>
      <c r="CS170" s="26"/>
      <c r="CT170" s="26"/>
      <c r="CU170" s="26"/>
      <c r="CV170" s="26"/>
      <c r="CW170" s="26"/>
      <c r="CX170" s="26"/>
      <c r="CY170" s="26"/>
      <c r="CZ170" s="26"/>
      <c r="DA170" s="26"/>
      <c r="DB170" s="26"/>
      <c r="DC170" s="26"/>
      <c r="DD170" s="26"/>
      <c r="DE170" s="26"/>
      <c r="DF170" s="26"/>
      <c r="DG170" s="26"/>
      <c r="DH170" s="26"/>
      <c r="DI170" s="26"/>
      <c r="DJ170" s="26"/>
      <c r="DK170" s="26"/>
      <c r="DL170" s="26"/>
      <c r="DM170" s="26"/>
      <c r="DN170" s="26"/>
      <c r="DO170" s="26"/>
      <c r="DP170" s="26"/>
      <c r="DQ170" s="26"/>
      <c r="DR170" s="26"/>
    </row>
    <row r="171" spans="83:122">
      <c r="CE171" s="26"/>
      <c r="CF171" s="26"/>
      <c r="CG171" s="26"/>
      <c r="CH171" s="26"/>
      <c r="CI171" s="26"/>
      <c r="CJ171" s="26" t="s">
        <v>53</v>
      </c>
      <c r="CK171" s="26" t="e">
        <f>#REF!</f>
        <v>#REF!</v>
      </c>
      <c r="CL171" s="26" t="s">
        <v>65</v>
      </c>
      <c r="CM171" s="26" t="e">
        <f>#REF!</f>
        <v>#REF!</v>
      </c>
      <c r="CN171" s="26" t="s">
        <v>51</v>
      </c>
      <c r="CO171" s="26">
        <f>DF32</f>
        <v>1092670000</v>
      </c>
      <c r="CP171" s="26"/>
      <c r="CQ171" s="26"/>
      <c r="CR171" s="26"/>
      <c r="CS171" s="26"/>
      <c r="CT171" s="26"/>
      <c r="CU171" s="26"/>
      <c r="CV171" s="26"/>
      <c r="CW171" s="26"/>
      <c r="CX171" s="26"/>
      <c r="CY171" s="26"/>
      <c r="CZ171" s="26"/>
      <c r="DA171" s="26"/>
      <c r="DB171" s="26"/>
      <c r="DC171" s="26"/>
      <c r="DD171" s="26"/>
      <c r="DE171" s="26"/>
      <c r="DF171" s="26"/>
      <c r="DG171" s="26"/>
      <c r="DH171" s="26"/>
      <c r="DI171" s="26"/>
      <c r="DJ171" s="26"/>
      <c r="DK171" s="26"/>
      <c r="DL171" s="26"/>
      <c r="DM171" s="26"/>
      <c r="DN171" s="26"/>
      <c r="DO171" s="26"/>
      <c r="DP171" s="26"/>
      <c r="DQ171" s="26"/>
      <c r="DR171" s="26"/>
    </row>
    <row r="172" spans="83:122">
      <c r="CE172" s="26"/>
      <c r="CF172" s="26"/>
      <c r="CG172" s="26"/>
      <c r="CH172" s="26"/>
      <c r="CI172" s="26"/>
      <c r="CJ172" s="26" t="s">
        <v>46</v>
      </c>
      <c r="CK172" s="26" t="e">
        <f>#REF!</f>
        <v>#REF!</v>
      </c>
      <c r="CL172" s="26" t="s">
        <v>64</v>
      </c>
      <c r="CM172" s="26">
        <f>DF53</f>
        <v>1298600000</v>
      </c>
      <c r="CN172" s="26" t="s">
        <v>42</v>
      </c>
      <c r="CO172" s="26" t="e">
        <f>DF42</f>
        <v>#VALUE!</v>
      </c>
      <c r="CP172" s="26"/>
      <c r="CQ172" s="26"/>
      <c r="CR172" s="26"/>
      <c r="CS172" s="26"/>
      <c r="CT172" s="26"/>
      <c r="CU172" s="26"/>
      <c r="CV172" s="26"/>
      <c r="CW172" s="26"/>
      <c r="CX172" s="26"/>
      <c r="CY172" s="26"/>
      <c r="CZ172" s="26"/>
      <c r="DA172" s="26"/>
      <c r="DB172" s="26"/>
      <c r="DC172" s="26"/>
      <c r="DD172" s="26"/>
      <c r="DE172" s="26"/>
      <c r="DF172" s="26"/>
      <c r="DG172" s="26"/>
      <c r="DH172" s="26"/>
      <c r="DI172" s="26"/>
      <c r="DJ172" s="26"/>
      <c r="DK172" s="26"/>
      <c r="DL172" s="26"/>
      <c r="DM172" s="26"/>
      <c r="DN172" s="26"/>
      <c r="DO172" s="26"/>
      <c r="DP172" s="26"/>
      <c r="DQ172" s="26"/>
      <c r="DR172" s="26"/>
    </row>
    <row r="173" spans="83:122">
      <c r="CE173" s="26"/>
      <c r="CF173" s="26"/>
      <c r="CG173" s="26"/>
      <c r="CH173" s="26"/>
      <c r="CI173" s="26"/>
      <c r="CJ173" s="26" t="s">
        <v>53</v>
      </c>
      <c r="CK173" s="26" t="e">
        <f>#REF!</f>
        <v>#REF!</v>
      </c>
      <c r="CL173" s="26" t="s">
        <v>64</v>
      </c>
      <c r="CM173" s="26" t="e">
        <f>#REF!</f>
        <v>#REF!</v>
      </c>
      <c r="CN173" s="26" t="s">
        <v>50</v>
      </c>
      <c r="CO173" s="26">
        <f>DF31</f>
        <v>1447700000</v>
      </c>
      <c r="CP173" s="26"/>
      <c r="CQ173" s="26"/>
      <c r="CR173" s="26"/>
      <c r="CS173" s="26"/>
      <c r="CT173" s="26"/>
      <c r="CU173" s="26"/>
      <c r="CV173" s="26"/>
      <c r="CW173" s="26"/>
      <c r="CX173" s="26"/>
      <c r="CY173" s="26"/>
      <c r="CZ173" s="26"/>
      <c r="DA173" s="26"/>
      <c r="DB173" s="26"/>
      <c r="DC173" s="26"/>
      <c r="DD173" s="26"/>
      <c r="DE173" s="26"/>
      <c r="DF173" s="26"/>
      <c r="DG173" s="26"/>
      <c r="DH173" s="26"/>
      <c r="DI173" s="26"/>
      <c r="DJ173" s="26"/>
      <c r="DK173" s="26"/>
      <c r="DL173" s="26"/>
      <c r="DM173" s="26"/>
      <c r="DN173" s="26"/>
      <c r="DO173" s="26"/>
      <c r="DP173" s="26"/>
      <c r="DQ173" s="26"/>
      <c r="DR173" s="26"/>
    </row>
    <row r="174" spans="83:122">
      <c r="CE174" s="26"/>
      <c r="CF174" s="26"/>
      <c r="CG174" s="26"/>
      <c r="CH174" s="26"/>
      <c r="CI174" s="26"/>
      <c r="CJ174" s="26"/>
      <c r="CK174" s="26"/>
      <c r="CL174" s="26"/>
      <c r="CM174" s="26"/>
      <c r="CN174" s="26"/>
      <c r="CO174" s="26"/>
      <c r="CP174" s="26"/>
      <c r="CQ174" s="26"/>
      <c r="CR174" s="26"/>
      <c r="CS174" s="26"/>
      <c r="CT174" s="26"/>
      <c r="CU174" s="26"/>
      <c r="CV174" s="26"/>
      <c r="CW174" s="26"/>
      <c r="CX174" s="26"/>
      <c r="CY174" s="26"/>
      <c r="CZ174" s="26"/>
      <c r="DA174" s="26"/>
      <c r="DB174" s="26"/>
      <c r="DC174" s="26"/>
      <c r="DD174" s="26"/>
      <c r="DE174" s="26"/>
      <c r="DF174" s="26"/>
      <c r="DG174" s="26"/>
      <c r="DH174" s="26"/>
      <c r="DI174" s="26"/>
      <c r="DJ174" s="26"/>
      <c r="DK174" s="26"/>
      <c r="DL174" s="26"/>
      <c r="DM174" s="26"/>
      <c r="DN174" s="26"/>
      <c r="DO174" s="26"/>
      <c r="DP174" s="26"/>
      <c r="DQ174" s="26"/>
      <c r="DR174" s="26"/>
    </row>
    <row r="175" spans="83:122">
      <c r="CE175" s="26"/>
      <c r="CF175" s="26"/>
      <c r="CG175" s="26"/>
      <c r="CH175" s="26" t="s">
        <v>334</v>
      </c>
      <c r="CI175" s="26"/>
      <c r="CJ175" s="26" t="s">
        <v>53</v>
      </c>
      <c r="CK175" s="26" t="e">
        <f>#REF!</f>
        <v>#REF!</v>
      </c>
      <c r="CL175" s="26" t="s">
        <v>46</v>
      </c>
      <c r="CM175" s="26" t="e">
        <f>#REF!</f>
        <v>#REF!</v>
      </c>
      <c r="CN175" s="26" t="s">
        <v>39</v>
      </c>
      <c r="CO175" s="26">
        <f>DF29</f>
        <v>1472130000</v>
      </c>
      <c r="CP175" s="26"/>
      <c r="CQ175" s="26"/>
      <c r="CR175" s="26"/>
      <c r="CS175" s="26"/>
      <c r="CT175" s="26"/>
      <c r="CU175" s="26"/>
      <c r="CV175" s="26"/>
      <c r="CW175" s="26"/>
      <c r="CX175" s="26"/>
      <c r="CY175" s="26"/>
      <c r="CZ175" s="26"/>
      <c r="DA175" s="26"/>
      <c r="DB175" s="26"/>
      <c r="DC175" s="26"/>
      <c r="DD175" s="26"/>
      <c r="DE175" s="26"/>
      <c r="DF175" s="26"/>
      <c r="DG175" s="26"/>
      <c r="DH175" s="26"/>
      <c r="DI175" s="26"/>
      <c r="DJ175" s="26"/>
      <c r="DK175" s="26"/>
      <c r="DL175" s="26"/>
      <c r="DM175" s="26"/>
      <c r="DN175" s="26"/>
      <c r="DO175" s="26"/>
      <c r="DP175" s="26"/>
      <c r="DQ175" s="26"/>
      <c r="DR175" s="26"/>
    </row>
    <row r="176" spans="83:122">
      <c r="CE176" s="26"/>
      <c r="CF176" s="26"/>
      <c r="CG176" s="26"/>
      <c r="CH176" s="26" t="s">
        <v>335</v>
      </c>
      <c r="CI176" s="26"/>
      <c r="CJ176" s="26" t="s">
        <v>46</v>
      </c>
      <c r="CK176" s="26" t="e">
        <f>#REF!</f>
        <v>#REF!</v>
      </c>
      <c r="CL176" s="26" t="s">
        <v>63</v>
      </c>
      <c r="CM176" s="26" t="e">
        <f>#REF!</f>
        <v>#REF!</v>
      </c>
      <c r="CN176" s="26" t="s">
        <v>45</v>
      </c>
      <c r="CO176" s="26">
        <f>DF41</f>
        <v>1038630000</v>
      </c>
      <c r="CP176" s="26"/>
      <c r="CQ176" s="26"/>
      <c r="CR176" s="26"/>
      <c r="CS176" s="26"/>
      <c r="CT176" s="26"/>
      <c r="CU176" s="26"/>
      <c r="CV176" s="26"/>
      <c r="CW176" s="26"/>
      <c r="CX176" s="26"/>
      <c r="CY176" s="26"/>
      <c r="CZ176" s="26"/>
      <c r="DA176" s="26"/>
      <c r="DB176" s="26"/>
      <c r="DC176" s="26"/>
      <c r="DD176" s="26"/>
      <c r="DE176" s="26"/>
      <c r="DF176" s="26"/>
      <c r="DG176" s="26"/>
      <c r="DH176" s="26"/>
      <c r="DI176" s="26"/>
      <c r="DJ176" s="26"/>
      <c r="DK176" s="26"/>
      <c r="DL176" s="26"/>
      <c r="DM176" s="26"/>
      <c r="DN176" s="26"/>
      <c r="DO176" s="26"/>
      <c r="DP176" s="26"/>
      <c r="DQ176" s="26"/>
      <c r="DR176" s="26"/>
    </row>
    <row r="177" spans="83:122">
      <c r="CE177" s="26"/>
      <c r="CF177" s="26"/>
      <c r="CG177" s="26"/>
      <c r="CH177" s="26"/>
      <c r="CI177" s="26"/>
      <c r="CJ177" s="26" t="s">
        <v>53</v>
      </c>
      <c r="CK177" s="26" t="e">
        <f>#REF!</f>
        <v>#REF!</v>
      </c>
      <c r="CL177" s="26" t="s">
        <v>59</v>
      </c>
      <c r="CM177" s="26" t="e">
        <f>#REF!</f>
        <v>#REF!</v>
      </c>
      <c r="CN177" s="26" t="s">
        <v>37</v>
      </c>
      <c r="CO177" s="26" t="e">
        <f>DF28</f>
        <v>#VALUE!</v>
      </c>
      <c r="CP177" s="26"/>
      <c r="CQ177" s="26"/>
      <c r="CR177" s="26"/>
      <c r="CS177" s="26"/>
      <c r="CT177" s="26"/>
      <c r="CU177" s="26"/>
      <c r="CV177" s="26"/>
      <c r="CW177" s="26"/>
      <c r="CX177" s="26"/>
      <c r="CY177" s="26"/>
      <c r="CZ177" s="26"/>
      <c r="DA177" s="26"/>
      <c r="DB177" s="26"/>
      <c r="DC177" s="26"/>
      <c r="DD177" s="26"/>
      <c r="DE177" s="26"/>
      <c r="DF177" s="26"/>
      <c r="DG177" s="26"/>
      <c r="DH177" s="26"/>
      <c r="DI177" s="26"/>
      <c r="DJ177" s="26"/>
      <c r="DK177" s="26"/>
      <c r="DL177" s="26"/>
      <c r="DM177" s="26"/>
      <c r="DN177" s="26"/>
      <c r="DO177" s="26"/>
      <c r="DP177" s="26"/>
      <c r="DQ177" s="26"/>
      <c r="DR177" s="26"/>
    </row>
    <row r="178" spans="83:122">
      <c r="CE178" s="26"/>
      <c r="CF178" s="26"/>
      <c r="CG178" s="26"/>
      <c r="CH178" s="26"/>
      <c r="CI178" s="26"/>
      <c r="CJ178" s="26"/>
      <c r="CK178" s="26"/>
      <c r="CL178" s="26"/>
      <c r="CM178" s="26"/>
      <c r="CN178" s="26"/>
      <c r="CO178" s="26"/>
      <c r="CP178" s="26"/>
      <c r="CQ178" s="26"/>
      <c r="CR178" s="26"/>
      <c r="CS178" s="26"/>
      <c r="CT178" s="26"/>
      <c r="CU178" s="26"/>
      <c r="CV178" s="26"/>
      <c r="CW178" s="26"/>
      <c r="CX178" s="26"/>
      <c r="CY178" s="26"/>
      <c r="CZ178" s="26"/>
      <c r="DA178" s="26"/>
      <c r="DB178" s="26"/>
      <c r="DC178" s="26"/>
      <c r="DD178" s="26"/>
      <c r="DE178" s="26"/>
      <c r="DF178" s="26"/>
      <c r="DG178" s="26"/>
      <c r="DH178" s="26"/>
      <c r="DI178" s="26"/>
      <c r="DJ178" s="26"/>
      <c r="DK178" s="26"/>
      <c r="DL178" s="26"/>
      <c r="DM178" s="26"/>
      <c r="DN178" s="26"/>
      <c r="DO178" s="26"/>
      <c r="DP178" s="26"/>
      <c r="DQ178" s="26"/>
      <c r="DR178" s="26"/>
    </row>
    <row r="179" spans="83:122">
      <c r="CE179" s="26"/>
      <c r="CF179" s="26"/>
      <c r="CG179" s="26"/>
      <c r="CH179" s="26" t="s">
        <v>336</v>
      </c>
      <c r="CI179" s="26"/>
      <c r="CJ179" s="26" t="s">
        <v>65</v>
      </c>
      <c r="CK179" s="26" t="e">
        <f>DF54</f>
        <v>#VALUE!</v>
      </c>
      <c r="CL179" s="26" t="s">
        <v>66</v>
      </c>
      <c r="CM179" s="26" t="e">
        <f>#REF!</f>
        <v>#REF!</v>
      </c>
      <c r="CN179" s="26" t="s">
        <v>49</v>
      </c>
      <c r="CO179" s="26">
        <f>DF52</f>
        <v>10591400</v>
      </c>
      <c r="CP179" s="26"/>
      <c r="CQ179" s="26"/>
      <c r="CR179" s="26"/>
      <c r="CS179" s="26"/>
      <c r="CT179" s="26"/>
      <c r="CU179" s="26"/>
      <c r="CV179" s="26"/>
      <c r="CW179" s="26"/>
      <c r="CX179" s="26"/>
      <c r="CY179" s="26"/>
      <c r="CZ179" s="26"/>
      <c r="DA179" s="26"/>
      <c r="DB179" s="26"/>
      <c r="DC179" s="26"/>
      <c r="DD179" s="26"/>
      <c r="DE179" s="26"/>
      <c r="DF179" s="26"/>
      <c r="DG179" s="26"/>
      <c r="DH179" s="26"/>
      <c r="DI179" s="26"/>
      <c r="DJ179" s="26"/>
      <c r="DK179" s="26"/>
      <c r="DL179" s="26"/>
      <c r="DM179" s="26"/>
      <c r="DN179" s="26"/>
      <c r="DO179" s="26"/>
      <c r="DP179" s="26"/>
      <c r="DQ179" s="26"/>
      <c r="DR179" s="26"/>
    </row>
    <row r="180" spans="83:122">
      <c r="CE180" s="26"/>
      <c r="CF180" s="26"/>
      <c r="CG180" s="26"/>
      <c r="CH180" s="26" t="s">
        <v>337</v>
      </c>
      <c r="CI180" s="26"/>
      <c r="CJ180" s="26"/>
      <c r="CK180" s="26"/>
      <c r="CL180" s="26"/>
      <c r="CM180" s="26"/>
      <c r="CN180" s="26"/>
      <c r="CO180" s="26"/>
      <c r="CP180" s="26"/>
      <c r="CQ180" s="26"/>
      <c r="CR180" s="26"/>
      <c r="CS180" s="26"/>
      <c r="CT180" s="26"/>
      <c r="CU180" s="26"/>
      <c r="CV180" s="26"/>
      <c r="CW180" s="26"/>
      <c r="CX180" s="26"/>
      <c r="CY180" s="26"/>
      <c r="CZ180" s="26"/>
      <c r="DA180" s="26"/>
      <c r="DB180" s="26"/>
      <c r="DC180" s="26"/>
      <c r="DD180" s="26"/>
      <c r="DE180" s="26"/>
      <c r="DF180" s="26"/>
      <c r="DG180" s="26"/>
      <c r="DH180" s="26"/>
      <c r="DI180" s="26"/>
      <c r="DJ180" s="26"/>
      <c r="DK180" s="26"/>
      <c r="DL180" s="26"/>
      <c r="DM180" s="26"/>
      <c r="DN180" s="26"/>
      <c r="DO180" s="26"/>
      <c r="DP180" s="26"/>
      <c r="DQ180" s="26"/>
      <c r="DR180" s="26"/>
    </row>
    <row r="181" spans="83:122">
      <c r="CE181" s="26"/>
      <c r="CF181" s="26"/>
      <c r="CG181" s="26"/>
      <c r="CH181" s="26"/>
      <c r="CI181" s="26"/>
      <c r="CJ181" s="26"/>
      <c r="CK181" s="26"/>
      <c r="CL181" s="26"/>
      <c r="CM181" s="26"/>
      <c r="CN181" s="26"/>
      <c r="CO181" s="26"/>
      <c r="CP181" s="26"/>
      <c r="CQ181" s="26"/>
      <c r="CR181" s="26"/>
      <c r="CS181" s="26"/>
      <c r="CT181" s="26"/>
      <c r="CU181" s="26"/>
      <c r="CV181" s="26"/>
      <c r="CW181" s="26"/>
      <c r="CX181" s="26"/>
      <c r="CY181" s="26"/>
      <c r="CZ181" s="26"/>
      <c r="DA181" s="26"/>
      <c r="DB181" s="26"/>
      <c r="DC181" s="26"/>
      <c r="DD181" s="26"/>
      <c r="DE181" s="26"/>
      <c r="DF181" s="26"/>
      <c r="DG181" s="26"/>
      <c r="DH181" s="26"/>
      <c r="DI181" s="26"/>
      <c r="DJ181" s="26"/>
      <c r="DK181" s="26"/>
      <c r="DL181" s="26"/>
      <c r="DM181" s="26"/>
      <c r="DN181" s="26"/>
      <c r="DO181" s="26"/>
      <c r="DP181" s="26"/>
      <c r="DQ181" s="26"/>
      <c r="DR181" s="26"/>
    </row>
    <row r="182" spans="83:122">
      <c r="CE182" s="26"/>
      <c r="CF182" s="26"/>
      <c r="CG182" s="26"/>
      <c r="CH182" s="26"/>
      <c r="CI182" s="26"/>
      <c r="CJ182" s="26"/>
      <c r="CK182" s="26"/>
      <c r="CL182" s="26"/>
      <c r="CM182" s="26"/>
      <c r="CN182" s="26"/>
      <c r="CO182" s="26"/>
      <c r="CP182" s="26"/>
      <c r="CQ182" s="26"/>
      <c r="CR182" s="26"/>
      <c r="CS182" s="26"/>
      <c r="CT182" s="26"/>
      <c r="CU182" s="26"/>
      <c r="CV182" s="26"/>
      <c r="CW182" s="26"/>
      <c r="CX182" s="26"/>
      <c r="CY182" s="26"/>
      <c r="CZ182" s="26"/>
      <c r="DA182" s="26"/>
      <c r="DB182" s="26"/>
      <c r="DC182" s="26"/>
      <c r="DD182" s="26"/>
      <c r="DE182" s="26"/>
      <c r="DF182" s="26"/>
      <c r="DG182" s="26"/>
      <c r="DH182" s="26"/>
      <c r="DI182" s="26"/>
      <c r="DJ182" s="26"/>
      <c r="DK182" s="26"/>
      <c r="DL182" s="26"/>
      <c r="DM182" s="26"/>
      <c r="DN182" s="26"/>
      <c r="DO182" s="26"/>
      <c r="DP182" s="26"/>
      <c r="DQ182" s="26"/>
      <c r="DR182" s="26"/>
    </row>
    <row r="183" spans="83:122">
      <c r="CE183" s="26"/>
      <c r="CF183" s="26"/>
      <c r="CG183" s="26"/>
      <c r="CH183" s="26"/>
      <c r="CI183" s="26"/>
      <c r="CJ183" s="26"/>
      <c r="CK183" s="26"/>
      <c r="CL183" s="26"/>
      <c r="CM183" s="26"/>
      <c r="CN183" s="26"/>
      <c r="CO183" s="26"/>
      <c r="CP183" s="26"/>
      <c r="CQ183" s="26"/>
      <c r="CR183" s="26"/>
      <c r="CS183" s="26"/>
      <c r="CT183" s="26"/>
      <c r="CU183" s="26"/>
      <c r="CV183" s="26"/>
      <c r="CW183" s="26"/>
      <c r="CX183" s="26"/>
      <c r="CY183" s="26"/>
      <c r="CZ183" s="26"/>
      <c r="DA183" s="26"/>
      <c r="DB183" s="26"/>
      <c r="DC183" s="26"/>
      <c r="DD183" s="26"/>
      <c r="DE183" s="26"/>
      <c r="DF183" s="26"/>
      <c r="DG183" s="26"/>
      <c r="DH183" s="26"/>
      <c r="DI183" s="26"/>
      <c r="DJ183" s="26"/>
      <c r="DK183" s="26"/>
      <c r="DL183" s="26"/>
      <c r="DM183" s="26"/>
      <c r="DN183" s="26"/>
      <c r="DO183" s="26"/>
      <c r="DP183" s="26"/>
      <c r="DQ183" s="26"/>
      <c r="DR183" s="26"/>
    </row>
    <row r="184" spans="83:122">
      <c r="CE184" s="26"/>
      <c r="CF184" s="26"/>
      <c r="CG184" s="26"/>
      <c r="CH184" s="26" t="s">
        <v>38</v>
      </c>
      <c r="CI184" s="26" t="s">
        <v>338</v>
      </c>
      <c r="CJ184" s="26"/>
      <c r="CK184" s="26"/>
      <c r="CL184" s="26"/>
      <c r="CM184" s="26"/>
      <c r="CN184" s="26"/>
      <c r="CO184" s="26"/>
      <c r="CP184" s="26"/>
      <c r="CQ184" s="26"/>
      <c r="CR184" s="26"/>
      <c r="CS184" s="26"/>
      <c r="CT184" s="26"/>
      <c r="CU184" s="26"/>
      <c r="CV184" s="26"/>
      <c r="CW184" s="26"/>
      <c r="CX184" s="26"/>
      <c r="CY184" s="26"/>
      <c r="CZ184" s="26"/>
      <c r="DA184" s="26"/>
      <c r="DB184" s="26"/>
      <c r="DC184" s="26"/>
      <c r="DD184" s="26"/>
      <c r="DE184" s="26"/>
      <c r="DF184" s="26"/>
      <c r="DG184" s="26"/>
      <c r="DH184" s="26"/>
      <c r="DI184" s="26"/>
      <c r="DJ184" s="26"/>
      <c r="DK184" s="26"/>
      <c r="DL184" s="26"/>
      <c r="DM184" s="26"/>
      <c r="DN184" s="26"/>
      <c r="DO184" s="26"/>
      <c r="DP184" s="26"/>
      <c r="DQ184" s="26"/>
      <c r="DR184" s="26"/>
    </row>
    <row r="185" spans="83:122">
      <c r="CE185" s="26"/>
      <c r="CF185" s="26"/>
      <c r="CG185" s="26"/>
      <c r="CH185" s="26"/>
      <c r="CI185" s="26"/>
      <c r="CJ185" s="26"/>
      <c r="CK185" s="26"/>
      <c r="CL185" s="26"/>
      <c r="CM185" s="26"/>
      <c r="CN185" s="26"/>
      <c r="CO185" s="26"/>
      <c r="CP185" s="26"/>
      <c r="CQ185" s="26"/>
      <c r="CR185" s="26"/>
      <c r="CS185" s="26"/>
      <c r="CT185" s="26"/>
      <c r="CU185" s="26"/>
      <c r="CV185" s="26"/>
      <c r="CW185" s="26"/>
      <c r="CX185" s="26"/>
      <c r="CY185" s="26"/>
      <c r="CZ185" s="26"/>
      <c r="DA185" s="26"/>
      <c r="DB185" s="26"/>
      <c r="DC185" s="26"/>
      <c r="DD185" s="26"/>
      <c r="DE185" s="26"/>
      <c r="DF185" s="26"/>
      <c r="DG185" s="26"/>
      <c r="DH185" s="26"/>
      <c r="DI185" s="26"/>
      <c r="DJ185" s="26"/>
      <c r="DK185" s="26"/>
      <c r="DL185" s="26"/>
      <c r="DM185" s="26"/>
      <c r="DN185" s="26"/>
      <c r="DO185" s="26"/>
      <c r="DP185" s="26"/>
      <c r="DQ185" s="26"/>
      <c r="DR185" s="26"/>
    </row>
    <row r="186" spans="83:122">
      <c r="CE186" s="26"/>
      <c r="CF186" s="26"/>
      <c r="CG186" s="26" t="s">
        <v>49</v>
      </c>
      <c r="CH186" s="38">
        <f>CM52</f>
        <v>0.62274881516587677</v>
      </c>
      <c r="CI186" s="38">
        <f>CN52</f>
        <v>0.2834123222748815</v>
      </c>
      <c r="CJ186" s="26"/>
      <c r="CK186" s="26"/>
      <c r="CL186" s="26"/>
      <c r="CM186" s="38"/>
      <c r="CN186" s="38"/>
      <c r="CO186" s="26"/>
      <c r="CP186" s="26"/>
      <c r="CQ186" s="26"/>
      <c r="CR186" s="26"/>
      <c r="CS186" s="26"/>
      <c r="CT186" s="26"/>
      <c r="CU186" s="26"/>
      <c r="CV186" s="26"/>
      <c r="CW186" s="26"/>
      <c r="CX186" s="26"/>
      <c r="CY186" s="26"/>
      <c r="CZ186" s="26"/>
      <c r="DA186" s="26"/>
      <c r="DB186" s="26"/>
      <c r="DC186" s="26"/>
      <c r="DD186" s="26"/>
      <c r="DE186" s="26"/>
      <c r="DF186" s="26"/>
      <c r="DG186" s="26"/>
      <c r="DH186" s="26"/>
      <c r="DI186" s="26"/>
      <c r="DJ186" s="26"/>
      <c r="DK186" s="26"/>
      <c r="DL186" s="26"/>
      <c r="DM186" s="26"/>
      <c r="DN186" s="26"/>
      <c r="DO186" s="26"/>
      <c r="DP186" s="26"/>
      <c r="DQ186" s="26"/>
      <c r="DR186" s="26"/>
    </row>
    <row r="187" spans="83:122">
      <c r="CE187" s="26"/>
      <c r="CF187" s="26"/>
      <c r="CG187" s="26" t="s">
        <v>48</v>
      </c>
      <c r="CH187" s="38">
        <f>CM51</f>
        <v>0.8495007132667618</v>
      </c>
      <c r="CI187" s="38">
        <f>CN51</f>
        <v>7.9885877318116971E-2</v>
      </c>
      <c r="CJ187" s="26"/>
      <c r="CK187" s="26"/>
      <c r="CL187" s="26"/>
      <c r="CM187" s="38"/>
      <c r="CN187" s="38"/>
      <c r="CO187" s="26"/>
      <c r="CP187" s="26"/>
      <c r="CQ187" s="26"/>
      <c r="CR187" s="26"/>
      <c r="CS187" s="26"/>
      <c r="CT187" s="26"/>
      <c r="CU187" s="26"/>
      <c r="CV187" s="26"/>
      <c r="CW187" s="26"/>
      <c r="CX187" s="26"/>
      <c r="CY187" s="26"/>
      <c r="CZ187" s="26"/>
      <c r="DA187" s="26"/>
      <c r="DB187" s="26"/>
      <c r="DC187" s="26"/>
      <c r="DD187" s="26"/>
      <c r="DE187" s="26"/>
      <c r="DF187" s="26"/>
      <c r="DG187" s="26"/>
      <c r="DH187" s="26"/>
      <c r="DI187" s="26"/>
      <c r="DJ187" s="26"/>
      <c r="DK187" s="26"/>
      <c r="DL187" s="26"/>
      <c r="DM187" s="26"/>
      <c r="DN187" s="26"/>
      <c r="DO187" s="26"/>
      <c r="DP187" s="26"/>
      <c r="DQ187" s="26"/>
      <c r="DR187" s="26"/>
    </row>
    <row r="188" spans="83:122">
      <c r="CE188" s="26"/>
      <c r="CF188" s="26"/>
      <c r="CG188" s="26" t="s">
        <v>62</v>
      </c>
      <c r="CH188" s="38">
        <f>CM49</f>
        <v>0.59357060849598164</v>
      </c>
      <c r="CI188" s="38">
        <f>CN49</f>
        <v>0.23536165327210104</v>
      </c>
      <c r="CJ188" s="26"/>
      <c r="CK188" s="26"/>
      <c r="CL188" s="26"/>
      <c r="CM188" s="38"/>
      <c r="CN188" s="38"/>
      <c r="CO188" s="26"/>
      <c r="CP188" s="26"/>
      <c r="CQ188" s="26"/>
      <c r="CR188" s="26"/>
      <c r="CS188" s="26"/>
      <c r="CT188" s="26"/>
      <c r="CU188" s="26"/>
      <c r="CV188" s="26"/>
      <c r="CW188" s="26"/>
      <c r="CX188" s="26"/>
      <c r="CY188" s="26"/>
      <c r="CZ188" s="26"/>
      <c r="DA188" s="26"/>
      <c r="DB188" s="26"/>
      <c r="DC188" s="26"/>
      <c r="DD188" s="26"/>
      <c r="DE188" s="26"/>
      <c r="DF188" s="26"/>
      <c r="DG188" s="26"/>
      <c r="DH188" s="26"/>
      <c r="DI188" s="26"/>
      <c r="DJ188" s="26"/>
      <c r="DK188" s="26"/>
      <c r="DL188" s="26"/>
      <c r="DM188" s="26"/>
      <c r="DN188" s="26"/>
      <c r="DO188" s="26"/>
      <c r="DP188" s="26"/>
      <c r="DQ188" s="26"/>
      <c r="DR188" s="26"/>
    </row>
    <row r="189" spans="83:122">
      <c r="CE189" s="26"/>
      <c r="CF189" s="26"/>
      <c r="CG189" s="26" t="s">
        <v>44</v>
      </c>
      <c r="CH189" s="38">
        <f>CM45</f>
        <v>0.83920704845814975</v>
      </c>
      <c r="CI189" s="38">
        <f>CN45</f>
        <v>5.1762114537444934E-2</v>
      </c>
      <c r="CJ189" s="26"/>
      <c r="CK189" s="26"/>
      <c r="CL189" s="26"/>
      <c r="CM189" s="38"/>
      <c r="CN189" s="38"/>
      <c r="CO189" s="26"/>
      <c r="CP189" s="26"/>
      <c r="CQ189" s="26"/>
      <c r="CR189" s="26"/>
      <c r="CS189" s="26"/>
      <c r="CT189" s="26"/>
      <c r="CU189" s="26"/>
      <c r="CV189" s="26"/>
      <c r="CW189" s="26"/>
      <c r="CX189" s="26"/>
      <c r="CY189" s="26"/>
      <c r="CZ189" s="26"/>
      <c r="DA189" s="26"/>
      <c r="DB189" s="26"/>
      <c r="DC189" s="26"/>
      <c r="DD189" s="26"/>
      <c r="DE189" s="26"/>
      <c r="DF189" s="26"/>
      <c r="DG189" s="26"/>
      <c r="DH189" s="26"/>
      <c r="DI189" s="26"/>
      <c r="DJ189" s="26"/>
      <c r="DK189" s="26"/>
      <c r="DL189" s="26"/>
      <c r="DM189" s="26"/>
      <c r="DN189" s="26"/>
      <c r="DO189" s="26"/>
      <c r="DP189" s="26"/>
      <c r="DQ189" s="26"/>
      <c r="DR189" s="26"/>
    </row>
    <row r="190" spans="83:122">
      <c r="CE190" s="26"/>
      <c r="CF190" s="26"/>
      <c r="CG190" s="26" t="s">
        <v>57</v>
      </c>
      <c r="CH190" s="38">
        <f>CM40</f>
        <v>0.57872999483737741</v>
      </c>
      <c r="CI190" s="38">
        <f>CN40</f>
        <v>0.29272070211667528</v>
      </c>
      <c r="CJ190" s="26"/>
      <c r="CK190" s="26"/>
      <c r="CL190" s="26"/>
      <c r="CM190" s="38"/>
      <c r="CN190" s="38"/>
      <c r="CO190" s="26"/>
      <c r="CP190" s="26"/>
      <c r="CQ190" s="26"/>
      <c r="CR190" s="26"/>
      <c r="CS190" s="26"/>
      <c r="CT190" s="26"/>
      <c r="CU190" s="26"/>
      <c r="CV190" s="26"/>
      <c r="CW190" s="26"/>
      <c r="CX190" s="26"/>
      <c r="CY190" s="26"/>
      <c r="CZ190" s="26"/>
      <c r="DA190" s="26"/>
      <c r="DB190" s="26"/>
      <c r="DC190" s="26"/>
      <c r="DD190" s="26"/>
      <c r="DE190" s="26"/>
      <c r="DF190" s="26"/>
      <c r="DG190" s="26"/>
      <c r="DH190" s="26"/>
      <c r="DI190" s="26"/>
      <c r="DJ190" s="26"/>
      <c r="DK190" s="26"/>
      <c r="DL190" s="26"/>
      <c r="DM190" s="26"/>
      <c r="DN190" s="26"/>
      <c r="DO190" s="26"/>
      <c r="DP190" s="26"/>
      <c r="DQ190" s="26"/>
      <c r="DR190" s="26"/>
    </row>
    <row r="191" spans="83:122">
      <c r="CE191" s="26"/>
      <c r="CF191" s="26"/>
      <c r="CG191" s="26" t="s">
        <v>52</v>
      </c>
      <c r="CH191" s="38">
        <f>CM34</f>
        <v>0.33830275229357798</v>
      </c>
      <c r="CI191" s="38">
        <f>CN34</f>
        <v>0.32454128440366975</v>
      </c>
      <c r="CJ191" s="26"/>
      <c r="CK191" s="26"/>
      <c r="CL191" s="26"/>
      <c r="CM191" s="38"/>
      <c r="CN191" s="38"/>
      <c r="CO191" s="26"/>
      <c r="CP191" s="26"/>
      <c r="CQ191" s="26"/>
      <c r="CR191" s="26"/>
      <c r="CS191" s="26"/>
      <c r="CT191" s="26"/>
      <c r="CU191" s="26"/>
      <c r="CV191" s="26"/>
      <c r="CW191" s="26"/>
      <c r="CX191" s="26"/>
      <c r="CY191" s="26"/>
      <c r="CZ191" s="26"/>
      <c r="DA191" s="26"/>
      <c r="DB191" s="26"/>
      <c r="DC191" s="26"/>
      <c r="DD191" s="26"/>
      <c r="DE191" s="26"/>
      <c r="DF191" s="26"/>
      <c r="DG191" s="26"/>
      <c r="DH191" s="26"/>
      <c r="DI191" s="26"/>
      <c r="DJ191" s="26"/>
      <c r="DK191" s="26"/>
      <c r="DL191" s="26"/>
      <c r="DM191" s="26"/>
      <c r="DN191" s="26"/>
      <c r="DO191" s="26"/>
      <c r="DP191" s="26"/>
      <c r="DQ191" s="26"/>
      <c r="DR191" s="26"/>
    </row>
    <row r="192" spans="83:122">
      <c r="CE192" s="26"/>
      <c r="CF192" s="26"/>
      <c r="CG192" s="26" t="s">
        <v>66</v>
      </c>
      <c r="CH192" s="38">
        <f>CM55</f>
        <v>0.69149637442320366</v>
      </c>
      <c r="CI192" s="38">
        <f>CN55</f>
        <v>0.24324324324324326</v>
      </c>
      <c r="CJ192" s="26"/>
      <c r="CK192" s="38"/>
      <c r="CL192" s="26"/>
      <c r="CM192" s="38"/>
      <c r="CN192" s="38"/>
      <c r="CO192" s="26"/>
      <c r="CP192" s="26"/>
      <c r="CQ192" s="26"/>
      <c r="CR192" s="26"/>
      <c r="CS192" s="26"/>
      <c r="CT192" s="26"/>
      <c r="CU192" s="26"/>
      <c r="CV192" s="26"/>
      <c r="CW192" s="26"/>
      <c r="CX192" s="26"/>
      <c r="CY192" s="26"/>
      <c r="CZ192" s="26"/>
      <c r="DA192" s="26"/>
      <c r="DB192" s="26"/>
      <c r="DC192" s="26"/>
      <c r="DD192" s="26"/>
      <c r="DE192" s="26"/>
      <c r="DF192" s="26"/>
      <c r="DG192" s="26"/>
      <c r="DH192" s="26"/>
      <c r="DI192" s="26"/>
      <c r="DJ192" s="26"/>
      <c r="DK192" s="26"/>
      <c r="DL192" s="26"/>
      <c r="DM192" s="26"/>
      <c r="DN192" s="26"/>
      <c r="DO192" s="26"/>
      <c r="DP192" s="26"/>
      <c r="DQ192" s="26"/>
      <c r="DR192" s="26"/>
    </row>
    <row r="193" spans="83:122">
      <c r="CE193" s="26"/>
      <c r="CF193" s="26"/>
      <c r="CG193" s="26" t="s">
        <v>65</v>
      </c>
      <c r="CH193" s="38" t="e">
        <f>CM54</f>
        <v>#VALUE!</v>
      </c>
      <c r="CI193" s="38" t="e">
        <f>CN54</f>
        <v>#VALUE!</v>
      </c>
      <c r="CJ193" s="26"/>
      <c r="CK193" s="38"/>
      <c r="CL193" s="26"/>
      <c r="CM193" s="38"/>
      <c r="CN193" s="38"/>
      <c r="CO193" s="26"/>
      <c r="CP193" s="26"/>
      <c r="CQ193" s="26"/>
      <c r="CR193" s="26"/>
      <c r="CS193" s="26"/>
      <c r="CT193" s="26"/>
      <c r="CU193" s="26"/>
      <c r="CV193" s="26"/>
      <c r="CW193" s="26"/>
      <c r="CX193" s="26"/>
      <c r="CY193" s="26"/>
      <c r="CZ193" s="26"/>
      <c r="DA193" s="26"/>
      <c r="DB193" s="26"/>
      <c r="DC193" s="26"/>
      <c r="DD193" s="26"/>
      <c r="DE193" s="26"/>
      <c r="DF193" s="26"/>
      <c r="DG193" s="26"/>
      <c r="DH193" s="26"/>
      <c r="DI193" s="26"/>
      <c r="DJ193" s="26"/>
      <c r="DK193" s="26"/>
      <c r="DL193" s="26"/>
      <c r="DM193" s="26"/>
      <c r="DN193" s="26"/>
      <c r="DO193" s="26"/>
      <c r="DP193" s="26"/>
      <c r="DQ193" s="26"/>
      <c r="DR193" s="26"/>
    </row>
    <row r="194" spans="83:122">
      <c r="CE194" s="26"/>
      <c r="CF194" s="26"/>
      <c r="CG194" s="26" t="s">
        <v>64</v>
      </c>
      <c r="CH194" s="38">
        <f>CM53</f>
        <v>4.3964232488822655E-2</v>
      </c>
      <c r="CI194" s="38">
        <f>CN53</f>
        <v>0.84500745156482859</v>
      </c>
      <c r="CJ194" s="26"/>
      <c r="CK194" s="38"/>
      <c r="CL194" s="26"/>
      <c r="CM194" s="38"/>
      <c r="CN194" s="38"/>
      <c r="CO194" s="26"/>
      <c r="CP194" s="26"/>
      <c r="CQ194" s="26"/>
      <c r="CR194" s="26"/>
      <c r="CS194" s="26"/>
      <c r="CT194" s="26"/>
      <c r="CU194" s="26"/>
      <c r="CV194" s="26"/>
      <c r="CW194" s="26"/>
      <c r="CX194" s="26"/>
      <c r="CY194" s="26"/>
      <c r="CZ194" s="26"/>
      <c r="DA194" s="26"/>
      <c r="DB194" s="26"/>
      <c r="DC194" s="26"/>
      <c r="DD194" s="26"/>
      <c r="DE194" s="26"/>
      <c r="DF194" s="26"/>
      <c r="DG194" s="26"/>
      <c r="DH194" s="26"/>
      <c r="DI194" s="26"/>
      <c r="DJ194" s="26"/>
      <c r="DK194" s="26"/>
      <c r="DL194" s="26"/>
      <c r="DM194" s="26"/>
      <c r="DN194" s="26"/>
      <c r="DO194" s="26"/>
      <c r="DP194" s="26"/>
      <c r="DQ194" s="26"/>
      <c r="DR194" s="26"/>
    </row>
    <row r="195" spans="83:122">
      <c r="CE195" s="26"/>
      <c r="CF195" s="26"/>
      <c r="CG195" s="26" t="s">
        <v>63</v>
      </c>
      <c r="CH195" s="38" t="e">
        <f>CM48</f>
        <v>#VALUE!</v>
      </c>
      <c r="CI195" s="38" t="e">
        <f>CN48</f>
        <v>#VALUE!</v>
      </c>
      <c r="CJ195" s="26"/>
      <c r="CK195" s="38"/>
      <c r="CL195" s="26"/>
      <c r="CM195" s="38"/>
      <c r="CN195" s="38"/>
      <c r="CO195" s="26"/>
      <c r="CP195" s="26"/>
      <c r="CQ195" s="26"/>
      <c r="CR195" s="26"/>
      <c r="CS195" s="26"/>
      <c r="CT195" s="26"/>
      <c r="CU195" s="26"/>
      <c r="CV195" s="26"/>
      <c r="CW195" s="26"/>
      <c r="CX195" s="26"/>
      <c r="CY195" s="26"/>
      <c r="CZ195" s="26"/>
      <c r="DA195" s="26"/>
      <c r="DB195" s="26"/>
      <c r="DC195" s="26"/>
      <c r="DD195" s="26"/>
      <c r="DE195" s="26"/>
      <c r="DF195" s="26"/>
      <c r="DG195" s="26"/>
      <c r="DH195" s="26"/>
      <c r="DI195" s="26"/>
      <c r="DJ195" s="26"/>
      <c r="DK195" s="26"/>
      <c r="DL195" s="26"/>
      <c r="DM195" s="26"/>
      <c r="DN195" s="26"/>
      <c r="DO195" s="26"/>
      <c r="DP195" s="26"/>
      <c r="DQ195" s="26"/>
      <c r="DR195" s="26"/>
    </row>
    <row r="196" spans="83:122">
      <c r="CE196" s="26"/>
      <c r="CF196" s="26"/>
      <c r="CG196" s="26" t="s">
        <v>46</v>
      </c>
      <c r="CH196" s="38" t="e">
        <f>CM44</f>
        <v>#VALUE!</v>
      </c>
      <c r="CI196" s="38" t="e">
        <f>CN44</f>
        <v>#VALUE!</v>
      </c>
      <c r="CJ196" s="26"/>
      <c r="CK196" s="38"/>
      <c r="CL196" s="26"/>
      <c r="CM196" s="38"/>
      <c r="CN196" s="38"/>
      <c r="CO196" s="26"/>
      <c r="CP196" s="26"/>
      <c r="CQ196" s="26"/>
      <c r="CR196" s="26"/>
      <c r="CS196" s="26"/>
      <c r="CT196" s="26"/>
      <c r="CU196" s="26"/>
      <c r="CV196" s="26"/>
      <c r="CW196" s="26"/>
      <c r="CX196" s="26"/>
      <c r="CY196" s="26"/>
      <c r="CZ196" s="26"/>
      <c r="DA196" s="26"/>
      <c r="DB196" s="26"/>
      <c r="DC196" s="26"/>
      <c r="DD196" s="26"/>
      <c r="DE196" s="26"/>
      <c r="DF196" s="26"/>
      <c r="DG196" s="26"/>
      <c r="DH196" s="26"/>
      <c r="DI196" s="26"/>
      <c r="DJ196" s="26"/>
      <c r="DK196" s="26"/>
      <c r="DL196" s="26"/>
      <c r="DM196" s="26"/>
      <c r="DN196" s="26"/>
      <c r="DO196" s="26"/>
      <c r="DP196" s="26"/>
      <c r="DQ196" s="26"/>
      <c r="DR196" s="26"/>
    </row>
    <row r="197" spans="83:122">
      <c r="CE197" s="26"/>
      <c r="CF197" s="26"/>
      <c r="CG197" s="26" t="s">
        <v>59</v>
      </c>
      <c r="CH197" s="38">
        <f>CM39</f>
        <v>0.37775551102204408</v>
      </c>
      <c r="CI197" s="38">
        <f>(CI39-CL39)/(CI39-CJ39)</f>
        <v>0.56012024048096187</v>
      </c>
      <c r="CJ197" s="26"/>
      <c r="CK197" s="26"/>
      <c r="CL197" s="26"/>
      <c r="CM197" s="38"/>
      <c r="CN197" s="38"/>
      <c r="CO197" s="26"/>
      <c r="CP197" s="26"/>
      <c r="CQ197" s="26"/>
      <c r="CR197" s="26"/>
      <c r="CS197" s="26"/>
      <c r="CT197" s="26"/>
      <c r="CU197" s="26"/>
      <c r="CV197" s="26"/>
      <c r="CW197" s="26"/>
      <c r="CX197" s="26"/>
      <c r="CY197" s="26"/>
      <c r="CZ197" s="26"/>
      <c r="DA197" s="26"/>
      <c r="DB197" s="26"/>
      <c r="DC197" s="26"/>
      <c r="DD197" s="26"/>
      <c r="DE197" s="26"/>
      <c r="DF197" s="26"/>
      <c r="DG197" s="26"/>
      <c r="DH197" s="26"/>
      <c r="DI197" s="26"/>
      <c r="DJ197" s="26"/>
      <c r="DK197" s="26"/>
      <c r="DL197" s="26"/>
      <c r="DM197" s="26"/>
      <c r="DN197" s="26"/>
      <c r="DO197" s="26"/>
      <c r="DP197" s="26"/>
      <c r="DQ197" s="26"/>
      <c r="DR197" s="26"/>
    </row>
    <row r="198" spans="83:122">
      <c r="CE198" s="26"/>
      <c r="CF198" s="26"/>
      <c r="CG198" s="26" t="s">
        <v>53</v>
      </c>
      <c r="CH198" s="38">
        <f>CM33</f>
        <v>1.4763779527559055E-2</v>
      </c>
      <c r="CI198" s="38">
        <f>CN33</f>
        <v>0.90354330708661412</v>
      </c>
      <c r="CJ198" s="26"/>
      <c r="CK198" s="38"/>
      <c r="CL198" s="26"/>
      <c r="CM198" s="38"/>
      <c r="CN198" s="38"/>
      <c r="CO198" s="26"/>
      <c r="CP198" s="26"/>
      <c r="CQ198" s="26"/>
      <c r="CR198" s="26"/>
      <c r="CS198" s="26"/>
      <c r="CT198" s="26"/>
      <c r="CU198" s="26"/>
      <c r="CV198" s="26"/>
      <c r="CW198" s="26"/>
      <c r="CX198" s="26"/>
      <c r="CY198" s="26"/>
      <c r="CZ198" s="26"/>
      <c r="DA198" s="26"/>
      <c r="DB198" s="26"/>
      <c r="DC198" s="26"/>
      <c r="DD198" s="26"/>
      <c r="DE198" s="26"/>
      <c r="DF198" s="26"/>
      <c r="DG198" s="26"/>
      <c r="DH198" s="26"/>
      <c r="DI198" s="26"/>
      <c r="DJ198" s="26"/>
      <c r="DK198" s="26"/>
      <c r="DL198" s="26"/>
      <c r="DM198" s="26"/>
      <c r="DN198" s="26"/>
      <c r="DO198" s="26"/>
      <c r="DP198" s="26"/>
      <c r="DQ198" s="26"/>
      <c r="DR198" s="26"/>
    </row>
    <row r="199" spans="83:122">
      <c r="CE199" s="26"/>
      <c r="CF199" s="26"/>
      <c r="CG199" s="26"/>
      <c r="CH199" s="38"/>
      <c r="CI199" s="38"/>
      <c r="CJ199" s="26"/>
      <c r="CK199" s="38"/>
      <c r="CL199" s="26"/>
      <c r="CM199" s="38"/>
      <c r="CN199" s="38"/>
      <c r="CO199" s="26"/>
      <c r="CP199" s="26"/>
      <c r="CQ199" s="26"/>
      <c r="CR199" s="26"/>
      <c r="CS199" s="26"/>
      <c r="CT199" s="26"/>
      <c r="CU199" s="26"/>
      <c r="CV199" s="26"/>
      <c r="CW199" s="26"/>
      <c r="CX199" s="26"/>
      <c r="CY199" s="26"/>
      <c r="CZ199" s="26"/>
      <c r="DA199" s="26"/>
      <c r="DB199" s="26"/>
      <c r="DC199" s="26"/>
      <c r="DD199" s="26"/>
      <c r="DE199" s="26"/>
      <c r="DF199" s="26"/>
      <c r="DG199" s="26"/>
      <c r="DH199" s="26"/>
      <c r="DI199" s="26"/>
      <c r="DJ199" s="26"/>
      <c r="DK199" s="26"/>
      <c r="DL199" s="26"/>
      <c r="DM199" s="26"/>
      <c r="DN199" s="26"/>
      <c r="DO199" s="26"/>
      <c r="DP199" s="26"/>
      <c r="DQ199" s="26"/>
      <c r="DR199" s="26"/>
    </row>
    <row r="200" spans="83:122">
      <c r="CE200" s="26"/>
      <c r="CF200" s="26"/>
      <c r="CG200" s="26"/>
      <c r="CH200" s="38"/>
      <c r="CI200" s="38"/>
      <c r="CJ200" s="26"/>
      <c r="CK200" s="38"/>
      <c r="CL200" s="26"/>
      <c r="CM200" s="38"/>
      <c r="CN200" s="38"/>
      <c r="CO200" s="26"/>
      <c r="CP200" s="26"/>
      <c r="CQ200" s="26"/>
      <c r="CR200" s="26"/>
      <c r="CS200" s="26"/>
      <c r="CT200" s="26"/>
      <c r="CU200" s="26"/>
      <c r="CV200" s="26"/>
      <c r="CW200" s="26"/>
      <c r="CX200" s="26"/>
      <c r="CY200" s="26"/>
      <c r="CZ200" s="26"/>
      <c r="DA200" s="26"/>
      <c r="DB200" s="26"/>
      <c r="DC200" s="26"/>
      <c r="DD200" s="26"/>
      <c r="DE200" s="26"/>
      <c r="DF200" s="26"/>
      <c r="DG200" s="26"/>
      <c r="DH200" s="26"/>
      <c r="DI200" s="26"/>
      <c r="DJ200" s="26"/>
      <c r="DK200" s="26"/>
      <c r="DL200" s="26"/>
      <c r="DM200" s="26"/>
      <c r="DN200" s="26"/>
      <c r="DO200" s="26"/>
      <c r="DP200" s="26"/>
      <c r="DQ200" s="26"/>
      <c r="DR200" s="26"/>
    </row>
    <row r="201" spans="83:122">
      <c r="CE201" s="26"/>
      <c r="CF201" s="26"/>
      <c r="CG201" s="26" t="s">
        <v>339</v>
      </c>
      <c r="CH201" s="38" t="s">
        <v>38</v>
      </c>
      <c r="CI201" s="38" t="s">
        <v>338</v>
      </c>
      <c r="CJ201" s="26"/>
      <c r="CK201" s="38"/>
      <c r="CL201" s="26"/>
      <c r="CM201" s="38"/>
      <c r="CN201" s="38"/>
      <c r="CO201" s="26"/>
      <c r="CP201" s="26"/>
      <c r="CQ201" s="26"/>
      <c r="CR201" s="26"/>
      <c r="CS201" s="26"/>
      <c r="CT201" s="26"/>
      <c r="CU201" s="26"/>
      <c r="CV201" s="26"/>
      <c r="CW201" s="26"/>
      <c r="CX201" s="26"/>
      <c r="CY201" s="26"/>
      <c r="CZ201" s="26"/>
      <c r="DA201" s="26"/>
      <c r="DB201" s="26"/>
      <c r="DC201" s="26"/>
      <c r="DD201" s="26"/>
      <c r="DE201" s="26"/>
      <c r="DF201" s="26"/>
      <c r="DG201" s="26"/>
      <c r="DH201" s="26"/>
      <c r="DI201" s="26"/>
      <c r="DJ201" s="26"/>
      <c r="DK201" s="26"/>
      <c r="DL201" s="26"/>
      <c r="DM201" s="26"/>
      <c r="DN201" s="26"/>
      <c r="DO201" s="26"/>
      <c r="DP201" s="26"/>
      <c r="DQ201" s="26"/>
      <c r="DR201" s="26"/>
    </row>
    <row r="202" spans="83:122">
      <c r="CE202" s="26"/>
      <c r="CF202" s="26"/>
      <c r="CG202" s="26"/>
      <c r="CH202" s="38"/>
      <c r="CI202" s="38"/>
      <c r="CJ202" s="26"/>
      <c r="CK202" s="38"/>
      <c r="CL202" s="26"/>
      <c r="CM202" s="38"/>
      <c r="CN202" s="38"/>
      <c r="CO202" s="26"/>
      <c r="CP202" s="26"/>
      <c r="CQ202" s="26"/>
      <c r="CR202" s="26"/>
      <c r="CS202" s="26"/>
      <c r="CT202" s="26"/>
      <c r="CU202" s="26"/>
      <c r="CV202" s="26"/>
      <c r="CW202" s="26"/>
      <c r="CX202" s="26"/>
      <c r="CY202" s="26"/>
      <c r="CZ202" s="26"/>
      <c r="DA202" s="26"/>
      <c r="DB202" s="26"/>
      <c r="DC202" s="26"/>
      <c r="DD202" s="26"/>
      <c r="DE202" s="26"/>
      <c r="DF202" s="26"/>
      <c r="DG202" s="26"/>
      <c r="DH202" s="26"/>
      <c r="DI202" s="26"/>
      <c r="DJ202" s="26"/>
      <c r="DK202" s="26"/>
      <c r="DL202" s="26"/>
      <c r="DM202" s="26"/>
      <c r="DN202" s="26"/>
      <c r="DO202" s="26"/>
      <c r="DP202" s="26"/>
      <c r="DQ202" s="26"/>
      <c r="DR202" s="26"/>
    </row>
    <row r="203" spans="83:122">
      <c r="CE203" s="26"/>
      <c r="CF203" s="26"/>
      <c r="CG203" s="26" t="s">
        <v>37</v>
      </c>
      <c r="CH203" s="38" t="e">
        <f t="shared" ref="CH203:CI207" si="109">CM28</f>
        <v>#VALUE!</v>
      </c>
      <c r="CI203" s="38" t="e">
        <f t="shared" si="109"/>
        <v>#VALUE!</v>
      </c>
      <c r="CJ203" s="26"/>
      <c r="CK203" s="38"/>
      <c r="CL203" s="26"/>
      <c r="CM203" s="38"/>
      <c r="CN203" s="38"/>
      <c r="CO203" s="26"/>
      <c r="CP203" s="26"/>
      <c r="CQ203" s="26"/>
      <c r="CR203" s="26"/>
      <c r="CS203" s="26"/>
      <c r="CT203" s="26"/>
      <c r="CU203" s="26"/>
      <c r="CV203" s="26"/>
      <c r="CW203" s="26"/>
      <c r="CX203" s="26"/>
      <c r="CY203" s="26"/>
      <c r="CZ203" s="26"/>
      <c r="DA203" s="26"/>
      <c r="DB203" s="26"/>
      <c r="DC203" s="26"/>
      <c r="DD203" s="26"/>
      <c r="DE203" s="26"/>
      <c r="DF203" s="26"/>
      <c r="DG203" s="26"/>
      <c r="DH203" s="26"/>
      <c r="DI203" s="26"/>
      <c r="DJ203" s="26"/>
      <c r="DK203" s="26"/>
      <c r="DL203" s="26"/>
      <c r="DM203" s="26"/>
      <c r="DN203" s="26"/>
      <c r="DO203" s="26"/>
      <c r="DP203" s="26"/>
      <c r="DQ203" s="26"/>
      <c r="DR203" s="26"/>
    </row>
    <row r="204" spans="83:122">
      <c r="CE204" s="26"/>
      <c r="CF204" s="26"/>
      <c r="CG204" s="26" t="s">
        <v>39</v>
      </c>
      <c r="CH204" s="38">
        <f t="shared" si="109"/>
        <v>0</v>
      </c>
      <c r="CI204" s="38" t="e">
        <f t="shared" si="109"/>
        <v>#DIV/0!</v>
      </c>
      <c r="CJ204" s="26"/>
      <c r="CK204" s="38"/>
      <c r="CL204" s="26"/>
      <c r="CM204" s="38"/>
      <c r="CN204" s="38"/>
      <c r="CO204" s="26"/>
      <c r="CP204" s="26"/>
      <c r="CQ204" s="26"/>
      <c r="CR204" s="26"/>
      <c r="CS204" s="26"/>
      <c r="CT204" s="26"/>
      <c r="CU204" s="26"/>
      <c r="CV204" s="26"/>
      <c r="CW204" s="26"/>
      <c r="CX204" s="26"/>
      <c r="CY204" s="26"/>
      <c r="CZ204" s="26"/>
      <c r="DA204" s="26"/>
      <c r="DB204" s="26"/>
      <c r="DC204" s="26"/>
      <c r="DD204" s="26"/>
      <c r="DE204" s="26"/>
      <c r="DF204" s="26"/>
      <c r="DG204" s="26"/>
      <c r="DH204" s="26"/>
      <c r="DI204" s="26"/>
      <c r="DJ204" s="26"/>
      <c r="DK204" s="26"/>
      <c r="DL204" s="26"/>
      <c r="DM204" s="26"/>
      <c r="DN204" s="26"/>
      <c r="DO204" s="26"/>
      <c r="DP204" s="26"/>
      <c r="DQ204" s="26"/>
      <c r="DR204" s="26"/>
    </row>
    <row r="205" spans="83:122">
      <c r="CE205" s="26"/>
      <c r="CF205" s="26"/>
      <c r="CG205" s="26" t="s">
        <v>40</v>
      </c>
      <c r="CH205" s="38">
        <f t="shared" si="109"/>
        <v>0.31259968102073366</v>
      </c>
      <c r="CI205" s="38">
        <f t="shared" si="109"/>
        <v>0.48883572567783096</v>
      </c>
      <c r="CJ205" s="26"/>
      <c r="CK205" s="26"/>
      <c r="CL205" s="26"/>
      <c r="CM205" s="38"/>
      <c r="CN205" s="38"/>
      <c r="CO205" s="26"/>
      <c r="CP205" s="26"/>
      <c r="CQ205" s="26"/>
      <c r="CR205" s="26"/>
      <c r="CS205" s="26"/>
      <c r="CT205" s="26"/>
      <c r="CU205" s="26"/>
      <c r="CV205" s="26"/>
      <c r="CW205" s="26"/>
      <c r="CX205" s="26"/>
      <c r="CY205" s="26"/>
      <c r="CZ205" s="26"/>
      <c r="DA205" s="26"/>
      <c r="DB205" s="26"/>
      <c r="DC205" s="26"/>
      <c r="DD205" s="26"/>
      <c r="DE205" s="26"/>
      <c r="DF205" s="26"/>
      <c r="DG205" s="26"/>
      <c r="DH205" s="26"/>
      <c r="DI205" s="26"/>
      <c r="DJ205" s="26"/>
      <c r="DK205" s="26"/>
      <c r="DL205" s="26"/>
      <c r="DM205" s="26"/>
      <c r="DN205" s="26"/>
      <c r="DO205" s="26"/>
      <c r="DP205" s="26"/>
      <c r="DQ205" s="26"/>
      <c r="DR205" s="26"/>
    </row>
    <row r="206" spans="83:122">
      <c r="CE206" s="26"/>
      <c r="CF206" s="26"/>
      <c r="CG206" s="26" t="s">
        <v>50</v>
      </c>
      <c r="CH206" s="38">
        <f t="shared" si="109"/>
        <v>1.9342359767891683E-3</v>
      </c>
      <c r="CI206" s="38">
        <f t="shared" si="109"/>
        <v>0.88588007736943908</v>
      </c>
      <c r="CJ206" s="26"/>
      <c r="CK206" s="26"/>
      <c r="CL206" s="26"/>
      <c r="CM206" s="38"/>
      <c r="CN206" s="38"/>
      <c r="CO206" s="26"/>
      <c r="CP206" s="26"/>
      <c r="CQ206" s="26"/>
      <c r="CR206" s="26"/>
      <c r="CS206" s="26"/>
      <c r="CT206" s="26"/>
      <c r="CU206" s="26"/>
      <c r="CV206" s="26"/>
      <c r="CW206" s="26"/>
      <c r="CX206" s="26"/>
      <c r="CY206" s="26"/>
      <c r="CZ206" s="26"/>
      <c r="DA206" s="26"/>
      <c r="DB206" s="26"/>
      <c r="DC206" s="26"/>
      <c r="DD206" s="26"/>
      <c r="DE206" s="26"/>
      <c r="DF206" s="26"/>
      <c r="DG206" s="26"/>
      <c r="DH206" s="26"/>
      <c r="DI206" s="26"/>
      <c r="DJ206" s="26"/>
      <c r="DK206" s="26"/>
      <c r="DL206" s="26"/>
      <c r="DM206" s="26"/>
      <c r="DN206" s="26"/>
      <c r="DO206" s="26"/>
      <c r="DP206" s="26"/>
      <c r="DQ206" s="26"/>
      <c r="DR206" s="26"/>
    </row>
    <row r="207" spans="83:122">
      <c r="CE207" s="26"/>
      <c r="CF207" s="26"/>
      <c r="CG207" s="26" t="s">
        <v>51</v>
      </c>
      <c r="CH207" s="38">
        <f t="shared" si="109"/>
        <v>0.15443425076452599</v>
      </c>
      <c r="CI207" s="38">
        <f t="shared" si="109"/>
        <v>0.51223241590214064</v>
      </c>
      <c r="CJ207" s="26"/>
      <c r="CK207" s="26"/>
      <c r="CL207" s="26"/>
      <c r="CM207" s="38"/>
      <c r="CN207" s="38"/>
      <c r="CO207" s="26"/>
      <c r="CP207" s="26"/>
      <c r="CQ207" s="26"/>
      <c r="CR207" s="26"/>
      <c r="CS207" s="26"/>
      <c r="CT207" s="26"/>
      <c r="CU207" s="26"/>
      <c r="CV207" s="26"/>
      <c r="CW207" s="26"/>
      <c r="CX207" s="26"/>
      <c r="CY207" s="26"/>
      <c r="CZ207" s="26"/>
      <c r="DA207" s="26"/>
      <c r="DB207" s="26"/>
      <c r="DC207" s="26"/>
      <c r="DD207" s="26"/>
      <c r="DE207" s="26"/>
      <c r="DF207" s="26"/>
      <c r="DG207" s="26"/>
      <c r="DH207" s="26"/>
      <c r="DI207" s="26"/>
      <c r="DJ207" s="26"/>
      <c r="DK207" s="26"/>
      <c r="DL207" s="26"/>
      <c r="DM207" s="26"/>
      <c r="DN207" s="26"/>
      <c r="DO207" s="26"/>
      <c r="DP207" s="26"/>
      <c r="DQ207" s="26"/>
      <c r="DR207" s="26"/>
    </row>
    <row r="208" spans="83:122">
      <c r="CE208" s="26"/>
      <c r="CF208" s="26"/>
      <c r="CG208" s="26"/>
      <c r="CH208" s="38"/>
      <c r="CI208" s="38"/>
      <c r="CJ208" s="26"/>
      <c r="CK208" s="26"/>
      <c r="CL208" s="26"/>
      <c r="CM208" s="38"/>
      <c r="CN208" s="38"/>
      <c r="CO208" s="26"/>
      <c r="CP208" s="26"/>
      <c r="CQ208" s="26"/>
      <c r="CR208" s="26"/>
      <c r="CS208" s="26"/>
      <c r="CT208" s="26"/>
      <c r="CU208" s="26"/>
      <c r="CV208" s="26"/>
      <c r="CW208" s="26"/>
      <c r="CX208" s="26"/>
      <c r="CY208" s="26"/>
      <c r="CZ208" s="26"/>
      <c r="DA208" s="26"/>
      <c r="DB208" s="26"/>
      <c r="DC208" s="26"/>
      <c r="DD208" s="26"/>
      <c r="DE208" s="26"/>
      <c r="DF208" s="26"/>
      <c r="DG208" s="26"/>
      <c r="DH208" s="26"/>
      <c r="DI208" s="26"/>
      <c r="DJ208" s="26"/>
      <c r="DK208" s="26"/>
      <c r="DL208" s="26"/>
      <c r="DM208" s="26"/>
      <c r="DN208" s="26"/>
      <c r="DO208" s="26"/>
      <c r="DP208" s="26"/>
      <c r="DQ208" s="26"/>
      <c r="DR208" s="26"/>
    </row>
    <row r="209" spans="83:122">
      <c r="CE209" s="26"/>
      <c r="CF209" s="26"/>
      <c r="CG209" s="26" t="s">
        <v>339</v>
      </c>
      <c r="CH209" s="38" t="s">
        <v>38</v>
      </c>
      <c r="CI209" s="38" t="s">
        <v>338</v>
      </c>
      <c r="CJ209" s="26"/>
      <c r="CK209" s="26"/>
      <c r="CL209" s="26"/>
      <c r="CM209" s="38"/>
      <c r="CN209" s="38"/>
      <c r="CO209" s="26"/>
      <c r="CP209" s="26"/>
      <c r="CQ209" s="26"/>
      <c r="CR209" s="26"/>
      <c r="CS209" s="26"/>
      <c r="CT209" s="26"/>
      <c r="CU209" s="26"/>
      <c r="CV209" s="26"/>
      <c r="CW209" s="26"/>
      <c r="CX209" s="26"/>
      <c r="CY209" s="26"/>
      <c r="CZ209" s="26"/>
      <c r="DA209" s="26"/>
      <c r="DB209" s="26"/>
      <c r="DC209" s="26"/>
      <c r="DD209" s="26"/>
      <c r="DE209" s="26"/>
      <c r="DF209" s="26"/>
      <c r="DG209" s="26"/>
      <c r="DH209" s="26"/>
      <c r="DI209" s="26"/>
      <c r="DJ209" s="26"/>
      <c r="DK209" s="26"/>
      <c r="DL209" s="26"/>
      <c r="DM209" s="26"/>
      <c r="DN209" s="26"/>
      <c r="DO209" s="26"/>
      <c r="DP209" s="26"/>
      <c r="DQ209" s="26"/>
      <c r="DR209" s="26"/>
    </row>
    <row r="210" spans="83:122">
      <c r="CE210" s="26"/>
      <c r="CF210" s="26"/>
      <c r="CG210" s="26"/>
      <c r="CH210" s="38"/>
      <c r="CI210" s="38"/>
      <c r="CJ210" s="26"/>
      <c r="CK210" s="26"/>
      <c r="CL210" s="26"/>
      <c r="CM210" s="38"/>
      <c r="CN210" s="38"/>
      <c r="CO210" s="26"/>
      <c r="CP210" s="26"/>
      <c r="CQ210" s="26"/>
      <c r="CR210" s="26"/>
      <c r="CS210" s="26"/>
      <c r="CT210" s="26"/>
      <c r="CU210" s="26"/>
      <c r="CV210" s="26"/>
      <c r="CW210" s="26"/>
      <c r="CX210" s="26"/>
      <c r="CY210" s="26"/>
      <c r="CZ210" s="26"/>
      <c r="DA210" s="26"/>
      <c r="DB210" s="26"/>
      <c r="DC210" s="26"/>
      <c r="DD210" s="26"/>
      <c r="DE210" s="26"/>
      <c r="DF210" s="26"/>
      <c r="DG210" s="26"/>
      <c r="DH210" s="26"/>
      <c r="DI210" s="26"/>
      <c r="DJ210" s="26"/>
      <c r="DK210" s="26"/>
      <c r="DL210" s="26"/>
      <c r="DM210" s="26"/>
      <c r="DN210" s="26"/>
      <c r="DO210" s="26"/>
      <c r="DP210" s="26"/>
      <c r="DQ210" s="26"/>
      <c r="DR210" s="26"/>
    </row>
    <row r="211" spans="83:122">
      <c r="CE211" s="26"/>
      <c r="CF211" s="26"/>
      <c r="CG211" s="26" t="s">
        <v>54</v>
      </c>
      <c r="CH211" s="38">
        <f t="shared" ref="CH211:CI214" si="110">CM35</f>
        <v>0.35254027261462206</v>
      </c>
      <c r="CI211" s="38">
        <f t="shared" si="110"/>
        <v>0.4708798017348203</v>
      </c>
      <c r="CJ211" s="26"/>
      <c r="CK211" s="26"/>
      <c r="CL211" s="26"/>
      <c r="CM211" s="38"/>
      <c r="CN211" s="38"/>
      <c r="CO211" s="26"/>
      <c r="CP211" s="26"/>
      <c r="CQ211" s="26"/>
      <c r="CR211" s="26"/>
      <c r="CS211" s="26"/>
      <c r="CT211" s="26"/>
      <c r="CU211" s="26"/>
      <c r="CV211" s="26"/>
      <c r="CW211" s="26"/>
      <c r="CX211" s="26"/>
      <c r="CY211" s="26"/>
      <c r="CZ211" s="26"/>
      <c r="DA211" s="26"/>
      <c r="DB211" s="26"/>
      <c r="DC211" s="26"/>
      <c r="DD211" s="26"/>
      <c r="DE211" s="26"/>
      <c r="DF211" s="26"/>
      <c r="DG211" s="26"/>
      <c r="DH211" s="26"/>
      <c r="DI211" s="26"/>
      <c r="DJ211" s="26"/>
      <c r="DK211" s="26"/>
      <c r="DL211" s="26"/>
      <c r="DM211" s="26"/>
      <c r="DN211" s="26"/>
      <c r="DO211" s="26"/>
      <c r="DP211" s="26"/>
      <c r="DQ211" s="26"/>
      <c r="DR211" s="26"/>
    </row>
    <row r="212" spans="83:122">
      <c r="CE212" s="26"/>
      <c r="CF212" s="26"/>
      <c r="CG212" s="26" t="s">
        <v>58</v>
      </c>
      <c r="CH212" s="38">
        <f t="shared" si="110"/>
        <v>0.63566243194192373</v>
      </c>
      <c r="CI212" s="38">
        <f t="shared" si="110"/>
        <v>0.22867513611615245</v>
      </c>
      <c r="CJ212" s="26"/>
      <c r="CK212" s="26"/>
      <c r="CL212" s="26"/>
      <c r="CM212" s="38"/>
      <c r="CN212" s="38"/>
      <c r="CO212" s="26"/>
      <c r="CP212" s="26"/>
      <c r="CQ212" s="26"/>
      <c r="CR212" s="26"/>
      <c r="CS212" s="26"/>
      <c r="CT212" s="26"/>
      <c r="CU212" s="26"/>
      <c r="CV212" s="26"/>
      <c r="CW212" s="26"/>
      <c r="CX212" s="26"/>
      <c r="CY212" s="26"/>
      <c r="CZ212" s="26"/>
      <c r="DA212" s="26"/>
      <c r="DB212" s="26"/>
      <c r="DC212" s="26"/>
      <c r="DD212" s="26"/>
      <c r="DE212" s="26"/>
      <c r="DF212" s="26"/>
      <c r="DG212" s="26"/>
      <c r="DH212" s="26"/>
      <c r="DI212" s="26"/>
      <c r="DJ212" s="26"/>
      <c r="DK212" s="26"/>
      <c r="DL212" s="26"/>
      <c r="DM212" s="26"/>
      <c r="DN212" s="26"/>
      <c r="DO212" s="26"/>
      <c r="DP212" s="26"/>
      <c r="DQ212" s="26"/>
      <c r="DR212" s="26"/>
    </row>
    <row r="213" spans="83:122">
      <c r="CE213" s="26"/>
      <c r="CF213" s="26"/>
      <c r="CG213" s="26" t="s">
        <v>55</v>
      </c>
      <c r="CH213" s="38">
        <f t="shared" si="110"/>
        <v>3.5756853396901071E-3</v>
      </c>
      <c r="CI213" s="38">
        <f t="shared" si="110"/>
        <v>0.83909415971394519</v>
      </c>
      <c r="CJ213" s="26"/>
      <c r="CK213" s="26"/>
      <c r="CL213" s="26"/>
      <c r="CM213" s="38"/>
      <c r="CN213" s="38"/>
      <c r="CO213" s="26"/>
      <c r="CP213" s="26"/>
      <c r="CQ213" s="26"/>
      <c r="CR213" s="26"/>
      <c r="CS213" s="26"/>
      <c r="CT213" s="26"/>
      <c r="CU213" s="26"/>
      <c r="CV213" s="26"/>
      <c r="CW213" s="26"/>
      <c r="CX213" s="26"/>
      <c r="CY213" s="26"/>
      <c r="CZ213" s="26"/>
      <c r="DA213" s="26"/>
      <c r="DB213" s="26"/>
      <c r="DC213" s="26"/>
      <c r="DD213" s="26"/>
      <c r="DE213" s="26"/>
      <c r="DF213" s="26"/>
      <c r="DG213" s="26"/>
      <c r="DH213" s="26"/>
      <c r="DI213" s="26"/>
      <c r="DJ213" s="26"/>
      <c r="DK213" s="26"/>
      <c r="DL213" s="26"/>
      <c r="DM213" s="26"/>
      <c r="DN213" s="26"/>
      <c r="DO213" s="26"/>
      <c r="DP213" s="26"/>
      <c r="DQ213" s="26"/>
      <c r="DR213" s="26"/>
    </row>
    <row r="214" spans="83:122">
      <c r="CE214" s="26"/>
      <c r="CF214" s="26"/>
      <c r="CG214" s="26" t="s">
        <v>56</v>
      </c>
      <c r="CH214" s="38">
        <f t="shared" si="110"/>
        <v>0.54894046417759834</v>
      </c>
      <c r="CI214" s="38">
        <f t="shared" si="110"/>
        <v>0.25327951564076689</v>
      </c>
      <c r="CJ214" s="26"/>
      <c r="CK214" s="26"/>
      <c r="CL214" s="26"/>
      <c r="CM214" s="26"/>
      <c r="CN214" s="26"/>
      <c r="CO214" s="26"/>
      <c r="CP214" s="26"/>
      <c r="CQ214" s="26"/>
      <c r="CR214" s="26"/>
      <c r="CS214" s="26"/>
      <c r="CT214" s="26"/>
      <c r="CU214" s="26"/>
      <c r="CV214" s="26"/>
      <c r="CW214" s="26"/>
      <c r="CX214" s="26"/>
      <c r="CY214" s="26"/>
      <c r="CZ214" s="26"/>
      <c r="DA214" s="26"/>
      <c r="DB214" s="26"/>
      <c r="DC214" s="26"/>
      <c r="DD214" s="26"/>
      <c r="DE214" s="26"/>
      <c r="DF214" s="26"/>
      <c r="DG214" s="26"/>
      <c r="DH214" s="26"/>
      <c r="DI214" s="26"/>
      <c r="DJ214" s="26"/>
      <c r="DK214" s="26"/>
      <c r="DL214" s="26"/>
      <c r="DM214" s="26"/>
      <c r="DN214" s="26"/>
      <c r="DO214" s="26"/>
      <c r="DP214" s="26"/>
      <c r="DQ214" s="26"/>
      <c r="DR214" s="26"/>
    </row>
    <row r="215" spans="83:122">
      <c r="CE215" s="26"/>
      <c r="CF215" s="26"/>
      <c r="CG215" s="26"/>
      <c r="CH215" s="38"/>
      <c r="CI215" s="38"/>
      <c r="CJ215" s="26"/>
      <c r="CK215" s="26"/>
      <c r="CL215" s="26"/>
      <c r="CM215" s="26"/>
      <c r="CN215" s="26"/>
      <c r="CO215" s="26"/>
      <c r="CP215" s="26"/>
      <c r="CQ215" s="26"/>
      <c r="CR215" s="26"/>
      <c r="CS215" s="26"/>
      <c r="CT215" s="26"/>
      <c r="CU215" s="26"/>
      <c r="CV215" s="26"/>
      <c r="CW215" s="26"/>
      <c r="CX215" s="26"/>
      <c r="CY215" s="26"/>
      <c r="CZ215" s="26"/>
      <c r="DA215" s="26"/>
      <c r="DB215" s="26"/>
      <c r="DC215" s="26"/>
      <c r="DD215" s="26"/>
      <c r="DE215" s="26"/>
      <c r="DF215" s="26"/>
      <c r="DG215" s="26"/>
      <c r="DH215" s="26"/>
      <c r="DI215" s="26"/>
      <c r="DJ215" s="26"/>
      <c r="DK215" s="26"/>
      <c r="DL215" s="26"/>
      <c r="DM215" s="26"/>
      <c r="DN215" s="26"/>
      <c r="DO215" s="26"/>
      <c r="DP215" s="26"/>
      <c r="DQ215" s="26"/>
      <c r="DR215" s="26"/>
    </row>
    <row r="216" spans="83:122">
      <c r="CE216" s="26"/>
      <c r="CF216" s="26"/>
      <c r="CG216" s="26" t="s">
        <v>339</v>
      </c>
      <c r="CH216" s="38" t="s">
        <v>38</v>
      </c>
      <c r="CI216" s="38" t="s">
        <v>338</v>
      </c>
      <c r="CJ216" s="26"/>
      <c r="CK216" s="26"/>
      <c r="CL216" s="26"/>
      <c r="CM216" s="26"/>
      <c r="CN216" s="26"/>
      <c r="CO216" s="26"/>
      <c r="CP216" s="26"/>
      <c r="CQ216" s="26"/>
      <c r="CR216" s="26"/>
      <c r="CS216" s="26"/>
      <c r="CT216" s="26"/>
      <c r="CU216" s="26"/>
      <c r="CV216" s="26"/>
      <c r="CW216" s="26"/>
      <c r="CX216" s="26"/>
      <c r="CY216" s="26"/>
      <c r="CZ216" s="26"/>
      <c r="DA216" s="26"/>
      <c r="DB216" s="26"/>
      <c r="DC216" s="26"/>
      <c r="DD216" s="26"/>
      <c r="DE216" s="26"/>
      <c r="DF216" s="26"/>
      <c r="DG216" s="26"/>
      <c r="DH216" s="26"/>
      <c r="DI216" s="26"/>
      <c r="DJ216" s="26"/>
      <c r="DK216" s="26"/>
      <c r="DL216" s="26"/>
      <c r="DM216" s="26"/>
      <c r="DN216" s="26"/>
      <c r="DO216" s="26"/>
      <c r="DP216" s="26"/>
      <c r="DQ216" s="26"/>
      <c r="DR216" s="26"/>
    </row>
    <row r="217" spans="83:122">
      <c r="CE217" s="26"/>
      <c r="CF217" s="26"/>
      <c r="CG217" s="26"/>
      <c r="CH217" s="38"/>
      <c r="CI217" s="38"/>
      <c r="CJ217" s="26"/>
      <c r="CK217" s="26"/>
      <c r="CL217" s="26"/>
      <c r="CM217" s="26"/>
      <c r="CN217" s="26"/>
      <c r="CO217" s="26"/>
      <c r="CP217" s="26"/>
      <c r="CQ217" s="26"/>
      <c r="CR217" s="26"/>
      <c r="CS217" s="26"/>
      <c r="CT217" s="26"/>
      <c r="CU217" s="26"/>
      <c r="CV217" s="26"/>
      <c r="CW217" s="26"/>
      <c r="CX217" s="26"/>
      <c r="CY217" s="26"/>
      <c r="CZ217" s="26"/>
      <c r="DA217" s="26"/>
      <c r="DB217" s="26"/>
      <c r="DC217" s="26"/>
      <c r="DD217" s="26"/>
      <c r="DE217" s="26"/>
      <c r="DF217" s="26"/>
      <c r="DG217" s="26"/>
      <c r="DH217" s="26"/>
      <c r="DI217" s="26"/>
      <c r="DJ217" s="26"/>
      <c r="DK217" s="26"/>
      <c r="DL217" s="26"/>
      <c r="DM217" s="26"/>
      <c r="DN217" s="26"/>
      <c r="DO217" s="26"/>
      <c r="DP217" s="26"/>
      <c r="DQ217" s="26"/>
      <c r="DR217" s="26"/>
    </row>
    <row r="218" spans="83:122">
      <c r="CE218" s="26"/>
      <c r="CF218" s="26"/>
      <c r="CG218" s="26" t="s">
        <v>45</v>
      </c>
      <c r="CH218" s="38">
        <f t="shared" ref="CH218:CI220" si="111">CM41</f>
        <v>1</v>
      </c>
      <c r="CI218" s="38">
        <f t="shared" si="111"/>
        <v>-0.23012552301255229</v>
      </c>
      <c r="CJ218" s="26"/>
      <c r="CK218" s="26"/>
      <c r="CL218" s="26"/>
      <c r="CM218" s="26"/>
      <c r="CN218" s="26"/>
      <c r="CO218" s="26"/>
      <c r="CP218" s="26"/>
      <c r="CQ218" s="26"/>
      <c r="CR218" s="26"/>
      <c r="CS218" s="26"/>
      <c r="CT218" s="26"/>
      <c r="CU218" s="26"/>
      <c r="CV218" s="26"/>
      <c r="CW218" s="26"/>
      <c r="CX218" s="26"/>
      <c r="CY218" s="26"/>
      <c r="CZ218" s="26"/>
      <c r="DA218" s="26"/>
      <c r="DB218" s="26"/>
      <c r="DC218" s="26"/>
      <c r="DD218" s="26"/>
      <c r="DE218" s="26"/>
      <c r="DF218" s="26"/>
      <c r="DG218" s="26"/>
      <c r="DH218" s="26"/>
      <c r="DI218" s="26"/>
      <c r="DJ218" s="26"/>
      <c r="DK218" s="26"/>
      <c r="DL218" s="26"/>
      <c r="DM218" s="26"/>
      <c r="DN218" s="26"/>
      <c r="DO218" s="26"/>
      <c r="DP218" s="26"/>
      <c r="DQ218" s="26"/>
      <c r="DR218" s="26"/>
    </row>
    <row r="219" spans="83:122">
      <c r="CE219" s="26"/>
      <c r="CF219" s="26"/>
      <c r="CG219" s="26" t="s">
        <v>42</v>
      </c>
      <c r="CH219" s="38" t="e">
        <f t="shared" si="111"/>
        <v>#VALUE!</v>
      </c>
      <c r="CI219" s="38" t="e">
        <f t="shared" si="111"/>
        <v>#VALUE!</v>
      </c>
      <c r="CJ219" s="26"/>
      <c r="CK219" s="26"/>
      <c r="CL219" s="26"/>
      <c r="CM219" s="26"/>
      <c r="CN219" s="26"/>
      <c r="CO219" s="26"/>
      <c r="CP219" s="26"/>
      <c r="CQ219" s="26"/>
      <c r="CR219" s="26"/>
      <c r="CS219" s="26"/>
      <c r="CT219" s="26"/>
      <c r="CU219" s="26"/>
      <c r="CV219" s="26"/>
      <c r="CW219" s="26"/>
      <c r="CX219" s="26"/>
      <c r="CY219" s="26"/>
      <c r="CZ219" s="26"/>
      <c r="DA219" s="26"/>
      <c r="DB219" s="26"/>
      <c r="DC219" s="26"/>
      <c r="DD219" s="26"/>
      <c r="DE219" s="26"/>
      <c r="DF219" s="26"/>
      <c r="DG219" s="26"/>
      <c r="DH219" s="26"/>
      <c r="DI219" s="26"/>
      <c r="DJ219" s="26"/>
      <c r="DK219" s="26"/>
      <c r="DL219" s="26"/>
      <c r="DM219" s="26"/>
      <c r="DN219" s="26"/>
      <c r="DO219" s="26"/>
      <c r="DP219" s="26"/>
      <c r="DQ219" s="26"/>
      <c r="DR219" s="26"/>
    </row>
    <row r="220" spans="83:122">
      <c r="CE220" s="26"/>
      <c r="CF220" s="26"/>
      <c r="CG220" s="26" t="s">
        <v>43</v>
      </c>
      <c r="CH220" s="38" t="e">
        <f t="shared" si="111"/>
        <v>#VALUE!</v>
      </c>
      <c r="CI220" s="38" t="e">
        <f t="shared" si="111"/>
        <v>#VALUE!</v>
      </c>
      <c r="CJ220" s="26"/>
      <c r="CK220" s="26"/>
      <c r="CL220" s="26"/>
      <c r="CM220" s="26"/>
      <c r="CN220" s="26"/>
      <c r="CO220" s="26"/>
      <c r="CP220" s="26"/>
      <c r="CQ220" s="26"/>
      <c r="CR220" s="26"/>
      <c r="CS220" s="26"/>
      <c r="CT220" s="26"/>
      <c r="CU220" s="26"/>
      <c r="CV220" s="26"/>
      <c r="CW220" s="26"/>
      <c r="CX220" s="26"/>
      <c r="CY220" s="26"/>
      <c r="CZ220" s="26"/>
      <c r="DA220" s="26"/>
      <c r="DB220" s="26"/>
      <c r="DC220" s="26"/>
      <c r="DD220" s="26"/>
      <c r="DE220" s="26"/>
      <c r="DF220" s="26"/>
      <c r="DG220" s="26"/>
      <c r="DH220" s="26"/>
      <c r="DI220" s="26"/>
      <c r="DJ220" s="26"/>
      <c r="DK220" s="26"/>
      <c r="DL220" s="26"/>
      <c r="DM220" s="26"/>
      <c r="DN220" s="26"/>
      <c r="DO220" s="26"/>
      <c r="DP220" s="26"/>
      <c r="DQ220" s="26"/>
      <c r="DR220" s="26"/>
    </row>
    <row r="221" spans="83:122">
      <c r="CE221" s="26"/>
      <c r="CF221" s="26"/>
      <c r="CG221" s="26" t="s">
        <v>60</v>
      </c>
      <c r="CH221" s="38" t="e">
        <f>CM46</f>
        <v>#VALUE!</v>
      </c>
      <c r="CI221" s="38" t="e">
        <f>CN46</f>
        <v>#VALUE!</v>
      </c>
      <c r="CJ221" s="26"/>
      <c r="CK221" s="26"/>
      <c r="CL221" s="26"/>
      <c r="CM221" s="26"/>
      <c r="CN221" s="26"/>
      <c r="CO221" s="26"/>
      <c r="CP221" s="26"/>
      <c r="CQ221" s="26"/>
      <c r="CR221" s="26"/>
      <c r="CS221" s="26"/>
      <c r="CT221" s="26"/>
      <c r="CU221" s="26"/>
      <c r="CV221" s="26"/>
      <c r="CW221" s="26"/>
      <c r="CX221" s="26"/>
      <c r="CY221" s="26"/>
      <c r="CZ221" s="26"/>
      <c r="DA221" s="26"/>
      <c r="DB221" s="26"/>
      <c r="DC221" s="26"/>
      <c r="DD221" s="26"/>
      <c r="DE221" s="26"/>
      <c r="DF221" s="26"/>
      <c r="DG221" s="26"/>
      <c r="DH221" s="26"/>
      <c r="DI221" s="26"/>
      <c r="DJ221" s="26"/>
      <c r="DK221" s="26"/>
      <c r="DL221" s="26"/>
      <c r="DM221" s="26"/>
      <c r="DN221" s="26"/>
      <c r="DO221" s="26"/>
      <c r="DP221" s="26"/>
      <c r="DQ221" s="26"/>
      <c r="DR221" s="26"/>
    </row>
    <row r="222" spans="83:122">
      <c r="CE222" s="26"/>
      <c r="CF222" s="26"/>
      <c r="CG222" s="26" t="s">
        <v>61</v>
      </c>
      <c r="CH222" s="38" t="e">
        <f>CM47</f>
        <v>#VALUE!</v>
      </c>
      <c r="CI222" s="38" t="e">
        <f>CN47</f>
        <v>#VALUE!</v>
      </c>
      <c r="CJ222" s="26"/>
      <c r="CK222" s="26"/>
      <c r="CL222" s="26"/>
      <c r="CM222" s="26"/>
      <c r="CN222" s="26"/>
      <c r="CO222" s="26"/>
      <c r="CP222" s="26"/>
      <c r="CQ222" s="26"/>
      <c r="CR222" s="26"/>
      <c r="CS222" s="26"/>
      <c r="CT222" s="26"/>
      <c r="CU222" s="26"/>
      <c r="CV222" s="26"/>
      <c r="CW222" s="26"/>
      <c r="CX222" s="26"/>
      <c r="CY222" s="26"/>
      <c r="CZ222" s="26"/>
      <c r="DA222" s="26"/>
      <c r="DB222" s="26"/>
      <c r="DC222" s="26"/>
      <c r="DD222" s="26"/>
      <c r="DE222" s="26"/>
      <c r="DF222" s="26"/>
      <c r="DG222" s="26"/>
      <c r="DH222" s="26"/>
      <c r="DI222" s="26"/>
      <c r="DJ222" s="26"/>
      <c r="DK222" s="26"/>
      <c r="DL222" s="26"/>
      <c r="DM222" s="26"/>
      <c r="DN222" s="26"/>
      <c r="DO222" s="26"/>
      <c r="DP222" s="26"/>
      <c r="DQ222" s="26"/>
      <c r="DR222" s="26"/>
    </row>
    <row r="223" spans="83:122">
      <c r="CE223" s="26"/>
      <c r="CF223" s="26"/>
      <c r="CG223" s="26" t="s">
        <v>47</v>
      </c>
      <c r="CH223" s="38" t="e">
        <f>CM50</f>
        <v>#VALUE!</v>
      </c>
      <c r="CI223" s="38" t="e">
        <f>CN50</f>
        <v>#VALUE!</v>
      </c>
      <c r="CJ223" s="26"/>
      <c r="CK223" s="26"/>
      <c r="CL223" s="26"/>
      <c r="CM223" s="26"/>
      <c r="CN223" s="26"/>
      <c r="CO223" s="26"/>
      <c r="CP223" s="26"/>
      <c r="CQ223" s="26"/>
      <c r="CR223" s="26"/>
      <c r="CS223" s="26"/>
      <c r="CT223" s="26"/>
      <c r="CU223" s="26"/>
      <c r="CV223" s="26"/>
      <c r="CW223" s="26"/>
      <c r="CX223" s="26"/>
      <c r="CY223" s="26"/>
      <c r="CZ223" s="26"/>
      <c r="DA223" s="26"/>
      <c r="DB223" s="26"/>
      <c r="DC223" s="26"/>
      <c r="DD223" s="26"/>
      <c r="DE223" s="26"/>
      <c r="DF223" s="26"/>
      <c r="DG223" s="26"/>
      <c r="DH223" s="26"/>
      <c r="DI223" s="26"/>
      <c r="DJ223" s="26"/>
      <c r="DK223" s="26"/>
      <c r="DL223" s="26"/>
      <c r="DM223" s="26"/>
      <c r="DN223" s="26"/>
      <c r="DO223" s="26"/>
      <c r="DP223" s="26"/>
      <c r="DQ223" s="26"/>
      <c r="DR223" s="26"/>
    </row>
  </sheetData>
  <mergeCells count="18">
    <mergeCell ref="G18:H18"/>
    <mergeCell ref="G19:H19"/>
    <mergeCell ref="H13:H14"/>
    <mergeCell ref="E21:E22"/>
    <mergeCell ref="B45:C46"/>
    <mergeCell ref="P45:Q45"/>
    <mergeCell ref="A13:D14"/>
    <mergeCell ref="E13:E14"/>
    <mergeCell ref="G20:H20"/>
    <mergeCell ref="G21:H21"/>
    <mergeCell ref="G22:H22"/>
    <mergeCell ref="F13:F14"/>
    <mergeCell ref="G13:G14"/>
    <mergeCell ref="E15:E16"/>
    <mergeCell ref="E17:E19"/>
    <mergeCell ref="G15:H15"/>
    <mergeCell ref="G16:H16"/>
    <mergeCell ref="G17:H17"/>
  </mergeCells>
  <conditionalFormatting sqref="A11:H11">
    <cfRule type="cellIs" dxfId="16" priority="62" stopIfTrue="1" operator="greaterThanOrEqual">
      <formula>6.5</formula>
    </cfRule>
    <cfRule type="cellIs" dxfId="15" priority="63" stopIfTrue="1" operator="lessThanOrEqual">
      <formula>2.5</formula>
    </cfRule>
  </conditionalFormatting>
  <conditionalFormatting sqref="E21 F20:F22 E15:F19">
    <cfRule type="cellIs" dxfId="14" priority="56" stopIfTrue="1" operator="lessThanOrEqual">
      <formula>0.35</formula>
    </cfRule>
    <cfRule type="cellIs" dxfId="13" priority="57" stopIfTrue="1" operator="greaterThanOrEqual">
      <formula>0.65</formula>
    </cfRule>
  </conditionalFormatting>
  <conditionalFormatting sqref="G15:G22">
    <cfRule type="cellIs" dxfId="12" priority="58" stopIfTrue="1" operator="equal">
      <formula>"WEAK"</formula>
    </cfRule>
    <cfRule type="cellIs" dxfId="11" priority="59" stopIfTrue="1" operator="equal">
      <formula>"STRONG"</formula>
    </cfRule>
  </conditionalFormatting>
  <conditionalFormatting sqref="E50:E77">
    <cfRule type="cellIs" dxfId="10" priority="47" operator="equal">
      <formula>"SELL"</formula>
    </cfRule>
    <cfRule type="cellIs" dxfId="9" priority="48" operator="equal">
      <formula>"BUY"</formula>
    </cfRule>
  </conditionalFormatting>
  <conditionalFormatting sqref="D46:K46">
    <cfRule type="cellIs" dxfId="8" priority="53" stopIfTrue="1" operator="greaterThan">
      <formula>7</formula>
    </cfRule>
    <cfRule type="cellIs" dxfId="7" priority="54" stopIfTrue="1" operator="between">
      <formula>5.000001</formula>
      <formula>7</formula>
    </cfRule>
    <cfRule type="cellIs" dxfId="6" priority="55" stopIfTrue="1" operator="lessThan">
      <formula>2.000001</formula>
    </cfRule>
  </conditionalFormatting>
  <conditionalFormatting sqref="I50:I77">
    <cfRule type="cellIs" dxfId="5" priority="49" operator="lessThan">
      <formula>-3.3</formula>
    </cfRule>
    <cfRule type="cellIs" dxfId="4" priority="50" operator="greaterThan">
      <formula>3.38</formula>
    </cfRule>
  </conditionalFormatting>
  <conditionalFormatting sqref="G50:G59">
    <cfRule type="expression" dxfId="3" priority="64" stopIfTrue="1">
      <formula>IF(AND(G70&gt;=6.1,H70&lt;=2),1)</formula>
    </cfRule>
  </conditionalFormatting>
  <conditionalFormatting sqref="H50:H59">
    <cfRule type="expression" dxfId="2" priority="65" stopIfTrue="1">
      <formula>IF(AND(G70&lt;=2,H70&gt;=6.1),1)</formula>
    </cfRule>
  </conditionalFormatting>
  <conditionalFormatting sqref="G60:G77">
    <cfRule type="expression" dxfId="1" priority="52" stopIfTrue="1">
      <formula>IF(AND(#REF!&gt;=6.1,#REF!&lt;=2),1)</formula>
    </cfRule>
  </conditionalFormatting>
  <conditionalFormatting sqref="H60:H77">
    <cfRule type="expression" dxfId="0" priority="51" stopIfTrue="1">
      <formula>IF(AND(#REF!&lt;=2,#REF!&gt;=6.1),1)</formula>
    </cfRule>
  </conditionalFormatting>
  <pageMargins left="0.7" right="0.7" top="0.75" bottom="0.75" header="0.3" footer="0.3"/>
  <pageSetup paperSize="9" orientation="portrait" horizontalDpi="4294967292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 McSalley</dc:creator>
  <cp:lastModifiedBy>Jamie</cp:lastModifiedBy>
  <dcterms:created xsi:type="dcterms:W3CDTF">2015-10-29T02:49:22Z</dcterms:created>
  <dcterms:modified xsi:type="dcterms:W3CDTF">2016-09-03T10:01:48Z</dcterms:modified>
</cp:coreProperties>
</file>