
<file path=[Content_Types].xml><?xml version="1.0" encoding="utf-8"?>
<Types xmlns="http://schemas.openxmlformats.org/package/2006/content-types">
  <Override PartName="/xl/theme/themeOverride4.xml" ContentType="application/vnd.openxmlformats-officedocument.themeOverride+xml"/>
  <Override PartName="/xl/ctrlProps/ctrlProp49.xml" ContentType="application/vnd.ms-excel.controlproperties+xml"/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queryTables/queryTable19.xml" ContentType="application/vnd.openxmlformats-officedocument.spreadsheetml.queryTable+xml"/>
  <Override PartName="/xl/ctrlProps/ctrlProp38.xml" ContentType="application/vnd.ms-excel.controlproperties+xml"/>
  <Override PartName="/xl/worksheets/sheet7.xml" ContentType="application/vnd.openxmlformats-officedocument.spreadsheetml.worksheet+xml"/>
  <Override PartName="/xl/queryTables/queryTable26.xml" ContentType="application/vnd.openxmlformats-officedocument.spreadsheetml.queryTable+xml"/>
  <Override PartName="/xl/ctrlProps/ctrlProp56.xml" ContentType="application/vnd.ms-excel.controlproperties+xml"/>
  <Override PartName="/xl/ctrlProps/ctrlProp27.xml" ContentType="application/vnd.ms-excel.controlproperties+xml"/>
  <Override PartName="/xl/ctrlProps/ctrlProp45.xml" ContentType="application/vnd.ms-excel.controlproperties+xml"/>
  <Default Extension="xml" ContentType="application/xml"/>
  <Override PartName="/xl/externalLinks/externalLink5.xml" ContentType="application/vnd.openxmlformats-officedocument.spreadsheetml.externalLink+xml"/>
  <Override PartName="/xl/queryTables/queryTable15.xml" ContentType="application/vnd.openxmlformats-officedocument.spreadsheetml.queryTable+xml"/>
  <Override PartName="/xl/drawings/drawing2.xml" ContentType="application/vnd.openxmlformats-officedocument.drawing+xml"/>
  <Override PartName="/xl/ctrlProps/ctrlProp52.xml" ContentType="application/vnd.ms-excel.controlproperties+xml"/>
  <Override PartName="/xl/ctrlProps/ctrlProp34.xml" ContentType="application/vnd.ms-excel.controlproperties+xml"/>
  <Override PartName="/xl/ctrlProps/ctrlProp16.xml" ContentType="application/vnd.ms-excel.controlproperties+xml"/>
  <Override PartName="/xl/worksheets/sheet3.xml" ContentType="application/vnd.openxmlformats-officedocument.spreadsheetml.worksheet+xml"/>
  <Override PartName="/xl/queryTables/queryTable22.xml" ContentType="application/vnd.openxmlformats-officedocument.spreadsheetml.queryTable+xml"/>
  <Override PartName="/xl/ctrlProps/ctrlProp23.xml" ContentType="application/vnd.ms-excel.controlproperties+xml"/>
  <Override PartName="/xl/ctrlProps/ctrlProp41.xml" ContentType="application/vnd.ms-excel.controlproperties+xml"/>
  <Override PartName="/xl/externalLinks/externalLink1.xml" ContentType="application/vnd.openxmlformats-officedocument.spreadsheetml.externalLink+xml"/>
  <Override PartName="/xl/queryTables/queryTable8.xml" ContentType="application/vnd.openxmlformats-officedocument.spreadsheetml.queryTable+xml"/>
  <Override PartName="/xl/queryTables/queryTable11.xml" ContentType="application/vnd.openxmlformats-officedocument.spreadsheetml.queryTable+xml"/>
  <Override PartName="/xl/charts/chart16.xml" ContentType="application/vnd.openxmlformats-officedocument.drawingml.chart+xml"/>
  <Override PartName="/xl/ctrlProps/ctrlProp30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queryTables/queryTable4.xml" ContentType="application/vnd.openxmlformats-officedocument.spreadsheetml.queryTable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trlProps/ctrlProp2.xml" ContentType="application/vnd.ms-excel.controlproperties+xml"/>
  <Default Extension="bin" ContentType="application/vnd.openxmlformats-officedocument.spreadsheetml.printerSettings"/>
  <Override PartName="/xl/theme/themeOverride5.xml" ContentType="application/vnd.openxmlformats-officedocument.themeOverride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ctrlProps/ctrlProp39.xml" ContentType="application/vnd.ms-excel.controlproperties+xml"/>
  <Override PartName="/xl/ctrlProps/ctrlProp28.xml" ContentType="application/vnd.ms-excel.controlproperties+xml"/>
  <Override PartName="/xl/ctrlProps/ctrlProp57.xml" ContentType="application/vnd.ms-excel.controlproperti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queryTables/queryTable16.xml" ContentType="application/vnd.openxmlformats-officedocument.spreadsheetml.queryTable+xml"/>
  <Override PartName="/xl/queryTables/queryTable27.xml" ContentType="application/vnd.openxmlformats-officedocument.spreadsheetml.queryTable+xml"/>
  <Override PartName="/xl/ctrlProps/ctrlProp17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46.xml" ContentType="application/vnd.ms-excel.controlpropertie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charts/chart1.xml" ContentType="application/vnd.openxmlformats-officedocument.drawingml.chart+xml"/>
  <Override PartName="/xl/queryTables/queryTable14.xml" ContentType="application/vnd.openxmlformats-officedocument.spreadsheetml.queryTable+xml"/>
  <Override PartName="/xl/queryTables/queryTable25.xml" ContentType="application/vnd.openxmlformats-officedocument.spreadsheetml.queryTable+xml"/>
  <Override PartName="/xl/drawings/drawing3.xml" ContentType="application/vnd.openxmlformats-officedocument.drawing+xml"/>
  <Override PartName="/xl/ctrlProps/ctrlProp15.xml" ContentType="application/vnd.ms-excel.controlproperties+xml"/>
  <Override PartName="/xl/ctrlProps/ctrlProp44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24.xml" ContentType="application/vnd.ms-excel.controlproperties+xml"/>
  <Override PartName="/xl/ctrlProps/ctrlProp53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3.xml" ContentType="application/vnd.openxmlformats-officedocument.spreadsheetml.queryTable+xml"/>
  <Override PartName="/xl/charts/chart19.xml" ContentType="application/vnd.openxmlformats-officedocument.drawingml.chart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51.xml" ContentType="application/vnd.ms-excel.controlproperties+xml"/>
  <Override PartName="/xl/ctrlProps/ctrlProp42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Override PartName="/xl/comments1.xml" ContentType="application/vnd.openxmlformats-officedocument.spreadsheetml.comments+xml"/>
  <Override PartName="/xl/queryTables/queryTable7.xml" ContentType="application/vnd.openxmlformats-officedocument.spreadsheetml.queryTable+xml"/>
  <Override PartName="/xl/queryTables/queryTable10.xml" ContentType="application/vnd.openxmlformats-officedocument.spreadsheetml.queryTable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ctrlProps/ctrlProp31.xml" ContentType="application/vnd.ms-excel.controlproperties+xml"/>
  <Override PartName="/xl/ctrlProps/ctrlProp20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theme/themeOverride8.xml" ContentType="application/vnd.openxmlformats-officedocument.themeOverride+xml"/>
  <Override PartName="/xl/queryTables/queryTable5.xml" ContentType="application/vnd.openxmlformats-officedocument.spreadsheetml.queryTable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ctrlProps/ctrlProp3.xml" ContentType="application/vnd.ms-excel.controlproperties+xml"/>
  <Override PartName="/xl/theme/themeOverride6.xml" ContentType="application/vnd.openxmlformats-officedocument.themeOverride+xml"/>
  <Override PartName="/xl/charts/chart8.xml" ContentType="application/vnd.openxmlformats-officedocument.drawingml.chart+xml"/>
  <Override PartName="/xl/queryTables/queryTable3.xml" ContentType="application/vnd.openxmlformats-officedocument.spreadsheetml.queryTable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trlProps/ctrlProp1.xml" ContentType="application/vnd.ms-excel.controlpropertie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queryTables/queryTable1.xml" ContentType="application/vnd.openxmlformats-officedocument.spreadsheetml.queryTable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theme/themeOverride2.xml" ContentType="application/vnd.openxmlformats-officedocument.themeOverride+xml"/>
  <Override PartName="/xl/queryTables/queryTable28.xml" ContentType="application/vnd.openxmlformats-officedocument.spreadsheetml.queryTable+xml"/>
  <Override PartName="/xl/ctrlProps/ctrlProp47.xml" ContentType="application/vnd.ms-excel.controlproperties+xml"/>
  <Override PartName="/xl/ctrlProps/ctrlProp29.xml" ContentType="application/vnd.ms-excel.controlproperties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queryTables/queryTable17.xml" ContentType="application/vnd.openxmlformats-officedocument.spreadsheetml.queryTable+xml"/>
  <Override PartName="/xl/drawings/drawing4.xml" ContentType="application/vnd.openxmlformats-officedocument.drawing+xml"/>
  <Override PartName="/xl/ctrlProps/ctrlProp36.xml" ContentType="application/vnd.ms-excel.controlproperties+xml"/>
  <Override PartName="/xl/ctrlProps/ctrlProp18.xml" ContentType="application/vnd.ms-excel.controlproperties+xml"/>
  <Default Extension="rels" ContentType="application/vnd.openxmlformats-package.relationships+xml"/>
  <Override PartName="/xl/worksheets/sheet5.xml" ContentType="application/vnd.openxmlformats-officedocument.spreadsheetml.worksheet+xml"/>
  <Override PartName="/xl/queryTables/queryTable24.xml" ContentType="application/vnd.openxmlformats-officedocument.spreadsheetml.queryTable+xml"/>
  <Override PartName="/xl/ctrlProps/ctrlProp43.xml" ContentType="application/vnd.ms-excel.controlproperties+xml"/>
  <Override PartName="/xl/ctrlProps/ctrlProp25.xml" ContentType="application/vnd.ms-excel.controlproperties+xml"/>
  <Override PartName="/xl/ctrlProps/ctrlProp54.xml" ContentType="application/vnd.ms-excel.controlproperties+xml"/>
  <Override PartName="/xl/externalLinks/externalLink3.xml" ContentType="application/vnd.openxmlformats-officedocument.spreadsheetml.externalLink+xml"/>
  <Override PartName="/xl/connections.xml" ContentType="application/vnd.openxmlformats-officedocument.spreadsheetml.connections+xml"/>
  <Override PartName="/xl/queryTables/queryTable13.xml" ContentType="application/vnd.openxmlformats-officedocument.spreadsheetml.queryTable+xml"/>
  <Override PartName="/xl/charts/chart18.xml" ContentType="application/vnd.openxmlformats-officedocument.drawingml.chart+xml"/>
  <Override PartName="/xl/ctrlProps/ctrlProp14.xml" ContentType="application/vnd.ms-excel.controlproperties+xml"/>
  <Override PartName="/xl/ctrlProps/ctrlProp8.xml" ContentType="application/vnd.ms-excel.controlproperties+xml"/>
  <Override PartName="/xl/ctrlProps/ctrlProp50.xml" ContentType="application/vnd.ms-excel.controlproperties+xml"/>
  <Override PartName="/xl/ctrlProps/ctrlProp32.xml" ContentType="application/vnd.ms-excel.controlproperties+xml"/>
  <Override PartName="/xl/worksheets/sheet1.xml" ContentType="application/vnd.openxmlformats-officedocument.spreadsheetml.worksheet+xml"/>
  <Override PartName="/xl/queryTables/queryTable20.xml" ContentType="application/vnd.openxmlformats-officedocument.spreadsheetml.queryTable+xml"/>
  <Override PartName="/xl/ctrlProps/ctrlProp21.xml" ContentType="application/vnd.ms-excel.controlproperties+xml"/>
  <Override PartName="/xl/queryTables/queryTable6.xml" ContentType="application/vnd.openxmlformats-officedocument.spreadsheetml.queryTable+xml"/>
  <Override PartName="/xl/charts/chart14.xml" ContentType="application/vnd.openxmlformats-officedocument.drawingml.chart+xml"/>
  <Override PartName="/xl/ctrlProps/ctrlProp10.xml" ContentType="application/vnd.ms-excel.controlproperties+xml"/>
  <Override PartName="/xl/ctrlProps/ctrlProp4.xml" ContentType="application/vnd.ms-excel.controlproperties+xml"/>
  <Override PartName="/xl/theme/themeOverride7.xml" ContentType="application/vnd.openxmlformats-officedocument.themeOverride+xml"/>
  <Override PartName="/xl/charts/chart21.xml" ContentType="application/vnd.openxmlformats-officedocument.drawingml.chart+xml"/>
  <Override PartName="/xl/charts/chart7.xml" ContentType="application/vnd.openxmlformats-officedocument.drawingml.chart+xml"/>
  <Override PartName="/xl/queryTables/queryTable2.xml" ContentType="application/vnd.openxmlformats-officedocument.spreadsheetml.queryTable+xml"/>
  <Override PartName="/xl/charts/chart10.xml" ContentType="application/vnd.openxmlformats-officedocument.drawingml.chart+xml"/>
  <Override PartName="/xl/theme/themeOverride3.xml" ContentType="application/vnd.openxmlformats-officedocument.themeOverride+xml"/>
  <Override PartName="/xl/queryTables/queryTable18.xml" ContentType="application/vnd.openxmlformats-officedocument.spreadsheetml.queryTable+xml"/>
  <Override PartName="/xl/ctrlProps/ctrlProp19.xml" ContentType="application/vnd.ms-excel.controlproperties+xml"/>
  <Override PartName="/xl/ctrlProps/ctrlProp48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0" yWindow="0" windowWidth="4575" windowHeight="6045" tabRatio="761"/>
  </bookViews>
  <sheets>
    <sheet name="Arkusz1" sheetId="28" r:id="rId1"/>
    <sheet name="OpenOrder" sheetId="31" r:id="rId2"/>
    <sheet name="Strength28" sheetId="10" r:id="rId3"/>
    <sheet name="CRS" sheetId="14" r:id="rId4"/>
    <sheet name="GAP_test" sheetId="15" r:id="rId5"/>
    <sheet name="GAP_SYNC" sheetId="21" r:id="rId6"/>
    <sheet name="Speedometer2" sheetId="20" r:id="rId7"/>
    <sheet name="getValues" sheetId="22" r:id="rId8"/>
    <sheet name="HeatMapM30_Mn" sheetId="23" r:id="rId9"/>
    <sheet name="RSI_M30_Mn" sheetId="24" r:id="rId10"/>
    <sheet name="Trend_M30_Mn" sheetId="25" r:id="rId11"/>
    <sheet name="HM" sheetId="26" r:id="rId12"/>
    <sheet name="Stren_Dir" sheetId="27" r:id="rId13"/>
    <sheet name="SendOrder" sheetId="29" r:id="rId14"/>
    <sheet name="CloseOrder" sheetId="30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rray_getValues">getValues!$A$7:$AE$34</definedName>
    <definedName name="arrayHeatMap">getValues!$A$7:$G$34</definedName>
    <definedName name="AUDx">#REF!</definedName>
    <definedName name="bSR_GAP">GAP_test!$A$8:$I$35</definedName>
    <definedName name="bSR_GAP2">GAP_test!$B$8:$I$35</definedName>
    <definedName name="CADx">#REF!</definedName>
    <definedName name="CHFx">#REF!</definedName>
    <definedName name="CurrArray">Strength28!$E$24:$H$51</definedName>
    <definedName name="daily">[1]main!$B$4:$E$33</definedName>
    <definedName name="dayx">#REF!</definedName>
    <definedName name="EURx">#REF!</definedName>
    <definedName name="EUx">#REF!</definedName>
    <definedName name="GAP">Strength28!$L$24:$L$51</definedName>
    <definedName name="gapHM">Strength28!$D$24:$L$51</definedName>
    <definedName name="GAPs">Strength28!$E$24:$L$51</definedName>
    <definedName name="gapsHM">Strength28!$E$24:$L$51</definedName>
    <definedName name="GBPx">#REF!</definedName>
    <definedName name="heatmap">#REF!</definedName>
    <definedName name="HM_Calc">HeatMapM30_Mn!$K$3:$P$30</definedName>
    <definedName name="HM_Calc_Array">HeatMapM30_Mn!$A$3:$P$30</definedName>
    <definedName name="JPYx">#REF!</definedName>
    <definedName name="lastdata">[1]main!$B$4:$G$33</definedName>
    <definedName name="month">[1]week!$B$5:$E$34</definedName>
    <definedName name="montin">#REF!</definedName>
    <definedName name="montinx">#REF!</definedName>
    <definedName name="NZDx">#REF!</definedName>
    <definedName name="openorders" localSheetId="1">OpenOrder!$A$1:$I$52</definedName>
    <definedName name="openorders.txt" localSheetId="1">OpenOrder!$A$1:$I$52</definedName>
    <definedName name="openorders_1" localSheetId="1">OpenOrder!$A$1:$I$52</definedName>
    <definedName name="openorders_10" localSheetId="1">OpenOrder!$A$1:$I$31</definedName>
    <definedName name="openorders_11" localSheetId="1">OpenOrder!$A$1:$I$31</definedName>
    <definedName name="openorders_12" localSheetId="1">OpenOrder!$A$1:$I$30</definedName>
    <definedName name="openorders_13" localSheetId="1">OpenOrder!$A$1:$I$30</definedName>
    <definedName name="openorders_14" localSheetId="1">OpenOrder!$A$1:$I$31</definedName>
    <definedName name="openorders_15" localSheetId="1">OpenOrder!$A$1:$I$32</definedName>
    <definedName name="openorders_16" localSheetId="1">OpenOrder!$A$1:$I$35</definedName>
    <definedName name="openorders_17" localSheetId="1">OpenOrder!$A$1:$I$36</definedName>
    <definedName name="openorders_18" localSheetId="1">OpenOrder!$A$1:$I$37</definedName>
    <definedName name="openorders_19" localSheetId="1">OpenOrder!$A$1:$I$38</definedName>
    <definedName name="openorders_2" localSheetId="1">OpenOrder!$A$1:$I$52</definedName>
    <definedName name="openorders_20" localSheetId="1">OpenOrder!$A$1:$I$39</definedName>
    <definedName name="openorders_21" localSheetId="1">OpenOrder!$A$1:$I$40</definedName>
    <definedName name="openorders_22" localSheetId="1">OpenOrder!$A$1:$I$41</definedName>
    <definedName name="openorders_23" localSheetId="1">OpenOrder!$A$1:$I$42</definedName>
    <definedName name="openorders_24" localSheetId="1">OpenOrder!$A$1:$I$43</definedName>
    <definedName name="openorders_25" localSheetId="1">OpenOrder!$A$1:$I$44</definedName>
    <definedName name="openorders_26" localSheetId="1">OpenOrder!$A$1:$I$45</definedName>
    <definedName name="openorders_3" localSheetId="1">OpenOrder!$A$1:$I$32</definedName>
    <definedName name="openorders_4" localSheetId="1">OpenOrder!$A$1:$I$31</definedName>
    <definedName name="openorders_5" localSheetId="1">OpenOrder!$A$1:$I$31</definedName>
    <definedName name="openorders_6" localSheetId="1">OpenOrder!$A$1:$I$31</definedName>
    <definedName name="openorders_7" localSheetId="1">OpenOrder!$A$1:$I$30</definedName>
    <definedName name="openorders_8" localSheetId="1">OpenOrder!$A$1:$I$30</definedName>
    <definedName name="openorders_9" localSheetId="1">OpenOrder!$A$1:$I$30</definedName>
    <definedName name="pArray">Strength28!$B$3:$AD$16</definedName>
    <definedName name="RS_Array">Strength28!$AK$6:$AL$9678</definedName>
    <definedName name="smArray">Strength28!$N$25:$U$28</definedName>
    <definedName name="sYNC">Strength28!$V$27:$AC$28</definedName>
    <definedName name="sYNC2">Strength28!$V$19:$AC$28</definedName>
    <definedName name="USDx">#REF!</definedName>
    <definedName name="USDxx">#REF!</definedName>
    <definedName name="yesterdx">#REF!</definedName>
  </definedNames>
  <calcPr calcId="125725"/>
</workbook>
</file>

<file path=xl/calcChain.xml><?xml version="1.0" encoding="utf-8"?>
<calcChain xmlns="http://schemas.openxmlformats.org/spreadsheetml/2006/main">
  <c r="H37" i="28"/>
  <c r="S8"/>
  <c r="AD7" i="10"/>
  <c r="AD6"/>
  <c r="AD5"/>
  <c r="AD4"/>
  <c r="AC7"/>
  <c r="AC6"/>
  <c r="AC5"/>
  <c r="AC4"/>
  <c r="AB7"/>
  <c r="AB6"/>
  <c r="AB5"/>
  <c r="AB4"/>
  <c r="AA7"/>
  <c r="AA6"/>
  <c r="AA5"/>
  <c r="AA4"/>
  <c r="Z7"/>
  <c r="Z6"/>
  <c r="Z5"/>
  <c r="Z4"/>
  <c r="Y7"/>
  <c r="Y6"/>
  <c r="Y5"/>
  <c r="Y4"/>
  <c r="X7"/>
  <c r="X6"/>
  <c r="X5"/>
  <c r="X4"/>
  <c r="W7"/>
  <c r="W6"/>
  <c r="W5"/>
  <c r="W4"/>
  <c r="V7"/>
  <c r="V6"/>
  <c r="V5"/>
  <c r="V4"/>
  <c r="U7"/>
  <c r="U6"/>
  <c r="U5"/>
  <c r="U4"/>
  <c r="T7"/>
  <c r="T6"/>
  <c r="T5"/>
  <c r="T4"/>
  <c r="S7"/>
  <c r="S6"/>
  <c r="S5"/>
  <c r="S4"/>
  <c r="R7"/>
  <c r="R6"/>
  <c r="R5"/>
  <c r="R4"/>
  <c r="Q7"/>
  <c r="Q6"/>
  <c r="Q5"/>
  <c r="Q4"/>
  <c r="P7"/>
  <c r="P6"/>
  <c r="P5"/>
  <c r="P4"/>
  <c r="O7"/>
  <c r="O6"/>
  <c r="O5"/>
  <c r="O4"/>
  <c r="N7"/>
  <c r="N6"/>
  <c r="N5"/>
  <c r="N4"/>
  <c r="M7"/>
  <c r="M6"/>
  <c r="M5"/>
  <c r="M4"/>
  <c r="L7"/>
  <c r="L6"/>
  <c r="L5"/>
  <c r="L4"/>
  <c r="K7"/>
  <c r="K6"/>
  <c r="K5"/>
  <c r="K4"/>
  <c r="J7"/>
  <c r="J6"/>
  <c r="J5"/>
  <c r="J4"/>
  <c r="I7"/>
  <c r="I6"/>
  <c r="I5"/>
  <c r="I4"/>
  <c r="H7"/>
  <c r="H6"/>
  <c r="H5"/>
  <c r="H4"/>
  <c r="G7"/>
  <c r="G6"/>
  <c r="G5"/>
  <c r="G4"/>
  <c r="F7"/>
  <c r="F6"/>
  <c r="F5"/>
  <c r="F4"/>
  <c r="E7"/>
  <c r="E6"/>
  <c r="E5"/>
  <c r="E4"/>
  <c r="D7"/>
  <c r="D6"/>
  <c r="D5"/>
  <c r="D4"/>
  <c r="C7"/>
  <c r="C6"/>
  <c r="C5"/>
  <c r="C4"/>
  <c r="AE7" l="1"/>
  <c r="AE6"/>
  <c r="AE5"/>
  <c r="AE4"/>
  <c r="G15" l="1"/>
  <c r="F15"/>
  <c r="E15"/>
  <c r="D15"/>
  <c r="D10" l="1"/>
  <c r="D11" s="1"/>
  <c r="D14" s="1"/>
  <c r="D16" s="1"/>
  <c r="D8"/>
  <c r="D25" s="1"/>
  <c r="E10"/>
  <c r="E11" s="1"/>
  <c r="E14" s="1"/>
  <c r="E16" s="1"/>
  <c r="E8"/>
  <c r="D26" s="1"/>
  <c r="F10"/>
  <c r="F11" s="1"/>
  <c r="F14" s="1"/>
  <c r="F16" s="1"/>
  <c r="F8"/>
  <c r="D27" s="1"/>
  <c r="G10"/>
  <c r="G11" s="1"/>
  <c r="G14" s="1"/>
  <c r="G16" s="1"/>
  <c r="G8"/>
  <c r="D28" s="1"/>
  <c r="G13"/>
  <c r="D13"/>
  <c r="E13"/>
  <c r="F13"/>
  <c r="G31" i="28" l="1"/>
  <c r="F31"/>
  <c r="E31"/>
  <c r="D31"/>
  <c r="G30"/>
  <c r="F30"/>
  <c r="E30"/>
  <c r="D30"/>
  <c r="G29"/>
  <c r="F29"/>
  <c r="E29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G3"/>
  <c r="F3"/>
  <c r="E3"/>
  <c r="D3"/>
  <c r="Z38" l="1"/>
  <c r="Y38"/>
  <c r="X38"/>
  <c r="W38"/>
  <c r="V38"/>
  <c r="U38"/>
  <c r="T38"/>
  <c r="S38"/>
  <c r="H9" l="1"/>
  <c r="F32"/>
  <c r="F33"/>
  <c r="F34"/>
  <c r="F35"/>
  <c r="F36"/>
  <c r="F37"/>
  <c r="Y8" l="1"/>
  <c r="Z8"/>
  <c r="T8" l="1"/>
  <c r="U8"/>
  <c r="V8"/>
  <c r="W8"/>
  <c r="X8"/>
  <c r="H7" i="15" l="1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C5" i="25" l="1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D4"/>
  <c r="C4"/>
  <c r="B4" i="24"/>
  <c r="P35" i="27"/>
  <c r="N35"/>
  <c r="L35"/>
  <c r="J35"/>
  <c r="H35"/>
  <c r="F35"/>
  <c r="P34"/>
  <c r="N34"/>
  <c r="L34"/>
  <c r="J34"/>
  <c r="H34"/>
  <c r="F34"/>
  <c r="P33"/>
  <c r="N33"/>
  <c r="L33"/>
  <c r="J33"/>
  <c r="H33"/>
  <c r="F33"/>
  <c r="P32"/>
  <c r="N32"/>
  <c r="L32"/>
  <c r="J32"/>
  <c r="H32"/>
  <c r="F32"/>
  <c r="P31"/>
  <c r="N31"/>
  <c r="L31"/>
  <c r="J31"/>
  <c r="H31"/>
  <c r="F31"/>
  <c r="P30"/>
  <c r="N30"/>
  <c r="L30"/>
  <c r="J30"/>
  <c r="H30"/>
  <c r="F30"/>
  <c r="P29"/>
  <c r="N29"/>
  <c r="L29"/>
  <c r="J29"/>
  <c r="H29"/>
  <c r="F29"/>
  <c r="P28"/>
  <c r="N28"/>
  <c r="L28"/>
  <c r="J28"/>
  <c r="H28"/>
  <c r="F28"/>
  <c r="P27"/>
  <c r="N27"/>
  <c r="L27"/>
  <c r="J27"/>
  <c r="H27"/>
  <c r="F27"/>
  <c r="P26"/>
  <c r="N26"/>
  <c r="L26"/>
  <c r="J26"/>
  <c r="H26"/>
  <c r="F26"/>
  <c r="P25"/>
  <c r="N25"/>
  <c r="L25"/>
  <c r="J25"/>
  <c r="H25"/>
  <c r="F25"/>
  <c r="P24"/>
  <c r="N24"/>
  <c r="L24"/>
  <c r="J24"/>
  <c r="H24"/>
  <c r="F24"/>
  <c r="P23"/>
  <c r="N23"/>
  <c r="L23"/>
  <c r="J23"/>
  <c r="H23"/>
  <c r="F23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P16"/>
  <c r="N16"/>
  <c r="L16"/>
  <c r="J16"/>
  <c r="H16"/>
  <c r="F16"/>
  <c r="P15"/>
  <c r="N15"/>
  <c r="L15"/>
  <c r="J15"/>
  <c r="H15"/>
  <c r="F15"/>
  <c r="P14"/>
  <c r="N14"/>
  <c r="L14"/>
  <c r="J14"/>
  <c r="H14"/>
  <c r="F14"/>
  <c r="P13"/>
  <c r="N13"/>
  <c r="L13"/>
  <c r="J13"/>
  <c r="H13"/>
  <c r="F13"/>
  <c r="P12"/>
  <c r="N12"/>
  <c r="L12"/>
  <c r="J12"/>
  <c r="H12"/>
  <c r="F12"/>
  <c r="P11"/>
  <c r="N11"/>
  <c r="L11"/>
  <c r="J11"/>
  <c r="H11"/>
  <c r="F11"/>
  <c r="P10"/>
  <c r="N10"/>
  <c r="L10"/>
  <c r="J10"/>
  <c r="H10"/>
  <c r="F10"/>
  <c r="P9"/>
  <c r="N9"/>
  <c r="L9"/>
  <c r="J9"/>
  <c r="H9"/>
  <c r="F9"/>
  <c r="P8"/>
  <c r="N8"/>
  <c r="L8"/>
  <c r="J8"/>
  <c r="H8"/>
  <c r="F8"/>
  <c r="B5" i="24"/>
  <c r="C5"/>
  <c r="D5"/>
  <c r="E5"/>
  <c r="F5"/>
  <c r="G5"/>
  <c r="B6"/>
  <c r="C6"/>
  <c r="D6"/>
  <c r="E6"/>
  <c r="F6"/>
  <c r="G6"/>
  <c r="B7"/>
  <c r="C7"/>
  <c r="D7"/>
  <c r="E7"/>
  <c r="F7"/>
  <c r="G7"/>
  <c r="B8"/>
  <c r="C8"/>
  <c r="D8"/>
  <c r="E8"/>
  <c r="F8"/>
  <c r="G8"/>
  <c r="B9"/>
  <c r="C9"/>
  <c r="D9"/>
  <c r="E9"/>
  <c r="F9"/>
  <c r="G9"/>
  <c r="B10"/>
  <c r="C10"/>
  <c r="D10"/>
  <c r="E10"/>
  <c r="F10"/>
  <c r="G10"/>
  <c r="B11"/>
  <c r="C11"/>
  <c r="D11"/>
  <c r="E11"/>
  <c r="F11"/>
  <c r="G11"/>
  <c r="B12"/>
  <c r="C12"/>
  <c r="D12"/>
  <c r="E12"/>
  <c r="F12"/>
  <c r="G12"/>
  <c r="B13"/>
  <c r="C13"/>
  <c r="D13"/>
  <c r="E13"/>
  <c r="F13"/>
  <c r="G13"/>
  <c r="B14"/>
  <c r="C14"/>
  <c r="D14"/>
  <c r="E14"/>
  <c r="F14"/>
  <c r="G14"/>
  <c r="B15"/>
  <c r="C15"/>
  <c r="D15"/>
  <c r="E15"/>
  <c r="F15"/>
  <c r="G15"/>
  <c r="B16"/>
  <c r="C16"/>
  <c r="D16"/>
  <c r="E16"/>
  <c r="F16"/>
  <c r="G16"/>
  <c r="B17"/>
  <c r="C17"/>
  <c r="D17"/>
  <c r="E17"/>
  <c r="F17"/>
  <c r="G17"/>
  <c r="B18"/>
  <c r="C18"/>
  <c r="D18"/>
  <c r="E18"/>
  <c r="F18"/>
  <c r="G18"/>
  <c r="B19"/>
  <c r="C19"/>
  <c r="D19"/>
  <c r="E19"/>
  <c r="F19"/>
  <c r="G19"/>
  <c r="B20"/>
  <c r="C20"/>
  <c r="D20"/>
  <c r="E20"/>
  <c r="F20"/>
  <c r="G20"/>
  <c r="B21"/>
  <c r="C21"/>
  <c r="D21"/>
  <c r="E21"/>
  <c r="F21"/>
  <c r="G21"/>
  <c r="B22"/>
  <c r="C22"/>
  <c r="D22"/>
  <c r="E22"/>
  <c r="F22"/>
  <c r="G22"/>
  <c r="B23"/>
  <c r="C23"/>
  <c r="D23"/>
  <c r="E23"/>
  <c r="F23"/>
  <c r="G23"/>
  <c r="B24"/>
  <c r="C24"/>
  <c r="D24"/>
  <c r="E24"/>
  <c r="F24"/>
  <c r="G24"/>
  <c r="B25"/>
  <c r="C25"/>
  <c r="D25"/>
  <c r="E25"/>
  <c r="F25"/>
  <c r="G25"/>
  <c r="B26"/>
  <c r="C26"/>
  <c r="D26"/>
  <c r="E26"/>
  <c r="F26"/>
  <c r="G26"/>
  <c r="B27"/>
  <c r="C27"/>
  <c r="D27"/>
  <c r="E27"/>
  <c r="F27"/>
  <c r="G27"/>
  <c r="B28"/>
  <c r="C28"/>
  <c r="D28"/>
  <c r="E28"/>
  <c r="F28"/>
  <c r="G28"/>
  <c r="B29"/>
  <c r="C29"/>
  <c r="D29"/>
  <c r="E29"/>
  <c r="F29"/>
  <c r="G29"/>
  <c r="B30"/>
  <c r="C30"/>
  <c r="D30"/>
  <c r="E30"/>
  <c r="F30"/>
  <c r="G30"/>
  <c r="B31"/>
  <c r="C31"/>
  <c r="D31"/>
  <c r="E31"/>
  <c r="F31"/>
  <c r="G31"/>
  <c r="G4"/>
  <c r="F4"/>
  <c r="E4"/>
  <c r="D4"/>
  <c r="C4"/>
  <c r="H3" i="23"/>
  <c r="D4" l="1"/>
  <c r="E4"/>
  <c r="F4"/>
  <c r="G4"/>
  <c r="H4"/>
  <c r="D5"/>
  <c r="E5"/>
  <c r="F5"/>
  <c r="G5"/>
  <c r="H5"/>
  <c r="D6"/>
  <c r="E6"/>
  <c r="F6"/>
  <c r="G6"/>
  <c r="H6"/>
  <c r="D7"/>
  <c r="E7"/>
  <c r="F7"/>
  <c r="G7"/>
  <c r="H7"/>
  <c r="D8"/>
  <c r="E8"/>
  <c r="F8"/>
  <c r="G8"/>
  <c r="H8"/>
  <c r="D9"/>
  <c r="E9"/>
  <c r="F9"/>
  <c r="G9"/>
  <c r="H9"/>
  <c r="D10"/>
  <c r="E10"/>
  <c r="F10"/>
  <c r="G10"/>
  <c r="H10"/>
  <c r="D11"/>
  <c r="E11"/>
  <c r="F11"/>
  <c r="G11"/>
  <c r="H11"/>
  <c r="D12"/>
  <c r="E12"/>
  <c r="F12"/>
  <c r="G12"/>
  <c r="H12"/>
  <c r="D13"/>
  <c r="E13"/>
  <c r="F13"/>
  <c r="G13"/>
  <c r="H13"/>
  <c r="D14"/>
  <c r="E14"/>
  <c r="F14"/>
  <c r="G14"/>
  <c r="H14"/>
  <c r="D15"/>
  <c r="E15"/>
  <c r="F15"/>
  <c r="G15"/>
  <c r="H15"/>
  <c r="D16"/>
  <c r="E16"/>
  <c r="F16"/>
  <c r="G16"/>
  <c r="H16"/>
  <c r="D17"/>
  <c r="E17"/>
  <c r="F17"/>
  <c r="G17"/>
  <c r="H17"/>
  <c r="D18"/>
  <c r="E18"/>
  <c r="F18"/>
  <c r="G18"/>
  <c r="H18"/>
  <c r="D19"/>
  <c r="E19"/>
  <c r="F19"/>
  <c r="G19"/>
  <c r="H19"/>
  <c r="D20"/>
  <c r="E20"/>
  <c r="F20"/>
  <c r="G20"/>
  <c r="H20"/>
  <c r="D21"/>
  <c r="E21"/>
  <c r="F21"/>
  <c r="G21"/>
  <c r="H21"/>
  <c r="D22"/>
  <c r="E22"/>
  <c r="F22"/>
  <c r="G22"/>
  <c r="H22"/>
  <c r="D23"/>
  <c r="E23"/>
  <c r="F23"/>
  <c r="G23"/>
  <c r="H23"/>
  <c r="D24"/>
  <c r="E24"/>
  <c r="F24"/>
  <c r="G24"/>
  <c r="H24"/>
  <c r="D25"/>
  <c r="E25"/>
  <c r="F25"/>
  <c r="G25"/>
  <c r="H25"/>
  <c r="D26"/>
  <c r="E26"/>
  <c r="F26"/>
  <c r="G26"/>
  <c r="H26"/>
  <c r="D27"/>
  <c r="E27"/>
  <c r="F27"/>
  <c r="G27"/>
  <c r="H27"/>
  <c r="D28"/>
  <c r="E28"/>
  <c r="F28"/>
  <c r="G28"/>
  <c r="H28"/>
  <c r="D29"/>
  <c r="E29"/>
  <c r="F29"/>
  <c r="G29"/>
  <c r="H29"/>
  <c r="D30"/>
  <c r="E30"/>
  <c r="F30"/>
  <c r="G30"/>
  <c r="H30"/>
  <c r="G3"/>
  <c r="F3"/>
  <c r="E3"/>
  <c r="D3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4"/>
  <c r="C3"/>
  <c r="F44" i="15" l="1"/>
  <c r="V30" i="21"/>
  <c r="P30"/>
  <c r="J30"/>
  <c r="D30"/>
  <c r="V29"/>
  <c r="P29"/>
  <c r="J29"/>
  <c r="D29"/>
  <c r="V28"/>
  <c r="P28"/>
  <c r="J28"/>
  <c r="D28"/>
  <c r="V27"/>
  <c r="P27"/>
  <c r="J27"/>
  <c r="D27"/>
  <c r="V26"/>
  <c r="P26"/>
  <c r="J26"/>
  <c r="D26"/>
  <c r="V25"/>
  <c r="P25"/>
  <c r="J25"/>
  <c r="D25"/>
  <c r="V24"/>
  <c r="P24"/>
  <c r="J24"/>
  <c r="D24"/>
  <c r="V14"/>
  <c r="P14"/>
  <c r="J14"/>
  <c r="D14"/>
  <c r="V13"/>
  <c r="P13"/>
  <c r="J13"/>
  <c r="D13"/>
  <c r="V12"/>
  <c r="P12"/>
  <c r="J12"/>
  <c r="D12"/>
  <c r="V11"/>
  <c r="P11"/>
  <c r="J11"/>
  <c r="D11"/>
  <c r="V10"/>
  <c r="P10"/>
  <c r="J10"/>
  <c r="D10"/>
  <c r="V9"/>
  <c r="P9"/>
  <c r="J9"/>
  <c r="D9"/>
  <c r="V8"/>
  <c r="P8"/>
  <c r="J8"/>
  <c r="D8"/>
  <c r="I6" i="14" l="1"/>
  <c r="M24" s="1"/>
  <c r="I7"/>
  <c r="J24" s="1"/>
  <c r="K3"/>
  <c r="K4"/>
  <c r="K5"/>
  <c r="K6"/>
  <c r="K7"/>
  <c r="K8"/>
  <c r="K9"/>
  <c r="K2"/>
  <c r="I3"/>
  <c r="I24" s="1"/>
  <c r="I4"/>
  <c r="H24" s="1"/>
  <c r="I5"/>
  <c r="G24" s="1"/>
  <c r="I8"/>
  <c r="L24" s="1"/>
  <c r="I9"/>
  <c r="K24" s="1"/>
  <c r="I2"/>
  <c r="F24" s="1"/>
  <c r="C1" i="15" l="1"/>
  <c r="E1" s="1"/>
  <c r="D1"/>
  <c r="C33" i="14"/>
  <c r="C32"/>
  <c r="B3" i="23" l="1"/>
  <c r="P3" s="1"/>
  <c r="R8" i="15" s="1"/>
  <c r="B4" i="25"/>
  <c r="E4" s="1"/>
  <c r="O3" i="23" l="1"/>
  <c r="Q8" i="15" s="1"/>
  <c r="N3" i="23"/>
  <c r="P8" i="15" s="1"/>
  <c r="M3" i="23"/>
  <c r="O8" i="15" s="1"/>
  <c r="L3" i="23"/>
  <c r="N8" i="15" s="1"/>
  <c r="K3" i="23"/>
  <c r="M8" i="15" s="1"/>
  <c r="AD15" i="10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C15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C13"/>
  <c r="B29" i="23" l="1"/>
  <c r="P29" s="1"/>
  <c r="R34" i="15" s="1"/>
  <c r="B30" i="25"/>
  <c r="E30" s="1"/>
  <c r="B8" i="23"/>
  <c r="P8" s="1"/>
  <c r="R13" i="15" s="1"/>
  <c r="B9" i="25"/>
  <c r="E9" s="1"/>
  <c r="B27" i="23"/>
  <c r="O27" s="1"/>
  <c r="Q32" i="15" s="1"/>
  <c r="B28" i="25"/>
  <c r="E28" s="1"/>
  <c r="B24" i="23"/>
  <c r="L24" s="1"/>
  <c r="N29" i="15" s="1"/>
  <c r="B25" i="25"/>
  <c r="E25" s="1"/>
  <c r="B28" i="23"/>
  <c r="M28" s="1"/>
  <c r="O33" i="15" s="1"/>
  <c r="B29" i="25"/>
  <c r="E29" s="1"/>
  <c r="B4" i="23"/>
  <c r="K4" s="1"/>
  <c r="M9" i="15" s="1"/>
  <c r="B5" i="25"/>
  <c r="E5" s="1"/>
  <c r="B12" i="23"/>
  <c r="L12" s="1"/>
  <c r="N17" i="15" s="1"/>
  <c r="B13" i="25"/>
  <c r="E13" s="1"/>
  <c r="B5" i="23"/>
  <c r="N5" s="1"/>
  <c r="P10" i="15" s="1"/>
  <c r="B6" i="25"/>
  <c r="E6" s="1"/>
  <c r="B9" i="23"/>
  <c r="O9" s="1"/>
  <c r="Q14" i="15" s="1"/>
  <c r="B10" i="25"/>
  <c r="E10" s="1"/>
  <c r="B13" i="23"/>
  <c r="P13" s="1"/>
  <c r="R18" i="15" s="1"/>
  <c r="B14" i="25"/>
  <c r="E14" s="1"/>
  <c r="B17" i="23"/>
  <c r="O17" s="1"/>
  <c r="Q22" i="15" s="1"/>
  <c r="B18" i="25"/>
  <c r="E18" s="1"/>
  <c r="B25" i="23"/>
  <c r="K25" s="1"/>
  <c r="M30" i="15" s="1"/>
  <c r="B26" i="25"/>
  <c r="E26" s="1"/>
  <c r="B16" i="23"/>
  <c r="M16" s="1"/>
  <c r="O21" i="15" s="1"/>
  <c r="B17" i="25"/>
  <c r="E17" s="1"/>
  <c r="B6" i="23"/>
  <c r="K6" s="1"/>
  <c r="M11" i="15" s="1"/>
  <c r="B7" i="25"/>
  <c r="E7" s="1"/>
  <c r="B10" i="23"/>
  <c r="O10" s="1"/>
  <c r="Q15" i="15" s="1"/>
  <c r="B11" i="25"/>
  <c r="E11" s="1"/>
  <c r="B18" i="23"/>
  <c r="K18" s="1"/>
  <c r="M23" i="15" s="1"/>
  <c r="B19" i="25"/>
  <c r="E19" s="1"/>
  <c r="B22" i="23"/>
  <c r="O22" s="1"/>
  <c r="Q27" i="15" s="1"/>
  <c r="B23" i="25"/>
  <c r="E23" s="1"/>
  <c r="B26" i="23"/>
  <c r="K26" s="1"/>
  <c r="M31" i="15" s="1"/>
  <c r="B27" i="25"/>
  <c r="E27" s="1"/>
  <c r="B30" i="23"/>
  <c r="O30" s="1"/>
  <c r="Q35" i="15" s="1"/>
  <c r="B31" i="25"/>
  <c r="E31" s="1"/>
  <c r="B7" i="23"/>
  <c r="K7" s="1"/>
  <c r="M12" i="15" s="1"/>
  <c r="B8" i="25"/>
  <c r="E8" s="1"/>
  <c r="B11" i="23"/>
  <c r="N11" s="1"/>
  <c r="P16" i="15" s="1"/>
  <c r="B12" i="25"/>
  <c r="E12" s="1"/>
  <c r="B15" i="23"/>
  <c r="K15" s="1"/>
  <c r="M20" i="15" s="1"/>
  <c r="B16" i="25"/>
  <c r="E16" s="1"/>
  <c r="B21" i="23"/>
  <c r="O21" s="1"/>
  <c r="Q26" i="15" s="1"/>
  <c r="B22" i="25"/>
  <c r="E22" s="1"/>
  <c r="B19" i="23"/>
  <c r="N19" s="1"/>
  <c r="P24" i="15" s="1"/>
  <c r="B20" i="25"/>
  <c r="E20" s="1"/>
  <c r="B23" i="23"/>
  <c r="O23" s="1"/>
  <c r="Q28" i="15" s="1"/>
  <c r="B24" i="25"/>
  <c r="E24" s="1"/>
  <c r="B20" i="23"/>
  <c r="P20" s="1"/>
  <c r="R25" i="15" s="1"/>
  <c r="B21" i="25"/>
  <c r="E21" s="1"/>
  <c r="B14" i="23"/>
  <c r="K14" s="1"/>
  <c r="M19" i="15" s="1"/>
  <c r="B15" i="25"/>
  <c r="E15" s="1"/>
  <c r="Q28" i="26"/>
  <c r="Q16"/>
  <c r="X16" s="1"/>
  <c r="D8" i="27"/>
  <c r="H8" i="15" s="1"/>
  <c r="N10" i="28" s="1"/>
  <c r="AA8" i="10"/>
  <c r="A32" i="27" s="1"/>
  <c r="T8" i="10"/>
  <c r="A25" i="27" s="1"/>
  <c r="Z8" i="10"/>
  <c r="A31" i="27" s="1"/>
  <c r="C10"/>
  <c r="K10" i="10"/>
  <c r="K11" s="1"/>
  <c r="C16" i="27" s="1"/>
  <c r="C12"/>
  <c r="P10" i="10"/>
  <c r="P11" s="1"/>
  <c r="C21" i="27" s="1"/>
  <c r="V10" i="10"/>
  <c r="V11" s="1"/>
  <c r="C27" i="27" s="1"/>
  <c r="R8" i="10"/>
  <c r="A23" i="27" s="1"/>
  <c r="L10" i="10"/>
  <c r="L11" s="1"/>
  <c r="C17" i="27" s="1"/>
  <c r="H10" i="10"/>
  <c r="H11" s="1"/>
  <c r="C13" i="27" s="1"/>
  <c r="T10" i="10"/>
  <c r="T11" s="1"/>
  <c r="C25" i="27" s="1"/>
  <c r="Z10" i="10"/>
  <c r="Z11" s="1"/>
  <c r="C31" i="27" s="1"/>
  <c r="J10" i="10"/>
  <c r="J11" s="1"/>
  <c r="C15" i="27" s="1"/>
  <c r="M8" i="10"/>
  <c r="A18" i="27" s="1"/>
  <c r="A10"/>
  <c r="Q8" i="10"/>
  <c r="A22" i="27" s="1"/>
  <c r="AB8" i="10"/>
  <c r="A33" i="27" s="1"/>
  <c r="O10" i="10"/>
  <c r="O11" s="1"/>
  <c r="U8"/>
  <c r="A26" i="27" s="1"/>
  <c r="AD8" i="10"/>
  <c r="A35" i="27" s="1"/>
  <c r="AA10" i="10"/>
  <c r="AA11" s="1"/>
  <c r="C32" i="27" s="1"/>
  <c r="L8" i="10"/>
  <c r="A17" i="27" s="1"/>
  <c r="C11"/>
  <c r="AC8" i="10"/>
  <c r="A34" i="27" s="1"/>
  <c r="K8" i="10"/>
  <c r="A16" i="27" s="1"/>
  <c r="Y8" i="10"/>
  <c r="A30" i="27" s="1"/>
  <c r="A12"/>
  <c r="S8" i="10"/>
  <c r="A24" i="27" s="1"/>
  <c r="Y10" i="10"/>
  <c r="Y11" s="1"/>
  <c r="C30" i="27" s="1"/>
  <c r="C8" i="10"/>
  <c r="D24" s="1"/>
  <c r="V8"/>
  <c r="A27" i="27" s="1"/>
  <c r="P8" i="10"/>
  <c r="A21" i="27" s="1"/>
  <c r="X8" i="10"/>
  <c r="A29" i="27" s="1"/>
  <c r="W10" i="10"/>
  <c r="W11" s="1"/>
  <c r="C28" i="27" s="1"/>
  <c r="A9"/>
  <c r="AB10" i="10"/>
  <c r="AB11" s="1"/>
  <c r="C33" i="27" s="1"/>
  <c r="Q10" i="10"/>
  <c r="Q11" s="1"/>
  <c r="C22" i="27" s="1"/>
  <c r="N10" i="10"/>
  <c r="N11" s="1"/>
  <c r="C19" i="27" s="1"/>
  <c r="I10" i="10"/>
  <c r="I11" s="1"/>
  <c r="C14" i="27" s="1"/>
  <c r="C10" i="10"/>
  <c r="H8"/>
  <c r="D29" s="1"/>
  <c r="AD10"/>
  <c r="AD11" s="1"/>
  <c r="C35" i="27" s="1"/>
  <c r="X10" i="10"/>
  <c r="X11" s="1"/>
  <c r="C29" i="27" s="1"/>
  <c r="W8" i="10"/>
  <c r="A28" i="27" s="1"/>
  <c r="M10" i="10"/>
  <c r="M11" s="1"/>
  <c r="C18" i="27" s="1"/>
  <c r="N8" i="10"/>
  <c r="A19" i="27" s="1"/>
  <c r="U10" i="10"/>
  <c r="U11" s="1"/>
  <c r="C26" i="27" s="1"/>
  <c r="R10" i="10"/>
  <c r="R11" s="1"/>
  <c r="C23" i="27" s="1"/>
  <c r="S10" i="10"/>
  <c r="S11" s="1"/>
  <c r="C24" i="27" s="1"/>
  <c r="J8" i="10"/>
  <c r="D31" s="1"/>
  <c r="A11" i="27"/>
  <c r="O8" i="10"/>
  <c r="A20" i="27" s="1"/>
  <c r="AC10" i="10"/>
  <c r="AC11" s="1"/>
  <c r="C34" i="27" s="1"/>
  <c r="C9"/>
  <c r="I8" i="10"/>
  <c r="D30" s="1"/>
  <c r="Q1"/>
  <c r="R1"/>
  <c r="A14" i="27" l="1"/>
  <c r="A15"/>
  <c r="A8"/>
  <c r="A13"/>
  <c r="C20"/>
  <c r="C20" i="15"/>
  <c r="K22" i="28" s="1"/>
  <c r="M8" i="23"/>
  <c r="O13" i="15" s="1"/>
  <c r="M24" i="23"/>
  <c r="O29" i="15" s="1"/>
  <c r="N27" i="23"/>
  <c r="P32" i="15" s="1"/>
  <c r="K17" i="23"/>
  <c r="M22" i="15" s="1"/>
  <c r="O28" i="23"/>
  <c r="Q33" i="15" s="1"/>
  <c r="O6" i="23"/>
  <c r="Q11" i="15" s="1"/>
  <c r="N24" i="23"/>
  <c r="P29" i="15" s="1"/>
  <c r="P4" i="23"/>
  <c r="R9" i="15" s="1"/>
  <c r="O13" i="23"/>
  <c r="Q18" i="15" s="1"/>
  <c r="N8" i="23"/>
  <c r="P13" i="15" s="1"/>
  <c r="M26" i="23"/>
  <c r="O31" i="15" s="1"/>
  <c r="M25" i="23"/>
  <c r="O30" i="15" s="1"/>
  <c r="P9" i="23"/>
  <c r="R14" i="15" s="1"/>
  <c r="K12" i="23"/>
  <c r="M17" i="15" s="1"/>
  <c r="K5" i="23"/>
  <c r="M10" i="15" s="1"/>
  <c r="L6" i="23"/>
  <c r="N11" i="15" s="1"/>
  <c r="L13" i="23"/>
  <c r="N18" i="15" s="1"/>
  <c r="L18" i="23"/>
  <c r="N23" i="15" s="1"/>
  <c r="P25" i="23"/>
  <c r="R30" i="15" s="1"/>
  <c r="K24" i="23"/>
  <c r="M29" i="15" s="1"/>
  <c r="O4" i="23"/>
  <c r="Q9" i="15" s="1"/>
  <c r="M22" i="23"/>
  <c r="O27" i="15" s="1"/>
  <c r="O18" i="23"/>
  <c r="Q23" i="15" s="1"/>
  <c r="L26" i="23"/>
  <c r="N31" i="15" s="1"/>
  <c r="M10" i="23"/>
  <c r="O15" i="15" s="1"/>
  <c r="N22" i="23"/>
  <c r="P27" i="15" s="1"/>
  <c r="N10" i="23"/>
  <c r="P15" i="15" s="1"/>
  <c r="N7" i="23"/>
  <c r="P12" i="15" s="1"/>
  <c r="N15" i="23"/>
  <c r="P20" i="15" s="1"/>
  <c r="N30" i="23"/>
  <c r="P35" i="15" s="1"/>
  <c r="M11" i="23"/>
  <c r="O16" i="15" s="1"/>
  <c r="P19" i="23"/>
  <c r="R24" i="15" s="1"/>
  <c r="L23" i="23"/>
  <c r="N28" i="15" s="1"/>
  <c r="P11" i="23"/>
  <c r="R16" i="15" s="1"/>
  <c r="M30" i="23"/>
  <c r="O35" i="15" s="1"/>
  <c r="O15" i="23"/>
  <c r="Q20" i="15" s="1"/>
  <c r="O7" i="23"/>
  <c r="Q12" i="15" s="1"/>
  <c r="M21" i="23"/>
  <c r="O26" i="15" s="1"/>
  <c r="L29" i="23"/>
  <c r="N34" i="15" s="1"/>
  <c r="O29" i="23"/>
  <c r="Q34" i="15" s="1"/>
  <c r="P27" i="23"/>
  <c r="R32" i="15" s="1"/>
  <c r="M27" i="23"/>
  <c r="O32" i="15" s="1"/>
  <c r="N23" i="23"/>
  <c r="P28" i="15" s="1"/>
  <c r="L19" i="23"/>
  <c r="N24" i="15" s="1"/>
  <c r="L11" i="23"/>
  <c r="N16" i="15" s="1"/>
  <c r="K11" i="23"/>
  <c r="M16" i="15" s="1"/>
  <c r="P30" i="23"/>
  <c r="R35" i="15" s="1"/>
  <c r="K30" i="23"/>
  <c r="M35" i="15" s="1"/>
  <c r="P22" i="23"/>
  <c r="R27" i="15" s="1"/>
  <c r="K22" i="23"/>
  <c r="M27" i="15" s="1"/>
  <c r="P10" i="23"/>
  <c r="R15" i="15" s="1"/>
  <c r="K10" i="23"/>
  <c r="M15" i="15" s="1"/>
  <c r="N29" i="23"/>
  <c r="P34" i="15" s="1"/>
  <c r="K29" i="23"/>
  <c r="M34" i="15" s="1"/>
  <c r="M17" i="23"/>
  <c r="O22" i="15" s="1"/>
  <c r="L9" i="23"/>
  <c r="N14" i="15" s="1"/>
  <c r="P28" i="23"/>
  <c r="R33" i="15" s="1"/>
  <c r="L27" i="23"/>
  <c r="N32" i="15" s="1"/>
  <c r="K27" i="23"/>
  <c r="M32" i="15" s="1"/>
  <c r="M23" i="23"/>
  <c r="O28" i="15" s="1"/>
  <c r="O11" i="23"/>
  <c r="Q16" i="15" s="1"/>
  <c r="L30" i="23"/>
  <c r="N35" i="15" s="1"/>
  <c r="L22" i="23"/>
  <c r="N27" i="15" s="1"/>
  <c r="L10" i="23"/>
  <c r="N15" i="15" s="1"/>
  <c r="M29" i="23"/>
  <c r="O34" i="15" s="1"/>
  <c r="P17" i="23"/>
  <c r="R22" i="15" s="1"/>
  <c r="K9" i="23"/>
  <c r="M14" i="15" s="1"/>
  <c r="L28" i="23"/>
  <c r="N33" i="15" s="1"/>
  <c r="P23" i="23"/>
  <c r="R28" i="15" s="1"/>
  <c r="K23" i="23"/>
  <c r="M28" i="15" s="1"/>
  <c r="L17" i="23"/>
  <c r="N22" i="15" s="1"/>
  <c r="M9" i="23"/>
  <c r="O14" i="15" s="1"/>
  <c r="N28" i="23"/>
  <c r="P33" i="15" s="1"/>
  <c r="K28" i="23"/>
  <c r="M33" i="15" s="1"/>
  <c r="N12" i="23"/>
  <c r="P17" i="15" s="1"/>
  <c r="M19" i="23"/>
  <c r="O24" i="15" s="1"/>
  <c r="P24" i="23"/>
  <c r="R29" i="15" s="1"/>
  <c r="L8" i="23"/>
  <c r="N13" i="15" s="1"/>
  <c r="L4" i="23"/>
  <c r="N9" i="15" s="1"/>
  <c r="K19" i="23"/>
  <c r="M24" i="15" s="1"/>
  <c r="N13" i="23"/>
  <c r="P18" i="15" s="1"/>
  <c r="O24" i="23"/>
  <c r="Q29" i="15" s="1"/>
  <c r="O8" i="23"/>
  <c r="Q13" i="15" s="1"/>
  <c r="K8" i="23"/>
  <c r="M13" i="15" s="1"/>
  <c r="O5" i="23"/>
  <c r="Q10" i="15" s="1"/>
  <c r="M4" i="23"/>
  <c r="O9" i="15" s="1"/>
  <c r="P5" i="23"/>
  <c r="R10" i="15" s="1"/>
  <c r="M5" i="23"/>
  <c r="O10" i="15" s="1"/>
  <c r="O19" i="23"/>
  <c r="Q24" i="15" s="1"/>
  <c r="P15" i="23"/>
  <c r="R20" i="15" s="1"/>
  <c r="M15" i="23"/>
  <c r="O20" i="15" s="1"/>
  <c r="P7" i="23"/>
  <c r="R12" i="15" s="1"/>
  <c r="M7" i="23"/>
  <c r="O12" i="15" s="1"/>
  <c r="P26" i="23"/>
  <c r="R31" i="15" s="1"/>
  <c r="N26" i="23"/>
  <c r="P31" i="15" s="1"/>
  <c r="M18" i="23"/>
  <c r="O23" i="15" s="1"/>
  <c r="N18" i="23"/>
  <c r="P23" i="15" s="1"/>
  <c r="M6" i="23"/>
  <c r="O11" i="15" s="1"/>
  <c r="N6" i="23"/>
  <c r="P11" i="15" s="1"/>
  <c r="L25" i="23"/>
  <c r="N30" i="15" s="1"/>
  <c r="O25" i="23"/>
  <c r="Q30" i="15" s="1"/>
  <c r="M13" i="23"/>
  <c r="O18" i="15" s="1"/>
  <c r="K13" i="23"/>
  <c r="M18" i="15" s="1"/>
  <c r="L15" i="23"/>
  <c r="N20" i="15" s="1"/>
  <c r="L7" i="23"/>
  <c r="N12" i="15" s="1"/>
  <c r="O26" i="23"/>
  <c r="Q31" i="15" s="1"/>
  <c r="P18" i="23"/>
  <c r="R23" i="15" s="1"/>
  <c r="P6" i="23"/>
  <c r="R11" i="15" s="1"/>
  <c r="N25" i="23"/>
  <c r="P30" i="15" s="1"/>
  <c r="P16" i="23"/>
  <c r="R21" i="15" s="1"/>
  <c r="O16" i="23"/>
  <c r="Q21" i="15" s="1"/>
  <c r="L16" i="23"/>
  <c r="N21" i="15" s="1"/>
  <c r="M12" i="23"/>
  <c r="O17" i="15" s="1"/>
  <c r="P21" i="23"/>
  <c r="R26" i="15" s="1"/>
  <c r="N16" i="23"/>
  <c r="P21" i="15" s="1"/>
  <c r="K16" i="23"/>
  <c r="M21" i="15" s="1"/>
  <c r="P12" i="23"/>
  <c r="R17" i="15" s="1"/>
  <c r="N17" i="23"/>
  <c r="P22" i="15" s="1"/>
  <c r="N9" i="23"/>
  <c r="P14" i="15" s="1"/>
  <c r="O12" i="23"/>
  <c r="Q17" i="15" s="1"/>
  <c r="M20" i="23"/>
  <c r="O25" i="15" s="1"/>
  <c r="L5" i="23"/>
  <c r="N10" i="15" s="1"/>
  <c r="L20" i="23"/>
  <c r="N25" i="15" s="1"/>
  <c r="O20" i="23"/>
  <c r="Q25" i="15" s="1"/>
  <c r="K20" i="23"/>
  <c r="M25" i="15" s="1"/>
  <c r="N4" i="23"/>
  <c r="P9" i="15" s="1"/>
  <c r="N20" i="23"/>
  <c r="P25" i="15" s="1"/>
  <c r="L14" i="23"/>
  <c r="N19" i="15" s="1"/>
  <c r="L21" i="23"/>
  <c r="N26" i="15" s="1"/>
  <c r="O14" i="23"/>
  <c r="Q19" i="15" s="1"/>
  <c r="K21" i="23"/>
  <c r="M26" i="15" s="1"/>
  <c r="M14" i="23"/>
  <c r="O19" i="15" s="1"/>
  <c r="N14" i="23"/>
  <c r="P19" i="15" s="1"/>
  <c r="P14" i="23"/>
  <c r="R19" i="15" s="1"/>
  <c r="N21" i="23"/>
  <c r="P26" i="15" s="1"/>
  <c r="D10" i="26"/>
  <c r="K10" s="1"/>
  <c r="Q24"/>
  <c r="D30"/>
  <c r="K30" s="1"/>
  <c r="Q40"/>
  <c r="D21" i="27"/>
  <c r="H21" i="15" s="1"/>
  <c r="N23" i="28" s="1"/>
  <c r="D33" i="27"/>
  <c r="H33" i="15" s="1"/>
  <c r="N35" i="28" s="1"/>
  <c r="A15" i="15"/>
  <c r="A12"/>
  <c r="A30"/>
  <c r="C13"/>
  <c r="K15" i="28" s="1"/>
  <c r="A13" i="15"/>
  <c r="C30"/>
  <c r="K32" i="28" s="1"/>
  <c r="C12" i="15"/>
  <c r="K14" i="28" s="1"/>
  <c r="C11" i="15"/>
  <c r="K13" i="28" s="1"/>
  <c r="A11" i="15"/>
  <c r="A20"/>
  <c r="A28"/>
  <c r="A21"/>
  <c r="A34"/>
  <c r="C31"/>
  <c r="K33" i="28" s="1"/>
  <c r="A23" i="15"/>
  <c r="C16"/>
  <c r="K18" i="28" s="1"/>
  <c r="A32" i="15"/>
  <c r="A14"/>
  <c r="C26"/>
  <c r="K28" i="28" s="1"/>
  <c r="C29" i="15"/>
  <c r="K31" i="28" s="1"/>
  <c r="C14" i="15"/>
  <c r="K16" i="28" s="1"/>
  <c r="A9" i="15"/>
  <c r="A27"/>
  <c r="A26"/>
  <c r="A10"/>
  <c r="C25"/>
  <c r="K27" i="28" s="1"/>
  <c r="C27" i="15"/>
  <c r="K29" i="28" s="1"/>
  <c r="C10" i="15"/>
  <c r="K12" i="28" s="1"/>
  <c r="C23" i="15"/>
  <c r="K25" i="28" s="1"/>
  <c r="C33" i="15"/>
  <c r="K35" i="28" s="1"/>
  <c r="A24" i="15"/>
  <c r="A35"/>
  <c r="A22"/>
  <c r="C9"/>
  <c r="K11" i="28" s="1"/>
  <c r="A19" i="15"/>
  <c r="C35"/>
  <c r="C19"/>
  <c r="K21" i="28" s="1"/>
  <c r="C28" i="15"/>
  <c r="K30" i="28" s="1"/>
  <c r="A8" i="15"/>
  <c r="A17"/>
  <c r="A18"/>
  <c r="C21"/>
  <c r="K23" i="28" s="1"/>
  <c r="A31" i="15"/>
  <c r="C34"/>
  <c r="K36" i="28" s="1"/>
  <c r="C24" i="15"/>
  <c r="K26" i="28" s="1"/>
  <c r="C18" i="15"/>
  <c r="K20" i="28" s="1"/>
  <c r="C22" i="15"/>
  <c r="K24" i="28" s="1"/>
  <c r="A29" i="15"/>
  <c r="A16"/>
  <c r="C32"/>
  <c r="K34" i="28" s="1"/>
  <c r="A33" i="15"/>
  <c r="C15"/>
  <c r="K17" i="28" s="1"/>
  <c r="C17" i="15"/>
  <c r="K19" i="28" s="1"/>
  <c r="A25" i="15"/>
  <c r="AC14" i="10"/>
  <c r="AL34" i="15" s="1"/>
  <c r="S14" i="10"/>
  <c r="AL24" i="15" s="1"/>
  <c r="U14" i="10"/>
  <c r="AL26" i="15" s="1"/>
  <c r="M14" i="10"/>
  <c r="AL18" i="15" s="1"/>
  <c r="X14" i="10"/>
  <c r="AL29" i="15" s="1"/>
  <c r="I14" i="10"/>
  <c r="AL14" i="15" s="1"/>
  <c r="Q14" i="10"/>
  <c r="AL22" i="15" s="1"/>
  <c r="Y14" i="10"/>
  <c r="AL30" i="15" s="1"/>
  <c r="AL11"/>
  <c r="AA14" i="10"/>
  <c r="AL32" i="15" s="1"/>
  <c r="J14" i="10"/>
  <c r="AL15" i="15" s="1"/>
  <c r="T14" i="10"/>
  <c r="AL25" i="15" s="1"/>
  <c r="L14" i="10"/>
  <c r="AL17" i="15" s="1"/>
  <c r="V14" i="10"/>
  <c r="AL27" i="15" s="1"/>
  <c r="AL12"/>
  <c r="AL10"/>
  <c r="AL9"/>
  <c r="R14" i="10"/>
  <c r="AL23" i="15" s="1"/>
  <c r="AD14" i="10"/>
  <c r="N14"/>
  <c r="AL19" i="15" s="1"/>
  <c r="AB14" i="10"/>
  <c r="AL33" i="15" s="1"/>
  <c r="W14" i="10"/>
  <c r="AL28" i="15" s="1"/>
  <c r="O14" i="10"/>
  <c r="AL20" i="15" s="1"/>
  <c r="Z14" i="10"/>
  <c r="AL31" i="15" s="1"/>
  <c r="H14" i="10"/>
  <c r="AL13" i="15" s="1"/>
  <c r="P14" i="10"/>
  <c r="AL21" i="15" s="1"/>
  <c r="K14" i="10"/>
  <c r="C11"/>
  <c r="D46"/>
  <c r="D34"/>
  <c r="D45"/>
  <c r="D43"/>
  <c r="D32"/>
  <c r="D42"/>
  <c r="D49"/>
  <c r="D41"/>
  <c r="D36"/>
  <c r="D35"/>
  <c r="D44"/>
  <c r="D37"/>
  <c r="D40"/>
  <c r="D50"/>
  <c r="D33"/>
  <c r="D51"/>
  <c r="D38"/>
  <c r="D39"/>
  <c r="D47"/>
  <c r="D48"/>
  <c r="E19" l="1"/>
  <c r="AL16" i="15"/>
  <c r="AL35"/>
  <c r="D18" i="26"/>
  <c r="K18" s="1"/>
  <c r="Q27"/>
  <c r="D6"/>
  <c r="K6" s="1"/>
  <c r="D8"/>
  <c r="K8" s="1"/>
  <c r="D4"/>
  <c r="K4" s="1"/>
  <c r="D34"/>
  <c r="K34" s="1"/>
  <c r="Q19"/>
  <c r="X19" s="1"/>
  <c r="D38"/>
  <c r="K38" s="1"/>
  <c r="D39"/>
  <c r="K39" s="1"/>
  <c r="D13" i="27"/>
  <c r="H13" i="15" s="1"/>
  <c r="N15" i="28" s="1"/>
  <c r="D25" i="26"/>
  <c r="K25" s="1"/>
  <c r="D17"/>
  <c r="K17" s="1"/>
  <c r="Q20"/>
  <c r="X20" s="1"/>
  <c r="Q17"/>
  <c r="X17" s="1"/>
  <c r="Q15"/>
  <c r="X15" s="1"/>
  <c r="Q26"/>
  <c r="D40"/>
  <c r="K40" s="1"/>
  <c r="Q4"/>
  <c r="X4" s="1"/>
  <c r="D7"/>
  <c r="K7" s="1"/>
  <c r="D36"/>
  <c r="K36" s="1"/>
  <c r="Q39"/>
  <c r="Q36"/>
  <c r="D5"/>
  <c r="K5" s="1"/>
  <c r="D29" i="27"/>
  <c r="H29" i="15" s="1"/>
  <c r="N31" i="28" s="1"/>
  <c r="Q25" i="26"/>
  <c r="Q37"/>
  <c r="D31" i="27"/>
  <c r="H31" i="15" s="1"/>
  <c r="N33" i="28" s="1"/>
  <c r="D18" i="27"/>
  <c r="H18" i="15" s="1"/>
  <c r="N20" i="28" s="1"/>
  <c r="Q29" i="26"/>
  <c r="D20"/>
  <c r="K20" s="1"/>
  <c r="D15"/>
  <c r="K15" s="1"/>
  <c r="Q35"/>
  <c r="D30" i="27"/>
  <c r="H30" i="15" s="1"/>
  <c r="N32" i="28" s="1"/>
  <c r="D16" i="26"/>
  <c r="K16" s="1"/>
  <c r="D27" i="27"/>
  <c r="H27" i="15" s="1"/>
  <c r="N29" i="28" s="1"/>
  <c r="D29" i="26"/>
  <c r="K29" s="1"/>
  <c r="D35" i="27"/>
  <c r="H35" i="15" s="1"/>
  <c r="D9" i="26"/>
  <c r="K9" s="1"/>
  <c r="D16" i="27"/>
  <c r="H16" i="15" s="1"/>
  <c r="N18" i="28" s="1"/>
  <c r="Q5" i="26"/>
  <c r="X5" s="1"/>
  <c r="D15" i="27"/>
  <c r="H15" i="15" s="1"/>
  <c r="N17" i="28" s="1"/>
  <c r="D26" i="27"/>
  <c r="H26" i="15" s="1"/>
  <c r="N28" i="28" s="1"/>
  <c r="Q9" i="26"/>
  <c r="X9" s="1"/>
  <c r="D32" i="27"/>
  <c r="H32" i="15" s="1"/>
  <c r="N34" i="28" s="1"/>
  <c r="Q34" i="26"/>
  <c r="D34" i="27"/>
  <c r="H34" i="15" s="1"/>
  <c r="N36" i="28" s="1"/>
  <c r="D19" i="26"/>
  <c r="K19" s="1"/>
  <c r="D22" i="27"/>
  <c r="H22" i="15" s="1"/>
  <c r="N24" i="28" s="1"/>
  <c r="D24" i="26"/>
  <c r="K24" s="1"/>
  <c r="D37"/>
  <c r="K37" s="1"/>
  <c r="D14" i="27"/>
  <c r="H14" i="15" s="1"/>
  <c r="N16" i="28" s="1"/>
  <c r="Q30" i="26"/>
  <c r="D28" i="27"/>
  <c r="H28" i="15" s="1"/>
  <c r="N30" i="28" s="1"/>
  <c r="D23" i="27"/>
  <c r="H23" i="15" s="1"/>
  <c r="N25" i="28" s="1"/>
  <c r="D10" i="27"/>
  <c r="H10" i="15" s="1"/>
  <c r="N12" i="28" s="1"/>
  <c r="D17" i="27"/>
  <c r="H17" i="15" s="1"/>
  <c r="N19" i="28" s="1"/>
  <c r="D24" i="27"/>
  <c r="H24" i="15" s="1"/>
  <c r="N26" i="28" s="1"/>
  <c r="Q7" i="26"/>
  <c r="X7" s="1"/>
  <c r="Q6"/>
  <c r="X6" s="1"/>
  <c r="D35"/>
  <c r="K35" s="1"/>
  <c r="D20" i="27"/>
  <c r="H20" i="15" s="1"/>
  <c r="N22" i="28" s="1"/>
  <c r="D26" i="26"/>
  <c r="K26" s="1"/>
  <c r="Q18"/>
  <c r="X18" s="1"/>
  <c r="D14"/>
  <c r="K14" s="1"/>
  <c r="D11" i="27"/>
  <c r="H11" i="15" s="1"/>
  <c r="N13" i="28" s="1"/>
  <c r="D27" i="26"/>
  <c r="K27" s="1"/>
  <c r="Q38"/>
  <c r="D9" i="27"/>
  <c r="H9" i="15" s="1"/>
  <c r="N11" i="28" s="1"/>
  <c r="D28" i="26"/>
  <c r="K28" s="1"/>
  <c r="D12" i="27"/>
  <c r="H12" i="15" s="1"/>
  <c r="N14" i="28" s="1"/>
  <c r="D25" i="27"/>
  <c r="H25" i="15" s="1"/>
  <c r="N27" i="28" s="1"/>
  <c r="Q14" i="26"/>
  <c r="Q8"/>
  <c r="X8" s="1"/>
  <c r="D19" i="27"/>
  <c r="H19" i="15" s="1"/>
  <c r="N21" i="28" s="1"/>
  <c r="N57" i="15"/>
  <c r="Q10" i="26"/>
  <c r="X10" s="1"/>
  <c r="N56" i="15"/>
  <c r="C8"/>
  <c r="C8" i="27"/>
  <c r="L16" i="10"/>
  <c r="AM17" i="15" s="1"/>
  <c r="Q16" i="10"/>
  <c r="H16"/>
  <c r="O16"/>
  <c r="AM20" i="15" s="1"/>
  <c r="AB16" i="10"/>
  <c r="AM33" i="15" s="1"/>
  <c r="AD16" i="10"/>
  <c r="AM35" i="15" s="1"/>
  <c r="U16" i="10"/>
  <c r="V16"/>
  <c r="AM27" i="15" s="1"/>
  <c r="T16" i="10"/>
  <c r="AM25" i="15" s="1"/>
  <c r="AA16" i="10"/>
  <c r="AM32" i="15" s="1"/>
  <c r="Y16" i="10"/>
  <c r="AM30" i="15" s="1"/>
  <c r="I16" i="10"/>
  <c r="AM14" i="15" s="1"/>
  <c r="M16" i="10"/>
  <c r="AM18" i="15" s="1"/>
  <c r="S16" i="10"/>
  <c r="AM24" i="15" s="1"/>
  <c r="J16" i="10"/>
  <c r="AM15" i="15" s="1"/>
  <c r="AM11"/>
  <c r="X16" i="10"/>
  <c r="AM29" i="15" s="1"/>
  <c r="AC16" i="10"/>
  <c r="AM34" i="15" s="1"/>
  <c r="P16" i="10"/>
  <c r="AM21" i="15" s="1"/>
  <c r="Z16" i="10"/>
  <c r="AM31" i="15" s="1"/>
  <c r="W16" i="10"/>
  <c r="AM28" i="15" s="1"/>
  <c r="N16" i="10"/>
  <c r="F19" s="1"/>
  <c r="R16"/>
  <c r="AM23" i="15" s="1"/>
  <c r="C14" i="10"/>
  <c r="AM9" i="15"/>
  <c r="K16" i="10"/>
  <c r="AM16" i="15" s="1"/>
  <c r="Q26" i="10"/>
  <c r="D19" l="1"/>
  <c r="G28" s="1"/>
  <c r="G19"/>
  <c r="AM22" i="15"/>
  <c r="AM19"/>
  <c r="AL8"/>
  <c r="AL37" s="1"/>
  <c r="M49" s="1"/>
  <c r="AM13"/>
  <c r="O34" i="10"/>
  <c r="AM10" i="15"/>
  <c r="AM26"/>
  <c r="K19" i="10"/>
  <c r="N34"/>
  <c r="K10" i="28"/>
  <c r="X6" i="21"/>
  <c r="V9" i="28"/>
  <c r="F38" i="10"/>
  <c r="D11" i="26"/>
  <c r="D41"/>
  <c r="D21"/>
  <c r="Q21"/>
  <c r="X14"/>
  <c r="D31"/>
  <c r="Q11"/>
  <c r="N58" i="15"/>
  <c r="Q52"/>
  <c r="Q53"/>
  <c r="P52"/>
  <c r="P53"/>
  <c r="D12"/>
  <c r="L14" i="28" s="1"/>
  <c r="AM12" i="15"/>
  <c r="C44"/>
  <c r="B26" i="20"/>
  <c r="B28" s="1"/>
  <c r="L3" i="14"/>
  <c r="Q3" i="15"/>
  <c r="D31"/>
  <c r="L33" i="28" s="1"/>
  <c r="D16" i="15"/>
  <c r="L18" i="28" s="1"/>
  <c r="D30" i="15"/>
  <c r="L32" i="28" s="1"/>
  <c r="D32" i="15"/>
  <c r="L34" i="28" s="1"/>
  <c r="D29" i="15"/>
  <c r="L31" i="28" s="1"/>
  <c r="D13" i="15"/>
  <c r="L15" i="28" s="1"/>
  <c r="D9" i="15"/>
  <c r="L11" i="28" s="1"/>
  <c r="D11" i="15"/>
  <c r="L13" i="28" s="1"/>
  <c r="D18" i="15"/>
  <c r="L20" i="28" s="1"/>
  <c r="D27" i="15"/>
  <c r="L29" i="28" s="1"/>
  <c r="D35" i="15"/>
  <c r="D34"/>
  <c r="L36" i="28" s="1"/>
  <c r="D15" i="15"/>
  <c r="L17" i="28" s="1"/>
  <c r="D19" i="15"/>
  <c r="L21" i="28" s="1"/>
  <c r="D14" i="15"/>
  <c r="L16" i="28" s="1"/>
  <c r="D10" i="15"/>
  <c r="L12" i="28" s="1"/>
  <c r="D33" i="15"/>
  <c r="L35" i="28" s="1"/>
  <c r="D26" i="15"/>
  <c r="L28" i="28" s="1"/>
  <c r="D17" i="15"/>
  <c r="L19" i="28" s="1"/>
  <c r="D28" i="15"/>
  <c r="L30" i="28" s="1"/>
  <c r="D24" i="15"/>
  <c r="L26" i="28" s="1"/>
  <c r="D25" i="15"/>
  <c r="L27" i="28" s="1"/>
  <c r="D20" i="15"/>
  <c r="L22" i="28" s="1"/>
  <c r="D22" i="15"/>
  <c r="L24" i="28" s="1"/>
  <c r="D23" i="15"/>
  <c r="L25" i="28" s="1"/>
  <c r="D21" i="15"/>
  <c r="L23" i="28" s="1"/>
  <c r="N28" i="10"/>
  <c r="P26"/>
  <c r="O26"/>
  <c r="O28"/>
  <c r="S26"/>
  <c r="X9" i="28" s="1"/>
  <c r="S28" i="10"/>
  <c r="P28"/>
  <c r="N26"/>
  <c r="J19"/>
  <c r="G27" s="1"/>
  <c r="U26"/>
  <c r="Z9" i="28" s="1"/>
  <c r="U28" i="10"/>
  <c r="C16"/>
  <c r="G20" s="1"/>
  <c r="F35"/>
  <c r="F33"/>
  <c r="F37"/>
  <c r="F32"/>
  <c r="F34"/>
  <c r="F36"/>
  <c r="Q28"/>
  <c r="R26"/>
  <c r="I19"/>
  <c r="D20" l="1"/>
  <c r="E20"/>
  <c r="F26"/>
  <c r="F27"/>
  <c r="F28"/>
  <c r="F24"/>
  <c r="F25"/>
  <c r="G31"/>
  <c r="H17" i="28" s="1"/>
  <c r="G30" i="10"/>
  <c r="H16" i="28" s="1"/>
  <c r="G26" i="10"/>
  <c r="H12" i="28" s="1"/>
  <c r="F31" i="10"/>
  <c r="G29"/>
  <c r="H15" i="28" s="1"/>
  <c r="G25" i="10"/>
  <c r="H11" i="28" s="1"/>
  <c r="V3" i="14"/>
  <c r="V40" i="28" s="1"/>
  <c r="W3" i="14"/>
  <c r="V39" i="28" s="1"/>
  <c r="S3" i="14"/>
  <c r="V43" i="28" s="1"/>
  <c r="U3" i="14"/>
  <c r="V41" i="28" s="1"/>
  <c r="T3" i="14"/>
  <c r="F6" i="21"/>
  <c r="W9" i="28"/>
  <c r="L22" i="21"/>
  <c r="T9" i="28"/>
  <c r="F22" i="21"/>
  <c r="U9" i="28"/>
  <c r="R6" i="21"/>
  <c r="X22"/>
  <c r="S9" i="28"/>
  <c r="F47" i="10"/>
  <c r="G33" i="28" s="1"/>
  <c r="F43" i="10"/>
  <c r="G47"/>
  <c r="H33" i="28" s="1"/>
  <c r="D8" i="15"/>
  <c r="L10" i="28" s="1"/>
  <c r="AM8" i="15"/>
  <c r="AM37" s="1"/>
  <c r="AN37" s="1"/>
  <c r="S3"/>
  <c r="R22" i="21"/>
  <c r="N48" i="15"/>
  <c r="M48"/>
  <c r="T2" i="20"/>
  <c r="V2" s="1"/>
  <c r="B11"/>
  <c r="E2" s="1"/>
  <c r="G2" s="1"/>
  <c r="B21"/>
  <c r="O2" s="1"/>
  <c r="Q2" s="1"/>
  <c r="B46"/>
  <c r="T14" s="1"/>
  <c r="V14" s="1"/>
  <c r="B36"/>
  <c r="B38" s="1"/>
  <c r="B31"/>
  <c r="E14" s="1"/>
  <c r="G14" s="1"/>
  <c r="B41"/>
  <c r="B43" s="1"/>
  <c r="L2" i="14"/>
  <c r="L7"/>
  <c r="W7" s="1"/>
  <c r="W39" i="28" s="1"/>
  <c r="L6" i="14"/>
  <c r="L5"/>
  <c r="W5" s="1"/>
  <c r="T39" i="28" s="1"/>
  <c r="L4" i="14"/>
  <c r="W4" s="1"/>
  <c r="U39" i="28" s="1"/>
  <c r="L9" i="14"/>
  <c r="W9" s="1"/>
  <c r="X39" i="28" s="1"/>
  <c r="B2" i="14"/>
  <c r="R3" i="15"/>
  <c r="Q5"/>
  <c r="U5"/>
  <c r="U3"/>
  <c r="N3"/>
  <c r="P5"/>
  <c r="N5"/>
  <c r="S5"/>
  <c r="F51" i="10"/>
  <c r="G37" i="28" s="1"/>
  <c r="B5" i="14"/>
  <c r="O5" i="15"/>
  <c r="O3"/>
  <c r="P3"/>
  <c r="B6" i="14"/>
  <c r="B4"/>
  <c r="B3"/>
  <c r="B9"/>
  <c r="F39" i="10"/>
  <c r="F44"/>
  <c r="F42"/>
  <c r="G35"/>
  <c r="H21" i="28" s="1"/>
  <c r="F41" i="10"/>
  <c r="F40"/>
  <c r="F46"/>
  <c r="G32" i="28" s="1"/>
  <c r="F45" i="10"/>
  <c r="H13" i="28"/>
  <c r="G37" i="10"/>
  <c r="H23" i="28" s="1"/>
  <c r="G43" i="10"/>
  <c r="H29" i="28" s="1"/>
  <c r="F48" i="10"/>
  <c r="G34" i="28" s="1"/>
  <c r="F49" i="10"/>
  <c r="G35" i="28" s="1"/>
  <c r="G36" i="10"/>
  <c r="H22" i="28" s="1"/>
  <c r="G42" i="10"/>
  <c r="H28" i="28" s="1"/>
  <c r="G51" i="10"/>
  <c r="G44"/>
  <c r="H30" i="28" s="1"/>
  <c r="F50" i="10"/>
  <c r="G36" i="28" s="1"/>
  <c r="G48" i="10"/>
  <c r="H34" i="28" s="1"/>
  <c r="H14"/>
  <c r="G38" i="10"/>
  <c r="H24" i="28" s="1"/>
  <c r="G34" i="10"/>
  <c r="H20" i="28" s="1"/>
  <c r="G46" i="10"/>
  <c r="H32" i="28" s="1"/>
  <c r="G50" i="10"/>
  <c r="H36" i="28" s="1"/>
  <c r="G41" i="10"/>
  <c r="H27" i="28" s="1"/>
  <c r="G39" i="10"/>
  <c r="H25" i="28" s="1"/>
  <c r="K20" i="10"/>
  <c r="T28"/>
  <c r="I20"/>
  <c r="H19"/>
  <c r="H20"/>
  <c r="T26"/>
  <c r="Y9" i="28" s="1"/>
  <c r="R28" i="10"/>
  <c r="G32"/>
  <c r="H18" i="28" s="1"/>
  <c r="F30" i="10" l="1"/>
  <c r="G24"/>
  <c r="H10" i="28" s="1"/>
  <c r="F29" i="10"/>
  <c r="V13" i="28"/>
  <c r="V42"/>
  <c r="V6" i="14"/>
  <c r="Z40" i="28" s="1"/>
  <c r="W6" i="14"/>
  <c r="Z39" i="28" s="1"/>
  <c r="V2" i="14"/>
  <c r="S40" i="28" s="1"/>
  <c r="W2" i="14"/>
  <c r="S39" i="28" s="1"/>
  <c r="U9" i="14"/>
  <c r="X41" i="28" s="1"/>
  <c r="V9" i="14"/>
  <c r="X40" i="28" s="1"/>
  <c r="U5" i="14"/>
  <c r="T41" i="28" s="1"/>
  <c r="V5" i="14"/>
  <c r="T40" i="28" s="1"/>
  <c r="U7" i="14"/>
  <c r="W41" i="28" s="1"/>
  <c r="V7" i="14"/>
  <c r="W40" i="28" s="1"/>
  <c r="U4" i="14"/>
  <c r="U41" i="28" s="1"/>
  <c r="V4" i="14"/>
  <c r="U40" i="28" s="1"/>
  <c r="S6" i="14"/>
  <c r="Z43" i="28" s="1"/>
  <c r="U6" i="14"/>
  <c r="Z41" i="28" s="1"/>
  <c r="S2" i="14"/>
  <c r="S43" i="28" s="1"/>
  <c r="U2" i="14"/>
  <c r="S41" i="28" s="1"/>
  <c r="T9" i="14"/>
  <c r="S9"/>
  <c r="X43" i="28" s="1"/>
  <c r="T5" i="14"/>
  <c r="S5"/>
  <c r="T43" i="28" s="1"/>
  <c r="T7" i="14"/>
  <c r="S7"/>
  <c r="W43" i="28" s="1"/>
  <c r="T4" i="14"/>
  <c r="S4"/>
  <c r="U43" i="28" s="1"/>
  <c r="T6" i="14"/>
  <c r="T2"/>
  <c r="L6" i="21"/>
  <c r="H47" i="10"/>
  <c r="J33" i="28" s="1"/>
  <c r="G45" i="10"/>
  <c r="L10" i="15"/>
  <c r="L14"/>
  <c r="L20"/>
  <c r="L26"/>
  <c r="L15"/>
  <c r="L31"/>
  <c r="L35"/>
  <c r="L12"/>
  <c r="L22"/>
  <c r="L28"/>
  <c r="L32"/>
  <c r="K33"/>
  <c r="K35"/>
  <c r="K34"/>
  <c r="K15"/>
  <c r="L18"/>
  <c r="L30"/>
  <c r="L34"/>
  <c r="L9"/>
  <c r="L13"/>
  <c r="L25"/>
  <c r="K29"/>
  <c r="K31"/>
  <c r="L11"/>
  <c r="L21"/>
  <c r="L27"/>
  <c r="K30"/>
  <c r="K32"/>
  <c r="K23"/>
  <c r="K25"/>
  <c r="K27"/>
  <c r="L19"/>
  <c r="K24"/>
  <c r="K26"/>
  <c r="K28"/>
  <c r="K17"/>
  <c r="K19"/>
  <c r="K21"/>
  <c r="K16"/>
  <c r="K18"/>
  <c r="K20"/>
  <c r="K22"/>
  <c r="O57"/>
  <c r="Q50"/>
  <c r="P50"/>
  <c r="P49"/>
  <c r="Q49"/>
  <c r="D44"/>
  <c r="B13" i="20"/>
  <c r="B23"/>
  <c r="B33"/>
  <c r="B48"/>
  <c r="J14"/>
  <c r="L14" s="1"/>
  <c r="O14"/>
  <c r="Q14" s="1"/>
  <c r="B16"/>
  <c r="L8" i="14"/>
  <c r="F3"/>
  <c r="J3" s="1"/>
  <c r="F4"/>
  <c r="J4" s="1"/>
  <c r="F6"/>
  <c r="J6" s="1"/>
  <c r="F5"/>
  <c r="J5" s="1"/>
  <c r="F9"/>
  <c r="R5" i="15"/>
  <c r="T3"/>
  <c r="T5"/>
  <c r="F2" i="14"/>
  <c r="J2" s="1"/>
  <c r="Q32" i="10"/>
  <c r="R32"/>
  <c r="H31"/>
  <c r="J17" i="28" s="1"/>
  <c r="H38" i="10"/>
  <c r="J24" i="28" s="1"/>
  <c r="B7" i="14"/>
  <c r="B8"/>
  <c r="H44" i="10"/>
  <c r="J30" i="28" s="1"/>
  <c r="H35" i="10"/>
  <c r="J21" i="28" s="1"/>
  <c r="H43" i="10"/>
  <c r="J29" i="28" s="1"/>
  <c r="H37" i="10"/>
  <c r="J23" i="28" s="1"/>
  <c r="H48" i="10"/>
  <c r="J34" i="28" s="1"/>
  <c r="H36" i="10"/>
  <c r="J22" i="28" s="1"/>
  <c r="H42" i="10"/>
  <c r="J28" i="28" s="1"/>
  <c r="H51" i="10"/>
  <c r="H32"/>
  <c r="J18" i="28" s="1"/>
  <c r="H27" i="10"/>
  <c r="J13" i="28" s="1"/>
  <c r="H41" i="10"/>
  <c r="J27" i="28" s="1"/>
  <c r="G49" i="10"/>
  <c r="H35" i="28" s="1"/>
  <c r="H46" i="10"/>
  <c r="J32" i="28" s="1"/>
  <c r="H34" i="10"/>
  <c r="J20" i="28" s="1"/>
  <c r="H39" i="10"/>
  <c r="J25" i="28" s="1"/>
  <c r="H50" i="10"/>
  <c r="J36" i="28" s="1"/>
  <c r="H25" i="10"/>
  <c r="J11" i="28" s="1"/>
  <c r="G40" i="10"/>
  <c r="H26" i="28" s="1"/>
  <c r="G33" i="10"/>
  <c r="H19" i="28" s="1"/>
  <c r="H28" i="10"/>
  <c r="J14" i="28" s="1"/>
  <c r="H26" i="10"/>
  <c r="J12" i="28" s="1"/>
  <c r="S13" l="1"/>
  <c r="S42"/>
  <c r="T13"/>
  <c r="T42"/>
  <c r="U13"/>
  <c r="U42"/>
  <c r="W13"/>
  <c r="W42"/>
  <c r="X13"/>
  <c r="X42"/>
  <c r="Z13"/>
  <c r="Z42"/>
  <c r="V8" i="14"/>
  <c r="Y40" i="28" s="1"/>
  <c r="W8" i="14"/>
  <c r="Y39" i="28" s="1"/>
  <c r="S8" i="14"/>
  <c r="Y43" i="28" s="1"/>
  <c r="U8" i="14"/>
  <c r="Y41" i="28" s="1"/>
  <c r="T8" i="14"/>
  <c r="H45" i="10"/>
  <c r="J31" i="28" s="1"/>
  <c r="H31"/>
  <c r="J47" i="10"/>
  <c r="E31" i="15"/>
  <c r="AA25" i="10"/>
  <c r="K20" i="14" s="1"/>
  <c r="W25" i="10"/>
  <c r="G20" i="14" s="1"/>
  <c r="L8" i="15"/>
  <c r="K13"/>
  <c r="L24"/>
  <c r="K14"/>
  <c r="L17"/>
  <c r="L29"/>
  <c r="L33"/>
  <c r="K9"/>
  <c r="K11"/>
  <c r="L16"/>
  <c r="K8"/>
  <c r="K10"/>
  <c r="K12"/>
  <c r="L23"/>
  <c r="O56"/>
  <c r="O58" s="1"/>
  <c r="P57"/>
  <c r="R57"/>
  <c r="Q57"/>
  <c r="Q56"/>
  <c r="R56"/>
  <c r="P56"/>
  <c r="V47"/>
  <c r="U47"/>
  <c r="M47" s="1"/>
  <c r="U48"/>
  <c r="N47" s="1"/>
  <c r="B18" i="20"/>
  <c r="J2"/>
  <c r="L2" s="1"/>
  <c r="J9" i="14"/>
  <c r="F7"/>
  <c r="F8"/>
  <c r="E10" i="15"/>
  <c r="M12" i="28" s="1"/>
  <c r="E9" i="15"/>
  <c r="M11" i="28" s="1"/>
  <c r="E30" i="15"/>
  <c r="M32" i="28" s="1"/>
  <c r="E34" i="15"/>
  <c r="M36" i="28" s="1"/>
  <c r="E12" i="15"/>
  <c r="M14" i="28" s="1"/>
  <c r="E23" i="15"/>
  <c r="M25" i="28" s="1"/>
  <c r="E25" i="15"/>
  <c r="M27" i="28" s="1"/>
  <c r="E16" i="15"/>
  <c r="M18" i="28" s="1"/>
  <c r="E22" i="15"/>
  <c r="M24" i="28" s="1"/>
  <c r="E15" i="15"/>
  <c r="M17" i="28" s="1"/>
  <c r="E18" i="15"/>
  <c r="M20" i="28" s="1"/>
  <c r="W22" i="10"/>
  <c r="J38"/>
  <c r="J31"/>
  <c r="V21"/>
  <c r="AC22"/>
  <c r="Y26"/>
  <c r="J27"/>
  <c r="E11" i="15"/>
  <c r="M13" i="28" s="1"/>
  <c r="E27" i="15"/>
  <c r="M29" i="28" s="1"/>
  <c r="E19" i="15"/>
  <c r="M21" i="28" s="1"/>
  <c r="E26" i="15"/>
  <c r="M28" i="28" s="1"/>
  <c r="E32" i="15"/>
  <c r="M34" i="28" s="1"/>
  <c r="E21" i="15"/>
  <c r="M23" i="28" s="1"/>
  <c r="J44" i="10"/>
  <c r="E28" i="15"/>
  <c r="M30" i="28" s="1"/>
  <c r="E35" i="15"/>
  <c r="E20"/>
  <c r="M22" i="28" s="1"/>
  <c r="B12" i="14"/>
  <c r="B11"/>
  <c r="X26" i="10"/>
  <c r="V22"/>
  <c r="Y23"/>
  <c r="J35"/>
  <c r="X20"/>
  <c r="X25"/>
  <c r="AA22"/>
  <c r="J43"/>
  <c r="Y25"/>
  <c r="AA21"/>
  <c r="J37"/>
  <c r="V26"/>
  <c r="W23"/>
  <c r="J36"/>
  <c r="AA26"/>
  <c r="J48"/>
  <c r="Y24"/>
  <c r="W24"/>
  <c r="X24"/>
  <c r="J42"/>
  <c r="AA20"/>
  <c r="Z23"/>
  <c r="V25"/>
  <c r="W26"/>
  <c r="J51"/>
  <c r="Z25"/>
  <c r="J32"/>
  <c r="Y20"/>
  <c r="H33"/>
  <c r="J19" i="28" s="1"/>
  <c r="J28" i="10"/>
  <c r="X23"/>
  <c r="AC24"/>
  <c r="AA24"/>
  <c r="J46"/>
  <c r="J41"/>
  <c r="J34"/>
  <c r="AC23"/>
  <c r="H49"/>
  <c r="J35" i="28" s="1"/>
  <c r="H30" i="10"/>
  <c r="J16" i="28" s="1"/>
  <c r="J39" i="10"/>
  <c r="AC25"/>
  <c r="Y22"/>
  <c r="J25"/>
  <c r="Z26"/>
  <c r="X21"/>
  <c r="V24"/>
  <c r="J50"/>
  <c r="AC26"/>
  <c r="Z21"/>
  <c r="AC20"/>
  <c r="Z24"/>
  <c r="H24"/>
  <c r="J10" i="28" s="1"/>
  <c r="H29" i="10"/>
  <c r="J15" i="28" s="1"/>
  <c r="H40" i="10"/>
  <c r="J26" i="28" s="1"/>
  <c r="V20" i="10"/>
  <c r="W20"/>
  <c r="J26"/>
  <c r="Z22"/>
  <c r="Y13" i="28" l="1"/>
  <c r="Y42"/>
  <c r="O27" i="21"/>
  <c r="M33" i="28"/>
  <c r="J45" i="10"/>
  <c r="E29" i="15"/>
  <c r="AB25" i="10"/>
  <c r="L20" i="14" s="1"/>
  <c r="AA23" i="10"/>
  <c r="AA28" s="1"/>
  <c r="I29" i="21"/>
  <c r="G31" i="15"/>
  <c r="P58"/>
  <c r="Q58"/>
  <c r="R58"/>
  <c r="S57"/>
  <c r="S56"/>
  <c r="C24" i="21"/>
  <c r="U25"/>
  <c r="I26"/>
  <c r="C29"/>
  <c r="U8"/>
  <c r="U24"/>
  <c r="U26"/>
  <c r="C8"/>
  <c r="C11"/>
  <c r="I27"/>
  <c r="U9"/>
  <c r="C30"/>
  <c r="O28"/>
  <c r="C12"/>
  <c r="C13"/>
  <c r="U13"/>
  <c r="O13"/>
  <c r="U28"/>
  <c r="I25"/>
  <c r="U10"/>
  <c r="O30"/>
  <c r="U14"/>
  <c r="O29"/>
  <c r="C25"/>
  <c r="U11"/>
  <c r="O11"/>
  <c r="C28"/>
  <c r="O12"/>
  <c r="O25"/>
  <c r="O10"/>
  <c r="I24"/>
  <c r="U29"/>
  <c r="O24"/>
  <c r="U27"/>
  <c r="I28"/>
  <c r="O14"/>
  <c r="C14"/>
  <c r="C27"/>
  <c r="O8"/>
  <c r="C9"/>
  <c r="G15" i="14"/>
  <c r="F17"/>
  <c r="M17"/>
  <c r="K15"/>
  <c r="G19"/>
  <c r="K21"/>
  <c r="F21"/>
  <c r="I20"/>
  <c r="H21"/>
  <c r="F16"/>
  <c r="J18"/>
  <c r="G18"/>
  <c r="K17"/>
  <c r="F15"/>
  <c r="J19"/>
  <c r="M21"/>
  <c r="H16"/>
  <c r="I17"/>
  <c r="J21"/>
  <c r="M20"/>
  <c r="K19"/>
  <c r="G21"/>
  <c r="I19"/>
  <c r="H20"/>
  <c r="G17"/>
  <c r="H18"/>
  <c r="I15"/>
  <c r="H19"/>
  <c r="K16"/>
  <c r="H15"/>
  <c r="M18"/>
  <c r="J17"/>
  <c r="J16"/>
  <c r="F19"/>
  <c r="M19"/>
  <c r="J20"/>
  <c r="F20"/>
  <c r="I18"/>
  <c r="I21"/>
  <c r="M15"/>
  <c r="G22" i="15"/>
  <c r="I24" i="28" s="1"/>
  <c r="G34" i="15"/>
  <c r="I36" i="28" s="1"/>
  <c r="G15" i="15"/>
  <c r="I17" i="28" s="1"/>
  <c r="G18" i="15"/>
  <c r="I20" i="28" s="1"/>
  <c r="G30" i="15"/>
  <c r="I32" i="28" s="1"/>
  <c r="G25" i="15"/>
  <c r="I27" i="28" s="1"/>
  <c r="G23" i="15"/>
  <c r="I25" i="28" s="1"/>
  <c r="G9" i="15"/>
  <c r="I11" i="28" s="1"/>
  <c r="G10" i="15"/>
  <c r="I12" i="28" s="1"/>
  <c r="G16" i="15"/>
  <c r="I18" i="28" s="1"/>
  <c r="G12" i="15"/>
  <c r="I14" i="28" s="1"/>
  <c r="J7" i="14"/>
  <c r="J8"/>
  <c r="E8" i="15"/>
  <c r="M10" i="28" s="1"/>
  <c r="E33" i="15"/>
  <c r="M35" i="28" s="1"/>
  <c r="E14" i="15"/>
  <c r="M16" i="28" s="1"/>
  <c r="G27" i="15"/>
  <c r="I29" i="28" s="1"/>
  <c r="G11" i="15"/>
  <c r="I13" i="28" s="1"/>
  <c r="G21" i="15"/>
  <c r="I23" i="28" s="1"/>
  <c r="G26" i="15"/>
  <c r="I28" i="28" s="1"/>
  <c r="G20" i="15"/>
  <c r="I22" i="28" s="1"/>
  <c r="G28" i="15"/>
  <c r="I30" i="28" s="1"/>
  <c r="G32" i="15"/>
  <c r="I34" i="28" s="1"/>
  <c r="G35" i="15"/>
  <c r="G19"/>
  <c r="I21" i="28" s="1"/>
  <c r="E13" i="15"/>
  <c r="M15" i="28" s="1"/>
  <c r="E24" i="15"/>
  <c r="M26" i="28" s="1"/>
  <c r="E17" i="15"/>
  <c r="M19" i="28" s="1"/>
  <c r="B20" i="14"/>
  <c r="B13"/>
  <c r="B14" s="1"/>
  <c r="D1" s="1"/>
  <c r="D20" s="1"/>
  <c r="AB23" i="10"/>
  <c r="J33"/>
  <c r="Y21"/>
  <c r="W21"/>
  <c r="AB22"/>
  <c r="J49"/>
  <c r="J30"/>
  <c r="AB26"/>
  <c r="V23"/>
  <c r="AB20"/>
  <c r="Z20"/>
  <c r="J24"/>
  <c r="J40"/>
  <c r="X22"/>
  <c r="AB24"/>
  <c r="J29"/>
  <c r="AB21"/>
  <c r="AC21"/>
  <c r="K29" i="21" l="1"/>
  <c r="I33" i="28"/>
  <c r="I9" i="21"/>
  <c r="M31" i="28"/>
  <c r="G29" i="15"/>
  <c r="O26" i="21"/>
  <c r="K18" i="14"/>
  <c r="AA27" i="10"/>
  <c r="S27" s="1"/>
  <c r="X10" i="28" s="1"/>
  <c r="Q27" i="21"/>
  <c r="S58" i="15"/>
  <c r="Q46"/>
  <c r="E44"/>
  <c r="P47"/>
  <c r="P46"/>
  <c r="Q47"/>
  <c r="U30" i="21"/>
  <c r="I8"/>
  <c r="E24"/>
  <c r="W25"/>
  <c r="Q28"/>
  <c r="E12"/>
  <c r="C10"/>
  <c r="I12"/>
  <c r="W26"/>
  <c r="E8"/>
  <c r="E11"/>
  <c r="K27"/>
  <c r="E27"/>
  <c r="E14"/>
  <c r="Q10"/>
  <c r="Q25"/>
  <c r="Q14"/>
  <c r="K28"/>
  <c r="U12"/>
  <c r="I11"/>
  <c r="E30"/>
  <c r="W9"/>
  <c r="K25"/>
  <c r="W10"/>
  <c r="E25"/>
  <c r="Q29"/>
  <c r="C26"/>
  <c r="I10"/>
  <c r="W29"/>
  <c r="K24"/>
  <c r="E29"/>
  <c r="K26"/>
  <c r="I30"/>
  <c r="I14"/>
  <c r="E13"/>
  <c r="W13"/>
  <c r="E9"/>
  <c r="Q8"/>
  <c r="E28"/>
  <c r="Q12"/>
  <c r="Q11"/>
  <c r="W11"/>
  <c r="Q13"/>
  <c r="W28"/>
  <c r="W24"/>
  <c r="W8"/>
  <c r="O9"/>
  <c r="I13"/>
  <c r="W27"/>
  <c r="Q24"/>
  <c r="Q30"/>
  <c r="W14"/>
  <c r="M16" i="14"/>
  <c r="L15"/>
  <c r="G16"/>
  <c r="L18"/>
  <c r="L19"/>
  <c r="L21"/>
  <c r="L17"/>
  <c r="K23"/>
  <c r="L16"/>
  <c r="H17"/>
  <c r="AC28" i="10"/>
  <c r="G14" i="15"/>
  <c r="I16" i="28" s="1"/>
  <c r="G33" i="15"/>
  <c r="I35" i="28" s="1"/>
  <c r="Z28" i="10"/>
  <c r="J15" i="14"/>
  <c r="Y28" i="10"/>
  <c r="I16" i="14"/>
  <c r="W27" i="10"/>
  <c r="V27"/>
  <c r="F18" i="14"/>
  <c r="G8" i="15"/>
  <c r="I10" i="28" s="1"/>
  <c r="G17" i="15"/>
  <c r="I19" i="28" s="1"/>
  <c r="G24" i="15"/>
  <c r="I26" i="28" s="1"/>
  <c r="G13" i="15"/>
  <c r="I15" i="28" s="1"/>
  <c r="A33" i="14"/>
  <c r="B33" s="1"/>
  <c r="D33" s="1"/>
  <c r="E33" s="1"/>
  <c r="B26" s="1"/>
  <c r="C1"/>
  <c r="B21"/>
  <c r="A32"/>
  <c r="B32" s="1"/>
  <c r="D32" s="1"/>
  <c r="E32" s="1"/>
  <c r="D17" s="1"/>
  <c r="Y27" i="10"/>
  <c r="W28"/>
  <c r="V28"/>
  <c r="AB28"/>
  <c r="Z27"/>
  <c r="AB27"/>
  <c r="AC27"/>
  <c r="X28"/>
  <c r="X27"/>
  <c r="K9" i="21" l="1"/>
  <c r="I31" i="28"/>
  <c r="Q26" i="21"/>
  <c r="K22" i="14"/>
  <c r="G47" i="15"/>
  <c r="G48"/>
  <c r="V45"/>
  <c r="C9" i="14"/>
  <c r="D9" s="1"/>
  <c r="C20"/>
  <c r="M51" i="15" s="1"/>
  <c r="G50"/>
  <c r="G52"/>
  <c r="F52"/>
  <c r="E1" i="21" s="1"/>
  <c r="L17" s="1"/>
  <c r="U45" i="15"/>
  <c r="U46"/>
  <c r="N46" s="1"/>
  <c r="G44"/>
  <c r="F45" s="1"/>
  <c r="N27" i="10"/>
  <c r="S10" i="28" s="1"/>
  <c r="W30" i="21"/>
  <c r="K8"/>
  <c r="Q9"/>
  <c r="K13"/>
  <c r="E26"/>
  <c r="K10"/>
  <c r="K11"/>
  <c r="W12"/>
  <c r="K14"/>
  <c r="K30"/>
  <c r="K12"/>
  <c r="E10"/>
  <c r="H23" i="14"/>
  <c r="L23"/>
  <c r="G23"/>
  <c r="J23"/>
  <c r="L22"/>
  <c r="M23"/>
  <c r="F22"/>
  <c r="M22"/>
  <c r="F23"/>
  <c r="I22"/>
  <c r="G22"/>
  <c r="H22"/>
  <c r="I23"/>
  <c r="O27" i="10"/>
  <c r="T10" i="28" s="1"/>
  <c r="R27" i="10"/>
  <c r="W10" i="28" s="1"/>
  <c r="J22" i="14"/>
  <c r="Q27" i="10"/>
  <c r="V10" i="28" s="1"/>
  <c r="S4" i="15"/>
  <c r="D18" i="14"/>
  <c r="C7"/>
  <c r="D7" s="1"/>
  <c r="C6"/>
  <c r="D6" s="1"/>
  <c r="C3"/>
  <c r="D3" s="1"/>
  <c r="C2"/>
  <c r="C8"/>
  <c r="D8" s="1"/>
  <c r="C4"/>
  <c r="D4" s="1"/>
  <c r="C5"/>
  <c r="D5" s="1"/>
  <c r="B25"/>
  <c r="C25" s="1"/>
  <c r="B23"/>
  <c r="C26"/>
  <c r="T27" i="10"/>
  <c r="Y10" i="28" s="1"/>
  <c r="P27" i="10"/>
  <c r="U10" i="28" s="1"/>
  <c r="U27" i="10"/>
  <c r="Z10" i="28" s="1"/>
  <c r="I29" i="15" l="1"/>
  <c r="I31"/>
  <c r="J11"/>
  <c r="J21"/>
  <c r="J27"/>
  <c r="I30"/>
  <c r="I32"/>
  <c r="G49"/>
  <c r="E45"/>
  <c r="G51"/>
  <c r="M46"/>
  <c r="N4"/>
  <c r="U4"/>
  <c r="P4"/>
  <c r="R4"/>
  <c r="T4"/>
  <c r="Q4"/>
  <c r="O4"/>
  <c r="D2" i="14"/>
  <c r="D12" s="1"/>
  <c r="K46" i="10"/>
  <c r="K27"/>
  <c r="K32"/>
  <c r="K42"/>
  <c r="K31"/>
  <c r="K30"/>
  <c r="K51"/>
  <c r="K29"/>
  <c r="K25"/>
  <c r="K47"/>
  <c r="K26"/>
  <c r="K39"/>
  <c r="K36"/>
  <c r="K24"/>
  <c r="C11" i="14"/>
  <c r="C12"/>
  <c r="B22"/>
  <c r="I17" i="15" l="1"/>
  <c r="I19"/>
  <c r="I21"/>
  <c r="I16"/>
  <c r="I18"/>
  <c r="I20"/>
  <c r="I22"/>
  <c r="I9"/>
  <c r="I11"/>
  <c r="J16"/>
  <c r="I8"/>
  <c r="I10"/>
  <c r="I12"/>
  <c r="J23"/>
  <c r="I15"/>
  <c r="J18"/>
  <c r="J30"/>
  <c r="J34"/>
  <c r="J9"/>
  <c r="J13"/>
  <c r="J25"/>
  <c r="J10"/>
  <c r="J14"/>
  <c r="J20"/>
  <c r="J26"/>
  <c r="J15"/>
  <c r="J31"/>
  <c r="J35"/>
  <c r="J8"/>
  <c r="I13"/>
  <c r="J24"/>
  <c r="I14"/>
  <c r="J17"/>
  <c r="J29"/>
  <c r="J33"/>
  <c r="I23"/>
  <c r="I25"/>
  <c r="I27"/>
  <c r="J19"/>
  <c r="I24"/>
  <c r="I26"/>
  <c r="I28"/>
  <c r="J12"/>
  <c r="J22"/>
  <c r="J28"/>
  <c r="J32"/>
  <c r="I33"/>
  <c r="I35"/>
  <c r="I34"/>
  <c r="M45"/>
  <c r="D1" i="21" s="1"/>
  <c r="F24" s="1"/>
  <c r="N45" i="15"/>
  <c r="C1" i="21"/>
  <c r="F46" i="15"/>
  <c r="D11" i="14"/>
  <c r="D13" s="1"/>
  <c r="D14" s="1"/>
  <c r="D21" s="1"/>
  <c r="D22" s="1"/>
  <c r="K43" i="10"/>
  <c r="K45"/>
  <c r="K40"/>
  <c r="C13" i="14"/>
  <c r="C14" s="1"/>
  <c r="C21" s="1"/>
  <c r="C22" s="1"/>
  <c r="K41" i="10"/>
  <c r="K50"/>
  <c r="K34"/>
  <c r="K38"/>
  <c r="K33"/>
  <c r="K35"/>
  <c r="K37"/>
  <c r="K44"/>
  <c r="K48"/>
  <c r="K49"/>
  <c r="K28"/>
  <c r="R26" i="21" l="1"/>
  <c r="F26"/>
  <c r="F29"/>
  <c r="R29"/>
  <c r="L27"/>
  <c r="X28"/>
  <c r="R11"/>
  <c r="R28"/>
  <c r="F27"/>
  <c r="R24"/>
  <c r="R13"/>
  <c r="L24"/>
  <c r="F30"/>
  <c r="F25"/>
  <c r="L14"/>
  <c r="L28"/>
  <c r="W7"/>
  <c r="K7"/>
  <c r="Q23"/>
  <c r="L30"/>
  <c r="X29"/>
  <c r="L26"/>
  <c r="X24"/>
  <c r="L11"/>
  <c r="L29"/>
  <c r="X27"/>
  <c r="R10"/>
  <c r="X25"/>
  <c r="R27"/>
  <c r="L13"/>
  <c r="F10"/>
  <c r="L12"/>
  <c r="X26"/>
  <c r="X9"/>
  <c r="F11"/>
  <c r="X12"/>
  <c r="F12"/>
  <c r="E7"/>
  <c r="X11"/>
  <c r="L8"/>
  <c r="L25"/>
  <c r="L10"/>
  <c r="X8"/>
  <c r="X14"/>
  <c r="X13"/>
  <c r="K23"/>
  <c r="L9"/>
  <c r="W23"/>
  <c r="R30"/>
  <c r="F28"/>
  <c r="R25"/>
  <c r="R14"/>
  <c r="X30"/>
  <c r="F8"/>
  <c r="X10"/>
  <c r="F14"/>
  <c r="R8"/>
  <c r="R12"/>
  <c r="R9"/>
  <c r="Q7"/>
  <c r="E23"/>
  <c r="F9"/>
  <c r="F13"/>
  <c r="O7"/>
  <c r="C7"/>
  <c r="U23"/>
  <c r="C23"/>
  <c r="I7"/>
  <c r="O23"/>
  <c r="U7"/>
  <c r="I23"/>
  <c r="C23" i="14"/>
  <c r="D23"/>
  <c r="F20" i="21" l="1"/>
  <c r="L20"/>
  <c r="X20"/>
  <c r="R4"/>
  <c r="R20"/>
  <c r="L4"/>
  <c r="X4"/>
  <c r="F4"/>
  <c r="X34" i="26"/>
  <c r="X35"/>
  <c r="Q41"/>
  <c r="X37"/>
  <c r="X39"/>
  <c r="X40"/>
  <c r="X38"/>
  <c r="X36"/>
  <c r="X24"/>
  <c r="X30"/>
  <c r="X25"/>
  <c r="Q31"/>
  <c r="X27"/>
  <c r="X29"/>
  <c r="X28"/>
  <c r="X26"/>
  <c r="R7" i="21" l="1"/>
  <c r="P4" s="1"/>
  <c r="Z11" i="28" s="1"/>
  <c r="Z12"/>
  <c r="E36" s="1"/>
  <c r="L7" i="21"/>
  <c r="J4" s="1"/>
  <c r="Y11" i="28" s="1"/>
  <c r="Y12"/>
  <c r="R23" i="21"/>
  <c r="P20" s="1"/>
  <c r="X11" i="28" s="1"/>
  <c r="C23" s="1"/>
  <c r="X12"/>
  <c r="X23" i="21"/>
  <c r="V20" s="1"/>
  <c r="S12" i="28"/>
  <c r="D37" s="1"/>
  <c r="L23" i="21"/>
  <c r="J20" s="1"/>
  <c r="T11" i="28" s="1"/>
  <c r="C37" s="1"/>
  <c r="T12"/>
  <c r="E37" s="1"/>
  <c r="F23" i="21"/>
  <c r="D20" s="1"/>
  <c r="U11" i="28" s="1"/>
  <c r="B25" s="1"/>
  <c r="U12"/>
  <c r="X7" i="21"/>
  <c r="V4" s="1"/>
  <c r="V11" i="28" s="1"/>
  <c r="B24" s="1"/>
  <c r="V12"/>
  <c r="F7" i="21"/>
  <c r="D4" s="1"/>
  <c r="W11" i="28" s="1"/>
  <c r="W12"/>
  <c r="S11" l="1"/>
  <c r="C14" s="1"/>
  <c r="B22"/>
  <c r="B23"/>
  <c r="B20"/>
  <c r="B21"/>
  <c r="B18"/>
  <c r="B19"/>
  <c r="B27"/>
  <c r="B26"/>
  <c r="B29"/>
  <c r="B28"/>
  <c r="C21"/>
  <c r="B30"/>
  <c r="C35"/>
  <c r="B17"/>
  <c r="B31"/>
  <c r="C29"/>
  <c r="B33"/>
  <c r="B32"/>
  <c r="C13"/>
  <c r="B34"/>
  <c r="C28"/>
  <c r="C33"/>
  <c r="C17"/>
  <c r="C22"/>
  <c r="C12"/>
  <c r="C16"/>
  <c r="C32"/>
  <c r="C36"/>
  <c r="C20"/>
  <c r="C27"/>
  <c r="C11"/>
  <c r="C15"/>
  <c r="C26"/>
  <c r="C31"/>
  <c r="B16"/>
  <c r="C19"/>
  <c r="C10"/>
  <c r="B15"/>
  <c r="D35"/>
  <c r="D36"/>
  <c r="E34"/>
  <c r="D33"/>
  <c r="D32"/>
  <c r="D34"/>
  <c r="E33"/>
  <c r="E32"/>
  <c r="E35"/>
  <c r="C25"/>
  <c r="C34" l="1"/>
  <c r="B36"/>
  <c r="B35"/>
  <c r="C24"/>
  <c r="B37"/>
  <c r="C30"/>
  <c r="B14"/>
  <c r="C18"/>
  <c r="B12"/>
  <c r="B13"/>
  <c r="B10"/>
  <c r="B11"/>
</calcChain>
</file>

<file path=xl/comments1.xml><?xml version="1.0" encoding="utf-8"?>
<comments xmlns="http://schemas.openxmlformats.org/spreadsheetml/2006/main">
  <authors>
    <author>Kjell Rune Tangen</author>
  </authors>
  <commentList>
    <comment ref="T11" authorId="0">
      <text>
        <r>
          <rPr>
            <b/>
            <sz val="9"/>
            <color indexed="81"/>
            <rFont val="Tahoma"/>
            <family val="2"/>
          </rPr>
          <t>Kjell Rune Tangen: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name="openorders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2" name="openorders1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3" name="openorders10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4" name="openorders11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5" name="openorders12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6" name="openorders13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7" name="openorders14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8" name="openorders15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9" name="openorders16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10" name="openorders17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11" name="openorders18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12" name="openorders19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13" name="openorders2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14" name="openorders20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15" name="openorders21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16" name="openorders22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17" name="openorders23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18" name="openorders24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19" name="openorders25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20" name="openorders26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21" name="openorders27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22" name="openorders28" type="6" refreshedVersion="0" background="1">
    <textPr prompt="0" sourceFile="C:\Users\Ola\AppData\Roaming\MetaQuotes\Terminal\3F73F5301A2A2B329CFC8731B09270FD\MQL4\Files\TradeFromExcel2MT4\openorders.txt">
      <textFields>
        <textField/>
      </textFields>
    </textPr>
  </connection>
  <connection id="23" name="openorders3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24" name="openorders4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25" name="openorders5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26" name="openorders6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27" name="openorders7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28" name="openorders8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  <connection id="29" name="openorders9" type="6" refreshedVersion="4" background="1" saveData="1">
    <textPr prompt="0" codePage="437" sourceFile="C:\Users\Olayemi\AppData\Roaming\MetaQuotes\Terminal\2010C2441A263399B34F537D91A53AC9\MQL4\Files\TradeFromExcel2MT4\openorders.txt" tab="0" comma="1">
      <textFields>
        <textField/>
      </textFields>
    </textPr>
  </connection>
</connections>
</file>

<file path=xl/sharedStrings.xml><?xml version="1.0" encoding="utf-8"?>
<sst xmlns="http://schemas.openxmlformats.org/spreadsheetml/2006/main" count="949" uniqueCount="307">
  <si>
    <t>EURAUD</t>
  </si>
  <si>
    <t>EURCAD</t>
  </si>
  <si>
    <t>EURCHF</t>
  </si>
  <si>
    <t>EURGBP</t>
  </si>
  <si>
    <t>EURJPY</t>
  </si>
  <si>
    <t>EURNZD</t>
  </si>
  <si>
    <t>EURUSD</t>
  </si>
  <si>
    <t>CHFJPY</t>
  </si>
  <si>
    <t>CADJPY</t>
  </si>
  <si>
    <t>USDJPY</t>
  </si>
  <si>
    <t>NZDJPY</t>
  </si>
  <si>
    <t>GBPJPY</t>
  </si>
  <si>
    <t>AUDJPY</t>
  </si>
  <si>
    <t>GBPUSD</t>
  </si>
  <si>
    <t>AUDUSD</t>
  </si>
  <si>
    <t>NZDUSD</t>
  </si>
  <si>
    <t>USDCHF</t>
  </si>
  <si>
    <t>USDCAD</t>
  </si>
  <si>
    <t>GBPNZD</t>
  </si>
  <si>
    <t>GBPCAD</t>
  </si>
  <si>
    <t>GBPCHF</t>
  </si>
  <si>
    <t>NZDCAD</t>
  </si>
  <si>
    <t>AUDNZD</t>
  </si>
  <si>
    <t>GBPAUD</t>
  </si>
  <si>
    <t>AUDCAD</t>
  </si>
  <si>
    <t>AUDCHF</t>
  </si>
  <si>
    <t>CADCHF</t>
  </si>
  <si>
    <t>NZDCHF</t>
  </si>
  <si>
    <t>USD</t>
  </si>
  <si>
    <t>%</t>
  </si>
  <si>
    <t>CHF</t>
  </si>
  <si>
    <t>EUR</t>
  </si>
  <si>
    <t>JPY</t>
  </si>
  <si>
    <t>GBP</t>
  </si>
  <si>
    <t>AUD</t>
  </si>
  <si>
    <t>CAD</t>
  </si>
  <si>
    <t>NZD</t>
  </si>
  <si>
    <t>Pair</t>
  </si>
  <si>
    <t>High</t>
  </si>
  <si>
    <t>Ask</t>
  </si>
  <si>
    <t>Bid</t>
  </si>
  <si>
    <t>Low</t>
  </si>
  <si>
    <t>Spread</t>
  </si>
  <si>
    <t>Point Range</t>
  </si>
  <si>
    <t>Bid Ratio</t>
  </si>
  <si>
    <t>Relative</t>
  </si>
  <si>
    <t>Strength</t>
  </si>
  <si>
    <t>Total Strength</t>
  </si>
  <si>
    <t>cad</t>
  </si>
  <si>
    <t>usd</t>
  </si>
  <si>
    <t>jpy</t>
  </si>
  <si>
    <t>gbp</t>
  </si>
  <si>
    <t>eur</t>
  </si>
  <si>
    <t>aud</t>
  </si>
  <si>
    <t>nzd</t>
  </si>
  <si>
    <t>chf</t>
  </si>
  <si>
    <t># of evaluation points</t>
  </si>
  <si>
    <t>Buy</t>
  </si>
  <si>
    <t>Sell</t>
  </si>
  <si>
    <t>δ</t>
  </si>
  <si>
    <t>Current</t>
  </si>
  <si>
    <t>BS Ratio</t>
  </si>
  <si>
    <t>T</t>
  </si>
  <si>
    <t>S</t>
  </si>
  <si>
    <t>BidRatio</t>
  </si>
  <si>
    <t>Rstrength</t>
  </si>
  <si>
    <t>CRS</t>
  </si>
  <si>
    <t>BIAS</t>
  </si>
  <si>
    <t>SM</t>
  </si>
  <si>
    <t>Curr</t>
  </si>
  <si>
    <t>&lt;&gt;</t>
  </si>
  <si>
    <t>Previous</t>
  </si>
  <si>
    <t>sell</t>
  </si>
  <si>
    <t>buy</t>
  </si>
  <si>
    <t>sell+buy</t>
  </si>
  <si>
    <t>Avarage</t>
  </si>
  <si>
    <t xml:space="preserve">Data RSI </t>
  </si>
  <si>
    <t xml:space="preserve">Market RSI </t>
  </si>
  <si>
    <t>MAX</t>
  </si>
  <si>
    <t>MIN</t>
  </si>
  <si>
    <t>CRS Work</t>
  </si>
  <si>
    <t>Zero</t>
  </si>
  <si>
    <t>CRS_tradzone midpoint</t>
  </si>
  <si>
    <t>CRS_traderoom</t>
  </si>
  <si>
    <t>CRS_min (minmax)</t>
  </si>
  <si>
    <t>CRS max (minmax)</t>
  </si>
  <si>
    <t>CRS level</t>
  </si>
  <si>
    <t xml:space="preserve">Buy </t>
  </si>
  <si>
    <t xml:space="preserve">Sell </t>
  </si>
  <si>
    <t>RSI Work</t>
  </si>
  <si>
    <t>цена пая</t>
  </si>
  <si>
    <t>доля</t>
  </si>
  <si>
    <t>вес доли</t>
  </si>
  <si>
    <t>RSI</t>
  </si>
  <si>
    <t>short</t>
  </si>
  <si>
    <t>long</t>
  </si>
  <si>
    <t>Correlation</t>
  </si>
  <si>
    <t>Corel D1</t>
  </si>
  <si>
    <t>Corel H1</t>
  </si>
  <si>
    <t>Old=1HOUR</t>
  </si>
  <si>
    <t>New=30MIN</t>
  </si>
  <si>
    <t>DIRECTION</t>
  </si>
  <si>
    <t>LBS</t>
  </si>
  <si>
    <t>Current_S</t>
  </si>
  <si>
    <t>Speedometer</t>
  </si>
  <si>
    <t>Start</t>
  </si>
  <si>
    <t>End</t>
  </si>
  <si>
    <t>Max</t>
  </si>
  <si>
    <t>Pointer</t>
  </si>
  <si>
    <t>Value</t>
  </si>
  <si>
    <t>Strong_Sell</t>
  </si>
  <si>
    <t>Neutral</t>
  </si>
  <si>
    <t>Strong_Buy</t>
  </si>
  <si>
    <t>Prev=M30</t>
  </si>
  <si>
    <t>For calculation purpose only</t>
  </si>
  <si>
    <t>Abso</t>
  </si>
  <si>
    <t>Rela</t>
  </si>
  <si>
    <t>Here set your parameter</t>
  </si>
  <si>
    <t>absolute</t>
  </si>
  <si>
    <t>relative</t>
  </si>
  <si>
    <t>bid ratio</t>
  </si>
  <si>
    <t>Conditions</t>
  </si>
  <si>
    <t>BUY</t>
  </si>
  <si>
    <t>SELL</t>
  </si>
  <si>
    <t>Absolute</t>
  </si>
  <si>
    <t>GAP</t>
  </si>
  <si>
    <t>Sync/Bias</t>
  </si>
  <si>
    <t>AVM</t>
  </si>
  <si>
    <t>SetUp Path</t>
  </si>
  <si>
    <t>Symb</t>
  </si>
  <si>
    <t>DOpen</t>
  </si>
  <si>
    <t>WOpen</t>
  </si>
  <si>
    <t>MOpen</t>
  </si>
  <si>
    <t>PrevD</t>
  </si>
  <si>
    <t>PrevW</t>
  </si>
  <si>
    <t>PrevM</t>
  </si>
  <si>
    <t>dEMA8</t>
  </si>
  <si>
    <t>dEMA21</t>
  </si>
  <si>
    <t>wEMA8</t>
  </si>
  <si>
    <t>wEMA21</t>
  </si>
  <si>
    <t>mEMA8</t>
  </si>
  <si>
    <t>mEMA21</t>
  </si>
  <si>
    <t>m30RSI2</t>
  </si>
  <si>
    <t>dRSI2</t>
  </si>
  <si>
    <t>wRSI2</t>
  </si>
  <si>
    <t>mRSI2</t>
  </si>
  <si>
    <t>M30Open</t>
  </si>
  <si>
    <t>H1Open</t>
  </si>
  <si>
    <t>H4Open</t>
  </si>
  <si>
    <t>PrevM30</t>
  </si>
  <si>
    <t>PrevH1</t>
  </si>
  <si>
    <t>PrevH4</t>
  </si>
  <si>
    <t>m30EMA8</t>
  </si>
  <si>
    <t>m30EMA21</t>
  </si>
  <si>
    <t>h1EMA8</t>
  </si>
  <si>
    <t>h1EMA21</t>
  </si>
  <si>
    <t>h4EMA8</t>
  </si>
  <si>
    <t>h4EMA21</t>
  </si>
  <si>
    <t>h1RSI2</t>
  </si>
  <si>
    <t>h4RSI2</t>
  </si>
  <si>
    <t>Symbol</t>
  </si>
  <si>
    <t>m30</t>
  </si>
  <si>
    <t>h1</t>
  </si>
  <si>
    <t>h4</t>
  </si>
  <si>
    <t>d1</t>
  </si>
  <si>
    <t>w1</t>
  </si>
  <si>
    <t>mn</t>
  </si>
  <si>
    <t>HMm30</t>
  </si>
  <si>
    <t>HMh1</t>
  </si>
  <si>
    <t>HMh4</t>
  </si>
  <si>
    <t>HMd1</t>
  </si>
  <si>
    <t>HMw1</t>
  </si>
  <si>
    <t>HMmn</t>
  </si>
  <si>
    <t>HM_M30</t>
  </si>
  <si>
    <t>HM_H1</t>
  </si>
  <si>
    <t>HM_H4</t>
  </si>
  <si>
    <t>HM_D1</t>
  </si>
  <si>
    <t>HM_W1</t>
  </si>
  <si>
    <t>HM_Mn</t>
  </si>
  <si>
    <t>RS_QUOTE</t>
  </si>
  <si>
    <t>RS_BASE</t>
  </si>
  <si>
    <t>HeatMap % Change</t>
  </si>
  <si>
    <t>↑↑</t>
  </si>
  <si>
    <t>4Hour Strength Direction</t>
  </si>
  <si>
    <t>Dir1</t>
  </si>
  <si>
    <t>Dir2</t>
  </si>
  <si>
    <t>Dir3</t>
  </si>
  <si>
    <t>Dir4</t>
  </si>
  <si>
    <t>Dir5</t>
  </si>
  <si>
    <t>Dir6</t>
  </si>
  <si>
    <t>HeatMapH4</t>
  </si>
  <si>
    <t>Trend</t>
  </si>
  <si>
    <t xml:space="preserve"> </t>
  </si>
  <si>
    <t>OrderSend</t>
  </si>
  <si>
    <t>OP_BUY</t>
  </si>
  <si>
    <t>Order2</t>
  </si>
  <si>
    <t>OrderFromExcel17:13:46</t>
  </si>
  <si>
    <t>Lot Size</t>
  </si>
  <si>
    <t>OrderFromExcel_19:46:52</t>
  </si>
  <si>
    <t>OP_SELL</t>
  </si>
  <si>
    <t>OrderFromExcel_20:01:44</t>
  </si>
  <si>
    <t>OrderClose</t>
  </si>
  <si>
    <t>OrderFromExcel_23:28:42</t>
  </si>
  <si>
    <t>OrderFromExcel_00:39:47</t>
  </si>
  <si>
    <t>OrderFromExcel_00:48:02</t>
  </si>
  <si>
    <t>OrderFromExcel_00:49:03</t>
  </si>
  <si>
    <t>OrderFromExcel_00:52:08</t>
  </si>
  <si>
    <t>OrderFromExcel_01:08:38</t>
  </si>
  <si>
    <t>OrderFromExcel_01:09:11</t>
  </si>
  <si>
    <t>OrderFromExcel_01:09:19</t>
  </si>
  <si>
    <t>OrderFromExcel_01:10:11</t>
  </si>
  <si>
    <t>OrderFromExcel_01:10:22</t>
  </si>
  <si>
    <t>OrderFromExcel_01:11:30</t>
  </si>
  <si>
    <t>OrderOpenTime</t>
  </si>
  <si>
    <t>OrderComment</t>
  </si>
  <si>
    <t>OrderMagicNumber</t>
  </si>
  <si>
    <t>OrderSymbol</t>
  </si>
  <si>
    <t>OrderType</t>
  </si>
  <si>
    <t>OrderLots</t>
  </si>
  <si>
    <t>OrderOpenPrice</t>
  </si>
  <si>
    <t>OrderStopLoss</t>
  </si>
  <si>
    <t>OrderTakeProfit</t>
  </si>
  <si>
    <t>Scalping</t>
  </si>
  <si>
    <t>2015.12.10 17:57</t>
  </si>
  <si>
    <t>2015.12.10 18:13</t>
  </si>
  <si>
    <t>CliveH</t>
  </si>
  <si>
    <t>2015.12.11 01:39</t>
  </si>
  <si>
    <t>AUTO SESS1</t>
  </si>
  <si>
    <t>2015.12.10 20:46</t>
  </si>
  <si>
    <t>2015.12.10 21:01</t>
  </si>
  <si>
    <t>2015.12.10 14:00</t>
  </si>
  <si>
    <t>2015.12.09 12:14</t>
  </si>
  <si>
    <t>2015.11.23 14:12</t>
  </si>
  <si>
    <t>V5h</t>
  </si>
  <si>
    <t>2015.11.24 14:45</t>
  </si>
  <si>
    <t>MAs+Str</t>
  </si>
  <si>
    <t>2015.12.04 00:36</t>
  </si>
  <si>
    <t>ScalpM1&amp;M5</t>
  </si>
  <si>
    <t>2015.12.11 00:28</t>
  </si>
  <si>
    <t>2015.11.24 13:55</t>
  </si>
  <si>
    <t>2015.11.24 13:50</t>
  </si>
  <si>
    <t>2015.12.11 01:48</t>
  </si>
  <si>
    <t>2015.12.11 01:49</t>
  </si>
  <si>
    <t>2015.12.11 01:52</t>
  </si>
  <si>
    <t>2015.12.11 02:08</t>
  </si>
  <si>
    <t>2015.12.11 02:09</t>
  </si>
  <si>
    <t>2015.12.11 02:10</t>
  </si>
  <si>
    <t>2015.12.11 02:11</t>
  </si>
  <si>
    <t>2015.12.11 17:12</t>
  </si>
  <si>
    <t>2015.12.11 17:00</t>
  </si>
  <si>
    <t>2015.12.11 17:01</t>
  </si>
  <si>
    <t>OrderFromExcel_17:02:07</t>
  </si>
  <si>
    <t>Blue</t>
  </si>
  <si>
    <t>2015.12.11 18:02</t>
  </si>
  <si>
    <t>OrderFromExcel_17:57:16</t>
  </si>
  <si>
    <t>OrderFromExcel_17:57:23</t>
  </si>
  <si>
    <t>2015.12.11 18:57</t>
  </si>
  <si>
    <t>OrderFromExcel_19:35:02</t>
  </si>
  <si>
    <t>OrderFromExcel_19:35:26</t>
  </si>
  <si>
    <t>2015.12.11 20:00</t>
  </si>
  <si>
    <t>2015.12.11 19:35</t>
  </si>
  <si>
    <t>2015.12.11 20:01</t>
  </si>
  <si>
    <t>2015.12.11 20:10</t>
  </si>
  <si>
    <t>2015.12.11 20:35</t>
  </si>
  <si>
    <t>OrderFromExcel_19:35:36</t>
  </si>
  <si>
    <t>OrderFromExcel_19:36:03</t>
  </si>
  <si>
    <t>OrderFromExcel_19:37:30</t>
  </si>
  <si>
    <t>2015.12.11 20:36</t>
  </si>
  <si>
    <t>OrderFromExcel_19:37:54</t>
  </si>
  <si>
    <t>2015.12.11 20:37</t>
  </si>
  <si>
    <t>OrderFromExcel_19:38:39</t>
  </si>
  <si>
    <t>2015.12.11 20:38</t>
  </si>
  <si>
    <t>OrderFromExcel_19:38:57</t>
  </si>
  <si>
    <t>OrderFromExcel_19:39:59</t>
  </si>
  <si>
    <t>OrderFromExcel_21:38:57</t>
  </si>
  <si>
    <t>2015.12.11 20:40</t>
  </si>
  <si>
    <t>OrderFromExcel_21:39:09</t>
  </si>
  <si>
    <t>2015.12.11 21:27</t>
  </si>
  <si>
    <t>2015.12.11 22:07</t>
  </si>
  <si>
    <t>2015.12.11 22:38</t>
  </si>
  <si>
    <t>2015.12.11 22:39</t>
  </si>
  <si>
    <t>M15</t>
  </si>
  <si>
    <t>15Min</t>
  </si>
  <si>
    <t>30Min</t>
  </si>
  <si>
    <t>1Hour</t>
  </si>
  <si>
    <t>4Hour</t>
  </si>
  <si>
    <t>D1</t>
  </si>
  <si>
    <t>15_GAP</t>
  </si>
  <si>
    <t>30_GAP</t>
  </si>
  <si>
    <t>H1_GAP</t>
  </si>
  <si>
    <t>H4_GAP</t>
  </si>
  <si>
    <t>D1_GAP</t>
  </si>
  <si>
    <t>PrevOpenD</t>
  </si>
  <si>
    <t>PrevHighD</t>
  </si>
  <si>
    <t>PrevLowD</t>
  </si>
  <si>
    <t>PrevCloseD</t>
  </si>
  <si>
    <t>H4</t>
  </si>
  <si>
    <t>H1</t>
  </si>
  <si>
    <t>M30</t>
  </si>
  <si>
    <t>C:\Program Files (x86)\Traders Way Develop\MQL4\Files</t>
  </si>
  <si>
    <t>C:\Program Files (x86)\Traders Way Develop\MQL4\Files\DWM.csv</t>
  </si>
  <si>
    <t>i</t>
  </si>
  <si>
    <t>BROKERS SUFFIX</t>
  </si>
  <si>
    <t>X:</t>
  </si>
  <si>
    <t>AUDCADi</t>
  </si>
  <si>
    <t>OrderFromExcel_14:15:53</t>
  </si>
  <si>
    <t>C:\Users\KjellRune\AppData\Roaming\MetaQuotes\Terminal\EC995AE331B545142198039AA7DFF030</t>
  </si>
</sst>
</file>

<file path=xl/styles.xml><?xml version="1.0" encoding="utf-8"?>
<styleSheet xmlns="http://schemas.openxmlformats.org/spreadsheetml/2006/main">
  <numFmts count="8">
    <numFmt numFmtId="164" formatCode="_(* #,##0.00_);_(* \(#,##0.00\);_(* &quot;-&quot;??_);_(@_)"/>
    <numFmt numFmtId="165" formatCode="_(* #,##0.0_);_(* \(#,##0.0\);_(* &quot;-&quot;??_);_(@_)"/>
    <numFmt numFmtId="166" formatCode="0.00000"/>
    <numFmt numFmtId="167" formatCode="0.000"/>
    <numFmt numFmtId="168" formatCode="0.0"/>
    <numFmt numFmtId="169" formatCode="#,##0.0"/>
    <numFmt numFmtId="170" formatCode="0.0000000000"/>
    <numFmt numFmtId="171" formatCode="#,##0.00;[Yellow]\-#,##0.00"/>
  </numFmts>
  <fonts count="4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theme="9" tint="0.39997558519241921"/>
      <name val="Arial"/>
      <family val="2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62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i/>
      <sz val="12"/>
      <name val="Arial"/>
      <family val="2"/>
    </font>
    <font>
      <sz val="10"/>
      <color theme="1" tint="4.9989318521683403E-2"/>
      <name val="Arial"/>
      <family val="2"/>
    </font>
    <font>
      <i/>
      <sz val="10"/>
      <name val="Arial"/>
      <family val="2"/>
    </font>
    <font>
      <sz val="10"/>
      <name val="Arial Unicode MS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0"/>
      <name val="Arial"/>
      <family val="2"/>
      <charset val="238"/>
    </font>
    <font>
      <sz val="7"/>
      <color theme="1"/>
      <name val="Calibri"/>
      <family val="2"/>
      <scheme val="minor"/>
    </font>
    <font>
      <b/>
      <sz val="9"/>
      <name val="Arial"/>
      <family val="2"/>
      <charset val="238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7"/>
      <color indexed="8"/>
      <name val="Calibri"/>
      <family val="2"/>
      <scheme val="minor"/>
    </font>
    <font>
      <sz val="7"/>
      <color indexed="8"/>
      <name val="Calibri"/>
      <family val="2"/>
      <scheme val="minor"/>
    </font>
    <font>
      <b/>
      <sz val="7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9"/>
      <color theme="4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70C0"/>
      <name val="Arial"/>
      <family val="2"/>
      <charset val="238"/>
    </font>
    <font>
      <b/>
      <sz val="10"/>
      <color theme="4" tint="-0.249977111117893"/>
      <name val="Arial"/>
      <family val="2"/>
      <charset val="238"/>
    </font>
    <font>
      <b/>
      <sz val="11"/>
      <color theme="0" tint="-0.499984740745262"/>
      <name val="Arial"/>
      <family val="2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374">
    <xf numFmtId="0" fontId="0" fillId="0" borderId="0" xfId="0"/>
    <xf numFmtId="0" fontId="6" fillId="0" borderId="0" xfId="0" applyFont="1"/>
    <xf numFmtId="2" fontId="6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2" fillId="0" borderId="0" xfId="2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2" fillId="0" borderId="0" xfId="2" applyNumberFormat="1" applyFont="1" applyAlignment="1">
      <alignment horizontal="center" vertical="center"/>
    </xf>
    <xf numFmtId="0" fontId="0" fillId="0" borderId="0" xfId="0" applyFill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0" fillId="4" borderId="8" xfId="0" applyFont="1" applyFill="1" applyBorder="1" applyAlignment="1">
      <alignment horizontal="center" vertical="center"/>
    </xf>
    <xf numFmtId="166" fontId="0" fillId="5" borderId="0" xfId="0" applyNumberFormat="1" applyFill="1" applyBorder="1" applyAlignment="1">
      <alignment horizontal="center" vertical="center"/>
    </xf>
    <xf numFmtId="167" fontId="0" fillId="5" borderId="0" xfId="0" applyNumberFormat="1" applyFill="1" applyBorder="1" applyAlignment="1">
      <alignment horizontal="center" vertical="center"/>
    </xf>
    <xf numFmtId="167" fontId="0" fillId="5" borderId="9" xfId="0" applyNumberFormat="1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1" fontId="11" fillId="0" borderId="0" xfId="0" applyNumberFormat="1" applyFont="1" applyAlignment="1">
      <alignment horizontal="right" vertical="center"/>
    </xf>
    <xf numFmtId="0" fontId="10" fillId="4" borderId="10" xfId="0" applyFont="1" applyFill="1" applyBorder="1" applyAlignment="1">
      <alignment horizontal="center" vertical="center"/>
    </xf>
    <xf numFmtId="166" fontId="0" fillId="6" borderId="0" xfId="0" applyNumberForma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166" fontId="0" fillId="5" borderId="12" xfId="0" applyNumberFormat="1" applyFill="1" applyBorder="1" applyAlignment="1">
      <alignment horizontal="center" vertical="center"/>
    </xf>
    <xf numFmtId="167" fontId="0" fillId="5" borderId="12" xfId="0" applyNumberFormat="1" applyFill="1" applyBorder="1" applyAlignment="1">
      <alignment horizontal="center" vertical="center"/>
    </xf>
    <xf numFmtId="167" fontId="0" fillId="5" borderId="13" xfId="0" applyNumberForma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168" fontId="0" fillId="6" borderId="15" xfId="0" applyNumberFormat="1" applyFill="1" applyBorder="1" applyAlignment="1">
      <alignment horizontal="center" vertical="center"/>
    </xf>
    <xf numFmtId="168" fontId="0" fillId="6" borderId="16" xfId="0" applyNumberForma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1" fontId="0" fillId="5" borderId="16" xfId="0" applyNumberForma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10" fontId="8" fillId="5" borderId="16" xfId="3" applyNumberForma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8" borderId="1" xfId="0" applyFill="1" applyBorder="1" applyAlignment="1">
      <alignment vertical="center"/>
    </xf>
    <xf numFmtId="0" fontId="12" fillId="5" borderId="25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168" fontId="0" fillId="9" borderId="1" xfId="0" applyNumberFormat="1" applyFill="1" applyBorder="1" applyAlignment="1">
      <alignment horizontal="center" vertical="center"/>
    </xf>
    <xf numFmtId="168" fontId="0" fillId="9" borderId="30" xfId="0" applyNumberFormat="1" applyFill="1" applyBorder="1" applyAlignment="1">
      <alignment horizontal="center" vertical="center"/>
    </xf>
    <xf numFmtId="168" fontId="0" fillId="9" borderId="31" xfId="0" applyNumberForma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4" fillId="0" borderId="32" xfId="0" applyFont="1" applyBorder="1" applyAlignment="1">
      <alignment horizontal="right" vertical="center"/>
    </xf>
    <xf numFmtId="0" fontId="14" fillId="0" borderId="12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5" fillId="8" borderId="1" xfId="0" applyFont="1" applyFill="1" applyBorder="1"/>
    <xf numFmtId="168" fontId="16" fillId="8" borderId="1" xfId="0" applyNumberFormat="1" applyFont="1" applyFill="1" applyBorder="1" applyAlignment="1">
      <alignment vertical="center"/>
    </xf>
    <xf numFmtId="168" fontId="0" fillId="8" borderId="1" xfId="0" applyNumberFormat="1" applyFill="1" applyBorder="1" applyAlignment="1">
      <alignment vertical="center"/>
    </xf>
    <xf numFmtId="168" fontId="0" fillId="0" borderId="0" xfId="0" applyNumberFormat="1" applyAlignment="1">
      <alignment vertical="center"/>
    </xf>
    <xf numFmtId="0" fontId="17" fillId="10" borderId="15" xfId="0" applyFont="1" applyFill="1" applyBorder="1" applyAlignment="1">
      <alignment vertical="center"/>
    </xf>
    <xf numFmtId="0" fontId="17" fillId="10" borderId="32" xfId="0" applyFont="1" applyFill="1" applyBorder="1" applyAlignment="1">
      <alignment vertical="center"/>
    </xf>
    <xf numFmtId="0" fontId="17" fillId="10" borderId="12" xfId="0" applyFont="1" applyFill="1" applyBorder="1" applyAlignment="1">
      <alignment vertical="center"/>
    </xf>
    <xf numFmtId="0" fontId="17" fillId="10" borderId="13" xfId="0" applyFont="1" applyFill="1" applyBorder="1" applyAlignment="1">
      <alignment vertical="center"/>
    </xf>
    <xf numFmtId="10" fontId="0" fillId="0" borderId="0" xfId="3" applyNumberFormat="1" applyFont="1" applyAlignment="1">
      <alignment vertical="center"/>
    </xf>
    <xf numFmtId="164" fontId="2" fillId="0" borderId="14" xfId="2" applyFont="1" applyBorder="1" applyAlignment="1">
      <alignment horizontal="center" vertical="center"/>
    </xf>
    <xf numFmtId="0" fontId="18" fillId="8" borderId="12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65" fontId="2" fillId="0" borderId="10" xfId="2" applyNumberFormat="1" applyFont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168" fontId="18" fillId="0" borderId="8" xfId="0" applyNumberFormat="1" applyFont="1" applyFill="1" applyBorder="1" applyAlignment="1">
      <alignment horizontal="center"/>
    </xf>
    <xf numFmtId="168" fontId="18" fillId="0" borderId="34" xfId="0" applyNumberFormat="1" applyFont="1" applyFill="1" applyBorder="1" applyAlignment="1">
      <alignment horizontal="center"/>
    </xf>
    <xf numFmtId="0" fontId="16" fillId="0" borderId="0" xfId="0" applyFont="1" applyAlignment="1">
      <alignment vertical="center"/>
    </xf>
    <xf numFmtId="0" fontId="2" fillId="0" borderId="31" xfId="0" applyFont="1" applyFill="1" applyBorder="1" applyAlignment="1">
      <alignment horizontal="center" vertical="center"/>
    </xf>
    <xf numFmtId="168" fontId="18" fillId="0" borderId="36" xfId="0" applyNumberFormat="1" applyFont="1" applyFill="1" applyBorder="1" applyAlignment="1">
      <alignment horizontal="center"/>
    </xf>
    <xf numFmtId="168" fontId="18" fillId="0" borderId="37" xfId="0" applyNumberFormat="1" applyFont="1" applyFill="1" applyBorder="1" applyAlignment="1">
      <alignment horizontal="center"/>
    </xf>
    <xf numFmtId="0" fontId="19" fillId="0" borderId="38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165" fontId="2" fillId="6" borderId="35" xfId="2" applyNumberFormat="1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168" fontId="18" fillId="6" borderId="36" xfId="0" applyNumberFormat="1" applyFont="1" applyFill="1" applyBorder="1" applyAlignment="1">
      <alignment horizontal="center"/>
    </xf>
    <xf numFmtId="168" fontId="18" fillId="6" borderId="37" xfId="0" applyNumberFormat="1" applyFont="1" applyFill="1" applyBorder="1" applyAlignment="1">
      <alignment horizontal="center"/>
    </xf>
    <xf numFmtId="168" fontId="19" fillId="8" borderId="42" xfId="0" applyNumberFormat="1" applyFont="1" applyFill="1" applyBorder="1" applyAlignment="1">
      <alignment horizontal="center" vertical="center"/>
    </xf>
    <xf numFmtId="168" fontId="19" fillId="8" borderId="43" xfId="0" applyNumberFormat="1" applyFont="1" applyFill="1" applyBorder="1" applyAlignment="1">
      <alignment horizontal="center" vertical="center"/>
    </xf>
    <xf numFmtId="168" fontId="19" fillId="8" borderId="44" xfId="0" applyNumberFormat="1" applyFont="1" applyFill="1" applyBorder="1" applyAlignment="1">
      <alignment horizontal="center" vertical="center"/>
    </xf>
    <xf numFmtId="168" fontId="19" fillId="8" borderId="45" xfId="0" applyNumberFormat="1" applyFont="1" applyFill="1" applyBorder="1" applyAlignment="1">
      <alignment horizontal="center" vertical="center"/>
    </xf>
    <xf numFmtId="168" fontId="19" fillId="0" borderId="42" xfId="0" applyNumberFormat="1" applyFont="1" applyBorder="1" applyAlignment="1">
      <alignment horizontal="center" vertical="center"/>
    </xf>
    <xf numFmtId="168" fontId="19" fillId="0" borderId="43" xfId="0" applyNumberFormat="1" applyFont="1" applyBorder="1" applyAlignment="1">
      <alignment horizontal="center" vertical="center"/>
    </xf>
    <xf numFmtId="168" fontId="19" fillId="0" borderId="44" xfId="0" applyNumberFormat="1" applyFont="1" applyBorder="1" applyAlignment="1">
      <alignment horizontal="center" vertical="center"/>
    </xf>
    <xf numFmtId="168" fontId="19" fillId="0" borderId="45" xfId="0" applyNumberFormat="1" applyFont="1" applyBorder="1" applyAlignment="1">
      <alignment horizontal="center" vertical="center"/>
    </xf>
    <xf numFmtId="168" fontId="19" fillId="0" borderId="46" xfId="0" applyNumberFormat="1" applyFont="1" applyBorder="1" applyAlignment="1">
      <alignment horizontal="center" vertical="center"/>
    </xf>
    <xf numFmtId="168" fontId="19" fillId="0" borderId="47" xfId="0" applyNumberFormat="1" applyFont="1" applyBorder="1" applyAlignment="1">
      <alignment horizontal="center" vertical="center"/>
    </xf>
    <xf numFmtId="168" fontId="19" fillId="0" borderId="48" xfId="0" applyNumberFormat="1" applyFont="1" applyBorder="1" applyAlignment="1">
      <alignment horizontal="center" vertical="center"/>
    </xf>
    <xf numFmtId="168" fontId="19" fillId="0" borderId="49" xfId="0" applyNumberFormat="1" applyFont="1" applyBorder="1" applyAlignment="1">
      <alignment horizontal="center" vertical="center"/>
    </xf>
    <xf numFmtId="165" fontId="2" fillId="12" borderId="35" xfId="2" applyNumberFormat="1" applyFont="1" applyFill="1" applyBorder="1" applyAlignment="1">
      <alignment horizontal="center" vertical="center"/>
    </xf>
    <xf numFmtId="0" fontId="2" fillId="12" borderId="31" xfId="0" applyFont="1" applyFill="1" applyBorder="1" applyAlignment="1">
      <alignment horizontal="center" vertical="center"/>
    </xf>
    <xf numFmtId="168" fontId="18" fillId="12" borderId="36" xfId="0" applyNumberFormat="1" applyFont="1" applyFill="1" applyBorder="1" applyAlignment="1">
      <alignment horizontal="center"/>
    </xf>
    <xf numFmtId="168" fontId="18" fillId="12" borderId="37" xfId="0" applyNumberFormat="1" applyFont="1" applyFill="1" applyBorder="1" applyAlignment="1">
      <alignment horizontal="center"/>
    </xf>
    <xf numFmtId="165" fontId="2" fillId="13" borderId="10" xfId="2" applyNumberFormat="1" applyFont="1" applyFill="1" applyBorder="1" applyAlignment="1">
      <alignment horizontal="center" vertical="center"/>
    </xf>
    <xf numFmtId="0" fontId="2" fillId="13" borderId="31" xfId="0" applyFont="1" applyFill="1" applyBorder="1" applyAlignment="1">
      <alignment horizontal="center" vertical="center"/>
    </xf>
    <xf numFmtId="168" fontId="18" fillId="13" borderId="36" xfId="0" applyNumberFormat="1" applyFont="1" applyFill="1" applyBorder="1" applyAlignment="1">
      <alignment horizontal="center"/>
    </xf>
    <xf numFmtId="168" fontId="18" fillId="13" borderId="37" xfId="0" applyNumberFormat="1" applyFont="1" applyFill="1" applyBorder="1" applyAlignment="1">
      <alignment horizontal="center"/>
    </xf>
    <xf numFmtId="165" fontId="2" fillId="0" borderId="35" xfId="2" applyNumberFormat="1" applyFont="1" applyBorder="1" applyAlignment="1">
      <alignment horizontal="center" vertical="center"/>
    </xf>
    <xf numFmtId="165" fontId="2" fillId="0" borderId="35" xfId="2" applyNumberFormat="1" applyFont="1" applyFill="1" applyBorder="1" applyAlignment="1">
      <alignment horizontal="center" vertical="center"/>
    </xf>
    <xf numFmtId="165" fontId="2" fillId="0" borderId="10" xfId="2" applyNumberFormat="1" applyFont="1" applyFill="1" applyBorder="1" applyAlignment="1">
      <alignment horizontal="center" vertical="center"/>
    </xf>
    <xf numFmtId="165" fontId="2" fillId="14" borderId="35" xfId="2" applyNumberFormat="1" applyFont="1" applyFill="1" applyBorder="1" applyAlignment="1">
      <alignment horizontal="center" vertical="center"/>
    </xf>
    <xf numFmtId="0" fontId="2" fillId="14" borderId="31" xfId="0" applyFont="1" applyFill="1" applyBorder="1" applyAlignment="1">
      <alignment horizontal="center" vertical="center"/>
    </xf>
    <xf numFmtId="168" fontId="18" fillId="14" borderId="36" xfId="0" applyNumberFormat="1" applyFont="1" applyFill="1" applyBorder="1" applyAlignment="1">
      <alignment horizontal="center"/>
    </xf>
    <xf numFmtId="168" fontId="18" fillId="14" borderId="37" xfId="0" applyNumberFormat="1" applyFont="1" applyFill="1" applyBorder="1" applyAlignment="1">
      <alignment horizontal="center"/>
    </xf>
    <xf numFmtId="168" fontId="2" fillId="14" borderId="22" xfId="2" applyNumberFormat="1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68" fontId="2" fillId="0" borderId="50" xfId="2" applyNumberFormat="1" applyFont="1" applyBorder="1" applyAlignment="1">
      <alignment horizontal="center" vertical="center"/>
    </xf>
    <xf numFmtId="0" fontId="2" fillId="14" borderId="0" xfId="0" applyFont="1" applyFill="1" applyBorder="1" applyAlignment="1">
      <alignment horizontal="center" vertical="center"/>
    </xf>
    <xf numFmtId="165" fontId="2" fillId="15" borderId="35" xfId="2" applyNumberFormat="1" applyFont="1" applyFill="1" applyBorder="1" applyAlignment="1">
      <alignment horizontal="center" vertical="center"/>
    </xf>
    <xf numFmtId="0" fontId="2" fillId="15" borderId="31" xfId="0" applyFont="1" applyFill="1" applyBorder="1" applyAlignment="1">
      <alignment horizontal="center" vertical="center"/>
    </xf>
    <xf numFmtId="168" fontId="18" fillId="15" borderId="36" xfId="0" applyNumberFormat="1" applyFont="1" applyFill="1" applyBorder="1" applyAlignment="1">
      <alignment horizontal="center"/>
    </xf>
    <xf numFmtId="168" fontId="18" fillId="15" borderId="37" xfId="0" applyNumberFormat="1" applyFont="1" applyFill="1" applyBorder="1" applyAlignment="1">
      <alignment horizontal="center"/>
    </xf>
    <xf numFmtId="165" fontId="2" fillId="10" borderId="10" xfId="2" applyNumberFormat="1" applyFont="1" applyFill="1" applyBorder="1" applyAlignment="1">
      <alignment horizontal="center" vertical="center"/>
    </xf>
    <xf numFmtId="0" fontId="2" fillId="10" borderId="31" xfId="0" applyFont="1" applyFill="1" applyBorder="1" applyAlignment="1">
      <alignment horizontal="center" vertical="center"/>
    </xf>
    <xf numFmtId="168" fontId="18" fillId="10" borderId="36" xfId="0" applyNumberFormat="1" applyFont="1" applyFill="1" applyBorder="1" applyAlignment="1">
      <alignment horizontal="center"/>
    </xf>
    <xf numFmtId="168" fontId="18" fillId="10" borderId="37" xfId="0" applyNumberFormat="1" applyFont="1" applyFill="1" applyBorder="1" applyAlignment="1">
      <alignment horizontal="center"/>
    </xf>
    <xf numFmtId="165" fontId="2" fillId="10" borderId="35" xfId="2" applyNumberFormat="1" applyFont="1" applyFill="1" applyBorder="1" applyAlignment="1">
      <alignment horizontal="center" vertical="center"/>
    </xf>
    <xf numFmtId="165" fontId="2" fillId="12" borderId="10" xfId="2" applyNumberFormat="1" applyFont="1" applyFill="1" applyBorder="1" applyAlignment="1">
      <alignment horizontal="center" vertical="center"/>
    </xf>
    <xf numFmtId="165" fontId="2" fillId="13" borderId="35" xfId="2" applyNumberFormat="1" applyFont="1" applyFill="1" applyBorder="1" applyAlignment="1">
      <alignment horizontal="center" vertical="center"/>
    </xf>
    <xf numFmtId="165" fontId="2" fillId="0" borderId="11" xfId="2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68" fontId="18" fillId="0" borderId="14" xfId="0" applyNumberFormat="1" applyFont="1" applyFill="1" applyBorder="1" applyAlignment="1">
      <alignment horizontal="center"/>
    </xf>
    <xf numFmtId="168" fontId="18" fillId="0" borderId="13" xfId="0" applyNumberFormat="1" applyFont="1" applyFill="1" applyBorder="1" applyAlignment="1">
      <alignment horizontal="center"/>
    </xf>
    <xf numFmtId="165" fontId="2" fillId="0" borderId="23" xfId="2" applyNumberFormat="1" applyFont="1" applyBorder="1" applyAlignment="1">
      <alignment horizontal="center" vertical="center"/>
    </xf>
    <xf numFmtId="168" fontId="2" fillId="0" borderId="22" xfId="2" applyNumberFormat="1" applyFont="1" applyBorder="1" applyAlignment="1">
      <alignment horizontal="center" vertical="center"/>
    </xf>
    <xf numFmtId="168" fontId="2" fillId="6" borderId="22" xfId="2" applyNumberFormat="1" applyFont="1" applyFill="1" applyBorder="1" applyAlignment="1">
      <alignment horizontal="center" vertical="center"/>
    </xf>
    <xf numFmtId="168" fontId="2" fillId="12" borderId="22" xfId="2" applyNumberFormat="1" applyFont="1" applyFill="1" applyBorder="1" applyAlignment="1">
      <alignment horizontal="center" vertical="center"/>
    </xf>
    <xf numFmtId="168" fontId="2" fillId="13" borderId="50" xfId="2" applyNumberFormat="1" applyFont="1" applyFill="1" applyBorder="1" applyAlignment="1">
      <alignment horizontal="center" vertical="center"/>
    </xf>
    <xf numFmtId="168" fontId="2" fillId="15" borderId="22" xfId="2" applyNumberFormat="1" applyFont="1" applyFill="1" applyBorder="1" applyAlignment="1">
      <alignment horizontal="center" vertical="center"/>
    </xf>
    <xf numFmtId="168" fontId="2" fillId="10" borderId="50" xfId="2" applyNumberFormat="1" applyFont="1" applyFill="1" applyBorder="1" applyAlignment="1">
      <alignment horizontal="center" vertical="center"/>
    </xf>
    <xf numFmtId="168" fontId="2" fillId="10" borderId="22" xfId="2" applyNumberFormat="1" applyFont="1" applyFill="1" applyBorder="1" applyAlignment="1">
      <alignment horizontal="center" vertical="center"/>
    </xf>
    <xf numFmtId="168" fontId="2" fillId="12" borderId="50" xfId="2" applyNumberFormat="1" applyFont="1" applyFill="1" applyBorder="1" applyAlignment="1">
      <alignment horizontal="center" vertical="center"/>
    </xf>
    <xf numFmtId="168" fontId="2" fillId="0" borderId="23" xfId="2" applyNumberFormat="1" applyFont="1" applyBorder="1" applyAlignment="1">
      <alignment horizontal="center" vertical="center"/>
    </xf>
    <xf numFmtId="0" fontId="17" fillId="10" borderId="20" xfId="0" applyFont="1" applyFill="1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41" xfId="0" applyBorder="1" applyAlignment="1">
      <alignment vertical="center"/>
    </xf>
    <xf numFmtId="0" fontId="2" fillId="0" borderId="45" xfId="0" applyFont="1" applyFill="1" applyBorder="1" applyAlignment="1">
      <alignment horizontal="center" vertical="center"/>
    </xf>
    <xf numFmtId="0" fontId="2" fillId="6" borderId="45" xfId="0" applyFont="1" applyFill="1" applyBorder="1" applyAlignment="1">
      <alignment horizontal="center" vertical="center"/>
    </xf>
    <xf numFmtId="0" fontId="2" fillId="12" borderId="45" xfId="0" applyFont="1" applyFill="1" applyBorder="1" applyAlignment="1">
      <alignment horizontal="center" vertical="center"/>
    </xf>
    <xf numFmtId="0" fontId="2" fillId="12" borderId="49" xfId="0" applyFont="1" applyFill="1" applyBorder="1" applyAlignment="1">
      <alignment horizontal="center" vertical="center"/>
    </xf>
    <xf numFmtId="169" fontId="0" fillId="0" borderId="0" xfId="0" applyNumberFormat="1" applyAlignment="1">
      <alignment vertical="center"/>
    </xf>
    <xf numFmtId="168" fontId="0" fillId="0" borderId="0" xfId="0" applyNumberFormat="1" applyAlignment="1">
      <alignment horizontal="center" vertical="center"/>
    </xf>
    <xf numFmtId="169" fontId="2" fillId="0" borderId="42" xfId="2" applyNumberFormat="1" applyFont="1" applyBorder="1" applyAlignment="1">
      <alignment horizontal="center" vertical="center"/>
    </xf>
    <xf numFmtId="169" fontId="2" fillId="6" borderId="42" xfId="2" applyNumberFormat="1" applyFont="1" applyFill="1" applyBorder="1" applyAlignment="1">
      <alignment horizontal="center" vertical="center"/>
    </xf>
    <xf numFmtId="169" fontId="2" fillId="12" borderId="42" xfId="2" applyNumberFormat="1" applyFont="1" applyFill="1" applyBorder="1" applyAlignment="1">
      <alignment horizontal="center" vertical="center"/>
    </xf>
    <xf numFmtId="169" fontId="2" fillId="12" borderId="46" xfId="2" applyNumberFormat="1" applyFont="1" applyFill="1" applyBorder="1" applyAlignment="1">
      <alignment horizontal="center" vertical="center"/>
    </xf>
    <xf numFmtId="170" fontId="0" fillId="0" borderId="0" xfId="0" applyNumberFormat="1" applyAlignment="1">
      <alignment vertical="center"/>
    </xf>
    <xf numFmtId="0" fontId="20" fillId="0" borderId="0" xfId="0" applyFont="1"/>
    <xf numFmtId="20" fontId="20" fillId="10" borderId="0" xfId="0" applyNumberFormat="1" applyFont="1" applyFill="1"/>
    <xf numFmtId="168" fontId="20" fillId="0" borderId="0" xfId="0" applyNumberFormat="1" applyFont="1"/>
    <xf numFmtId="0" fontId="0" fillId="0" borderId="0" xfId="0" applyAlignment="1">
      <alignment horizontal="right" vertical="center"/>
    </xf>
    <xf numFmtId="0" fontId="21" fillId="0" borderId="38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1" fillId="0" borderId="41" xfId="0" applyFont="1" applyBorder="1" applyAlignment="1">
      <alignment horizontal="center" vertical="center"/>
    </xf>
    <xf numFmtId="168" fontId="21" fillId="8" borderId="42" xfId="0" applyNumberFormat="1" applyFont="1" applyFill="1" applyBorder="1" applyAlignment="1">
      <alignment horizontal="center" vertical="center"/>
    </xf>
    <xf numFmtId="168" fontId="21" fillId="8" borderId="43" xfId="0" applyNumberFormat="1" applyFont="1" applyFill="1" applyBorder="1" applyAlignment="1">
      <alignment horizontal="center" vertical="center"/>
    </xf>
    <xf numFmtId="168" fontId="21" fillId="8" borderId="44" xfId="0" applyNumberFormat="1" applyFont="1" applyFill="1" applyBorder="1" applyAlignment="1">
      <alignment horizontal="center" vertical="center"/>
    </xf>
    <xf numFmtId="168" fontId="21" fillId="8" borderId="45" xfId="0" applyNumberFormat="1" applyFont="1" applyFill="1" applyBorder="1" applyAlignment="1">
      <alignment horizontal="center" vertical="center"/>
    </xf>
    <xf numFmtId="168" fontId="21" fillId="0" borderId="42" xfId="0" applyNumberFormat="1" applyFont="1" applyBorder="1" applyAlignment="1">
      <alignment horizontal="center" vertical="center"/>
    </xf>
    <xf numFmtId="168" fontId="21" fillId="0" borderId="43" xfId="0" applyNumberFormat="1" applyFont="1" applyBorder="1" applyAlignment="1">
      <alignment horizontal="center" vertical="center"/>
    </xf>
    <xf numFmtId="168" fontId="21" fillId="0" borderId="44" xfId="0" applyNumberFormat="1" applyFont="1" applyBorder="1" applyAlignment="1">
      <alignment horizontal="center" vertical="center"/>
    </xf>
    <xf numFmtId="168" fontId="21" fillId="0" borderId="45" xfId="0" applyNumberFormat="1" applyFont="1" applyBorder="1" applyAlignment="1">
      <alignment horizontal="center" vertical="center"/>
    </xf>
    <xf numFmtId="168" fontId="21" fillId="0" borderId="46" xfId="0" applyNumberFormat="1" applyFont="1" applyBorder="1" applyAlignment="1">
      <alignment horizontal="center" vertical="center"/>
    </xf>
    <xf numFmtId="168" fontId="21" fillId="0" borderId="47" xfId="0" applyNumberFormat="1" applyFont="1" applyBorder="1" applyAlignment="1">
      <alignment horizontal="center" vertical="center"/>
    </xf>
    <xf numFmtId="168" fontId="21" fillId="0" borderId="48" xfId="0" applyNumberFormat="1" applyFont="1" applyBorder="1" applyAlignment="1">
      <alignment horizontal="center" vertical="center"/>
    </xf>
    <xf numFmtId="168" fontId="21" fillId="0" borderId="49" xfId="0" applyNumberFormat="1" applyFont="1" applyBorder="1" applyAlignment="1">
      <alignment horizontal="center" vertical="center"/>
    </xf>
    <xf numFmtId="0" fontId="6" fillId="10" borderId="0" xfId="0" applyFont="1" applyFill="1"/>
    <xf numFmtId="0" fontId="7" fillId="10" borderId="0" xfId="0" applyFont="1" applyFill="1" applyAlignment="1">
      <alignment horizontal="center"/>
    </xf>
    <xf numFmtId="168" fontId="6" fillId="0" borderId="0" xfId="0" applyNumberFormat="1" applyFont="1"/>
    <xf numFmtId="10" fontId="6" fillId="0" borderId="0" xfId="0" applyNumberFormat="1" applyFont="1"/>
    <xf numFmtId="0" fontId="20" fillId="16" borderId="0" xfId="0" applyFont="1" applyFill="1"/>
    <xf numFmtId="0" fontId="20" fillId="17" borderId="1" xfId="0" applyFont="1" applyFill="1" applyBorder="1"/>
    <xf numFmtId="0" fontId="20" fillId="9" borderId="1" xfId="0" applyFont="1" applyFill="1" applyBorder="1"/>
    <xf numFmtId="0" fontId="20" fillId="16" borderId="0" xfId="0" applyFont="1" applyFill="1" applyBorder="1"/>
    <xf numFmtId="0" fontId="20" fillId="17" borderId="0" xfId="0" applyFont="1" applyFill="1" applyBorder="1"/>
    <xf numFmtId="0" fontId="25" fillId="17" borderId="0" xfId="0" applyFont="1" applyFill="1"/>
    <xf numFmtId="0" fontId="24" fillId="17" borderId="0" xfId="0" applyFont="1" applyFill="1"/>
    <xf numFmtId="0" fontId="24" fillId="16" borderId="0" xfId="0" applyFont="1" applyFill="1"/>
    <xf numFmtId="0" fontId="26" fillId="9" borderId="44" xfId="0" applyFont="1" applyFill="1" applyBorder="1" applyAlignment="1">
      <alignment horizontal="center"/>
    </xf>
    <xf numFmtId="168" fontId="26" fillId="18" borderId="1" xfId="0" applyNumberFormat="1" applyFont="1" applyFill="1" applyBorder="1"/>
    <xf numFmtId="168" fontId="24" fillId="20" borderId="1" xfId="0" applyNumberFormat="1" applyFont="1" applyFill="1" applyBorder="1"/>
    <xf numFmtId="0" fontId="26" fillId="9" borderId="56" xfId="0" applyFont="1" applyFill="1" applyBorder="1" applyAlignment="1">
      <alignment horizontal="center"/>
    </xf>
    <xf numFmtId="0" fontId="24" fillId="17" borderId="1" xfId="0" applyFont="1" applyFill="1" applyBorder="1" applyAlignment="1">
      <alignment horizontal="center"/>
    </xf>
    <xf numFmtId="0" fontId="26" fillId="19" borderId="44" xfId="0" applyFont="1" applyFill="1" applyBorder="1" applyAlignment="1">
      <alignment horizontal="left"/>
    </xf>
    <xf numFmtId="168" fontId="26" fillId="19" borderId="1" xfId="0" applyNumberFormat="1" applyFont="1" applyFill="1" applyBorder="1"/>
    <xf numFmtId="0" fontId="26" fillId="20" borderId="44" xfId="0" applyFont="1" applyFill="1" applyBorder="1" applyAlignment="1">
      <alignment horizontal="left"/>
    </xf>
    <xf numFmtId="168" fontId="26" fillId="20" borderId="1" xfId="0" applyNumberFormat="1" applyFont="1" applyFill="1" applyBorder="1"/>
    <xf numFmtId="0" fontId="26" fillId="18" borderId="44" xfId="0" applyFont="1" applyFill="1" applyBorder="1" applyAlignment="1">
      <alignment horizontal="left"/>
    </xf>
    <xf numFmtId="168" fontId="26" fillId="21" borderId="1" xfId="0" applyNumberFormat="1" applyFont="1" applyFill="1" applyBorder="1"/>
    <xf numFmtId="0" fontId="26" fillId="9" borderId="1" xfId="0" applyFont="1" applyFill="1" applyBorder="1" applyAlignment="1">
      <alignment horizontal="left"/>
    </xf>
    <xf numFmtId="0" fontId="26" fillId="9" borderId="1" xfId="0" applyFont="1" applyFill="1" applyBorder="1"/>
    <xf numFmtId="0" fontId="26" fillId="9" borderId="0" xfId="0" applyFont="1" applyFill="1" applyBorder="1" applyAlignment="1">
      <alignment horizontal="left"/>
    </xf>
    <xf numFmtId="0" fontId="26" fillId="9" borderId="0" xfId="0" applyFont="1" applyFill="1"/>
    <xf numFmtId="0" fontId="25" fillId="16" borderId="0" xfId="0" applyFont="1" applyFill="1"/>
    <xf numFmtId="0" fontId="26" fillId="9" borderId="38" xfId="0" applyFont="1" applyFill="1" applyBorder="1" applyAlignment="1">
      <alignment horizontal="center"/>
    </xf>
    <xf numFmtId="2" fontId="26" fillId="19" borderId="26" xfId="0" applyNumberFormat="1" applyFont="1" applyFill="1" applyBorder="1"/>
    <xf numFmtId="0" fontId="26" fillId="9" borderId="25" xfId="0" applyFont="1" applyFill="1" applyBorder="1" applyAlignment="1">
      <alignment horizontal="center"/>
    </xf>
    <xf numFmtId="2" fontId="26" fillId="19" borderId="41" xfId="0" applyNumberFormat="1" applyFont="1" applyFill="1" applyBorder="1"/>
    <xf numFmtId="0" fontId="26" fillId="9" borderId="46" xfId="0" applyFont="1" applyFill="1" applyBorder="1" applyAlignment="1">
      <alignment horizontal="center"/>
    </xf>
    <xf numFmtId="2" fontId="26" fillId="19" borderId="51" xfId="0" applyNumberFormat="1" applyFont="1" applyFill="1" applyBorder="1"/>
    <xf numFmtId="0" fontId="26" fillId="9" borderId="52" xfId="0" applyFont="1" applyFill="1" applyBorder="1" applyAlignment="1">
      <alignment horizontal="center"/>
    </xf>
    <xf numFmtId="2" fontId="26" fillId="19" borderId="49" xfId="0" applyNumberFormat="1" applyFont="1" applyFill="1" applyBorder="1"/>
    <xf numFmtId="0" fontId="24" fillId="17" borderId="0" xfId="0" applyFont="1" applyFill="1" applyAlignment="1">
      <alignment horizontal="center"/>
    </xf>
    <xf numFmtId="0" fontId="24" fillId="16" borderId="0" xfId="0" applyFont="1" applyFill="1" applyAlignment="1">
      <alignment horizontal="center"/>
    </xf>
    <xf numFmtId="0" fontId="26" fillId="18" borderId="1" xfId="0" applyFont="1" applyFill="1" applyBorder="1" applyAlignment="1">
      <alignment horizontal="left"/>
    </xf>
    <xf numFmtId="168" fontId="26" fillId="9" borderId="30" xfId="0" applyNumberFormat="1" applyFont="1" applyFill="1" applyBorder="1" applyAlignment="1">
      <alignment horizontal="right"/>
    </xf>
    <xf numFmtId="168" fontId="26" fillId="19" borderId="30" xfId="0" applyNumberFormat="1" applyFont="1" applyFill="1" applyBorder="1" applyAlignment="1">
      <alignment horizontal="right"/>
    </xf>
    <xf numFmtId="168" fontId="26" fillId="22" borderId="30" xfId="0" applyNumberFormat="1" applyFont="1" applyFill="1" applyBorder="1" applyAlignment="1">
      <alignment horizontal="right"/>
    </xf>
    <xf numFmtId="0" fontId="24" fillId="17" borderId="1" xfId="0" applyFont="1" applyFill="1" applyBorder="1"/>
    <xf numFmtId="2" fontId="24" fillId="17" borderId="1" xfId="0" applyNumberFormat="1" applyFont="1" applyFill="1" applyBorder="1" applyAlignment="1">
      <alignment horizontal="left"/>
    </xf>
    <xf numFmtId="0" fontId="26" fillId="20" borderId="1" xfId="0" applyFont="1" applyFill="1" applyBorder="1" applyAlignment="1">
      <alignment horizontal="left"/>
    </xf>
    <xf numFmtId="0" fontId="26" fillId="19" borderId="1" xfId="0" applyFont="1" applyFill="1" applyBorder="1" applyAlignment="1">
      <alignment horizontal="left"/>
    </xf>
    <xf numFmtId="0" fontId="25" fillId="17" borderId="0" xfId="0" applyFont="1" applyFill="1" applyBorder="1"/>
    <xf numFmtId="2" fontId="24" fillId="16" borderId="0" xfId="0" applyNumberFormat="1" applyFont="1" applyFill="1" applyBorder="1" applyAlignment="1">
      <alignment horizontal="center"/>
    </xf>
    <xf numFmtId="0" fontId="26" fillId="20" borderId="38" xfId="0" applyFont="1" applyFill="1" applyBorder="1" applyAlignment="1">
      <alignment horizontal="center"/>
    </xf>
    <xf numFmtId="2" fontId="26" fillId="20" borderId="25" xfId="0" applyNumberFormat="1" applyFont="1" applyFill="1" applyBorder="1" applyAlignment="1">
      <alignment horizontal="right"/>
    </xf>
    <xf numFmtId="2" fontId="24" fillId="20" borderId="25" xfId="0" applyNumberFormat="1" applyFont="1" applyFill="1" applyBorder="1" applyAlignment="1">
      <alignment horizontal="right"/>
    </xf>
    <xf numFmtId="168" fontId="25" fillId="20" borderId="41" xfId="0" applyNumberFormat="1" applyFont="1" applyFill="1" applyBorder="1" applyAlignment="1">
      <alignment horizontal="right"/>
    </xf>
    <xf numFmtId="0" fontId="26" fillId="19" borderId="46" xfId="0" applyFont="1" applyFill="1" applyBorder="1" applyAlignment="1">
      <alignment horizontal="center"/>
    </xf>
    <xf numFmtId="2" fontId="26" fillId="19" borderId="52" xfId="0" applyNumberFormat="1" applyFont="1" applyFill="1" applyBorder="1" applyAlignment="1">
      <alignment horizontal="right"/>
    </xf>
    <xf numFmtId="2" fontId="24" fillId="19" borderId="52" xfId="0" applyNumberFormat="1" applyFont="1" applyFill="1" applyBorder="1" applyAlignment="1">
      <alignment horizontal="right"/>
    </xf>
    <xf numFmtId="2" fontId="25" fillId="19" borderId="49" xfId="0" applyNumberFormat="1" applyFont="1" applyFill="1" applyBorder="1" applyAlignment="1">
      <alignment horizontal="right"/>
    </xf>
    <xf numFmtId="0" fontId="24" fillId="16" borderId="0" xfId="0" applyFont="1" applyFill="1" applyBorder="1"/>
    <xf numFmtId="0" fontId="26" fillId="18" borderId="1" xfId="0" applyFont="1" applyFill="1" applyBorder="1" applyAlignment="1">
      <alignment horizontal="center"/>
    </xf>
    <xf numFmtId="168" fontId="26" fillId="19" borderId="41" xfId="0" applyNumberFormat="1" applyFont="1" applyFill="1" applyBorder="1"/>
    <xf numFmtId="168" fontId="26" fillId="19" borderId="49" xfId="0" applyNumberFormat="1" applyFont="1" applyFill="1" applyBorder="1"/>
    <xf numFmtId="0" fontId="24" fillId="9" borderId="53" xfId="0" applyFont="1" applyFill="1" applyBorder="1" applyAlignment="1">
      <alignment horizontal="center"/>
    </xf>
    <xf numFmtId="0" fontId="24" fillId="9" borderId="6" xfId="0" applyFont="1" applyFill="1" applyBorder="1" applyAlignment="1">
      <alignment horizontal="center"/>
    </xf>
    <xf numFmtId="0" fontId="24" fillId="9" borderId="7" xfId="0" applyFont="1" applyFill="1" applyBorder="1" applyAlignment="1">
      <alignment horizontal="center"/>
    </xf>
    <xf numFmtId="2" fontId="24" fillId="21" borderId="54" xfId="0" applyNumberFormat="1" applyFont="1" applyFill="1" applyBorder="1"/>
    <xf numFmtId="0" fontId="24" fillId="21" borderId="2" xfId="0" applyFont="1" applyFill="1" applyBorder="1"/>
    <xf numFmtId="2" fontId="24" fillId="21" borderId="2" xfId="0" applyNumberFormat="1" applyFont="1" applyFill="1" applyBorder="1"/>
    <xf numFmtId="2" fontId="24" fillId="21" borderId="55" xfId="0" applyNumberFormat="1" applyFont="1" applyFill="1" applyBorder="1"/>
    <xf numFmtId="2" fontId="24" fillId="21" borderId="46" xfId="0" applyNumberFormat="1" applyFont="1" applyFill="1" applyBorder="1"/>
    <xf numFmtId="2" fontId="24" fillId="21" borderId="52" xfId="0" applyNumberFormat="1" applyFont="1" applyFill="1" applyBorder="1"/>
    <xf numFmtId="2" fontId="24" fillId="21" borderId="49" xfId="0" applyNumberFormat="1" applyFont="1" applyFill="1" applyBorder="1"/>
    <xf numFmtId="21" fontId="6" fillId="0" borderId="0" xfId="0" applyNumberFormat="1" applyFont="1"/>
    <xf numFmtId="19" fontId="24" fillId="17" borderId="0" xfId="0" applyNumberFormat="1" applyFont="1" applyFill="1" applyAlignment="1">
      <alignment horizontal="left"/>
    </xf>
    <xf numFmtId="19" fontId="26" fillId="9" borderId="44" xfId="0" applyNumberFormat="1" applyFont="1" applyFill="1" applyBorder="1" applyAlignment="1">
      <alignment horizontal="center"/>
    </xf>
    <xf numFmtId="19" fontId="20" fillId="0" borderId="0" xfId="0" applyNumberFormat="1" applyFont="1"/>
    <xf numFmtId="0" fontId="20" fillId="10" borderId="0" xfId="0" applyFont="1" applyFill="1" applyAlignment="1">
      <alignment horizontal="center"/>
    </xf>
    <xf numFmtId="0" fontId="26" fillId="17" borderId="30" xfId="0" applyFont="1" applyFill="1" applyBorder="1" applyAlignment="1">
      <alignment horizontal="left"/>
    </xf>
    <xf numFmtId="0" fontId="27" fillId="0" borderId="38" xfId="0" applyFont="1" applyBorder="1"/>
    <xf numFmtId="0" fontId="27" fillId="0" borderId="25" xfId="0" applyFont="1" applyBorder="1"/>
    <xf numFmtId="0" fontId="27" fillId="0" borderId="41" xfId="0" applyFont="1" applyBorder="1"/>
    <xf numFmtId="0" fontId="27" fillId="0" borderId="46" xfId="0" applyFont="1" applyBorder="1"/>
    <xf numFmtId="0" fontId="27" fillId="0" borderId="52" xfId="0" applyFont="1" applyBorder="1"/>
    <xf numFmtId="0" fontId="27" fillId="0" borderId="49" xfId="0" applyFont="1" applyBorder="1"/>
    <xf numFmtId="20" fontId="20" fillId="0" borderId="0" xfId="0" applyNumberFormat="1" applyFont="1"/>
    <xf numFmtId="0" fontId="6" fillId="0" borderId="0" xfId="0" applyFont="1" applyFill="1"/>
    <xf numFmtId="2" fontId="6" fillId="0" borderId="0" xfId="0" applyNumberFormat="1" applyFont="1" applyFill="1"/>
    <xf numFmtId="0" fontId="7" fillId="0" borderId="0" xfId="0" applyFont="1" applyFill="1" applyAlignment="1">
      <alignment horizontal="center"/>
    </xf>
    <xf numFmtId="168" fontId="7" fillId="0" borderId="0" xfId="0" applyNumberFormat="1" applyFont="1" applyFill="1"/>
    <xf numFmtId="0" fontId="29" fillId="0" borderId="0" xfId="0" applyNumberFormat="1" applyFont="1" applyFill="1" applyAlignment="1">
      <alignment horizontal="center"/>
    </xf>
    <xf numFmtId="0" fontId="27" fillId="16" borderId="0" xfId="0" applyFont="1" applyFill="1" applyAlignment="1">
      <alignment horizontal="right"/>
    </xf>
    <xf numFmtId="0" fontId="32" fillId="0" borderId="0" xfId="0" applyFont="1"/>
    <xf numFmtId="19" fontId="32" fillId="0" borderId="0" xfId="0" applyNumberFormat="1" applyFont="1"/>
    <xf numFmtId="1" fontId="32" fillId="0" borderId="0" xfId="0" applyNumberFormat="1" applyFont="1"/>
    <xf numFmtId="2" fontId="7" fillId="10" borderId="0" xfId="0" applyNumberFormat="1" applyFont="1" applyFill="1" applyAlignment="1">
      <alignment horizontal="center"/>
    </xf>
    <xf numFmtId="0" fontId="33" fillId="10" borderId="0" xfId="0" applyFont="1" applyFill="1" applyAlignment="1">
      <alignment horizontal="center"/>
    </xf>
    <xf numFmtId="0" fontId="31" fillId="10" borderId="0" xfId="0" applyFont="1" applyFill="1" applyAlignment="1">
      <alignment horizontal="center"/>
    </xf>
    <xf numFmtId="0" fontId="29" fillId="10" borderId="0" xfId="0" applyNumberFormat="1" applyFont="1" applyFill="1" applyAlignment="1">
      <alignment horizontal="center"/>
    </xf>
    <xf numFmtId="0" fontId="34" fillId="0" borderId="0" xfId="0" applyFont="1" applyFill="1"/>
    <xf numFmtId="2" fontId="34" fillId="0" borderId="0" xfId="0" applyNumberFormat="1" applyFont="1" applyFill="1"/>
    <xf numFmtId="168" fontId="35" fillId="0" borderId="0" xfId="0" applyNumberFormat="1" applyFont="1" applyFill="1"/>
    <xf numFmtId="2" fontId="35" fillId="0" borderId="0" xfId="0" applyNumberFormat="1" applyFont="1" applyFill="1"/>
    <xf numFmtId="2" fontId="7" fillId="0" borderId="0" xfId="0" applyNumberFormat="1" applyFont="1" applyFill="1"/>
    <xf numFmtId="0" fontId="6" fillId="0" borderId="0" xfId="0" applyFont="1" applyFill="1" applyBorder="1"/>
    <xf numFmtId="2" fontId="6" fillId="0" borderId="0" xfId="0" applyNumberFormat="1" applyFont="1" applyFill="1" applyBorder="1"/>
    <xf numFmtId="168" fontId="20" fillId="0" borderId="0" xfId="0" applyNumberFormat="1" applyFont="1" applyBorder="1"/>
    <xf numFmtId="0" fontId="34" fillId="0" borderId="1" xfId="0" applyNumberFormat="1" applyFont="1" applyBorder="1"/>
    <xf numFmtId="0" fontId="6" fillId="0" borderId="1" xfId="0" applyNumberFormat="1" applyFont="1" applyBorder="1"/>
    <xf numFmtId="0" fontId="22" fillId="10" borderId="0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0" fillId="0" borderId="1" xfId="0" applyFont="1" applyBorder="1"/>
    <xf numFmtId="0" fontId="0" fillId="0" borderId="1" xfId="0" applyBorder="1"/>
    <xf numFmtId="0" fontId="6" fillId="0" borderId="1" xfId="0" applyFont="1" applyBorder="1"/>
    <xf numFmtId="0" fontId="20" fillId="0" borderId="0" xfId="0" applyFont="1" applyBorder="1"/>
    <xf numFmtId="2" fontId="20" fillId="0" borderId="1" xfId="0" applyNumberFormat="1" applyFont="1" applyBorder="1"/>
    <xf numFmtId="168" fontId="20" fillId="0" borderId="1" xfId="0" applyNumberFormat="1" applyFont="1" applyBorder="1"/>
    <xf numFmtId="2" fontId="6" fillId="0" borderId="1" xfId="0" applyNumberFormat="1" applyFont="1" applyBorder="1"/>
    <xf numFmtId="10" fontId="20" fillId="0" borderId="1" xfId="0" applyNumberFormat="1" applyFont="1" applyBorder="1"/>
    <xf numFmtId="10" fontId="6" fillId="0" borderId="1" xfId="0" applyNumberFormat="1" applyFont="1" applyBorder="1"/>
    <xf numFmtId="0" fontId="7" fillId="10" borderId="33" xfId="0" applyFont="1" applyFill="1" applyBorder="1" applyAlignment="1"/>
    <xf numFmtId="168" fontId="37" fillId="8" borderId="42" xfId="0" applyNumberFormat="1" applyFont="1" applyFill="1" applyBorder="1" applyAlignment="1">
      <alignment horizontal="right" vertical="center"/>
    </xf>
    <xf numFmtId="168" fontId="36" fillId="8" borderId="1" xfId="0" applyNumberFormat="1" applyFont="1" applyFill="1" applyBorder="1"/>
    <xf numFmtId="168" fontId="36" fillId="8" borderId="1" xfId="0" applyNumberFormat="1" applyFont="1" applyFill="1" applyBorder="1" applyAlignment="1">
      <alignment horizontal="center"/>
    </xf>
    <xf numFmtId="0" fontId="36" fillId="0" borderId="0" xfId="0" applyFont="1" applyFill="1"/>
    <xf numFmtId="2" fontId="36" fillId="0" borderId="0" xfId="0" applyNumberFormat="1" applyFont="1" applyFill="1"/>
    <xf numFmtId="2" fontId="20" fillId="0" borderId="0" xfId="0" applyNumberFormat="1" applyFont="1"/>
    <xf numFmtId="0" fontId="0" fillId="10" borderId="0" xfId="0" applyFill="1"/>
    <xf numFmtId="0" fontId="6" fillId="10" borderId="1" xfId="0" applyFont="1" applyFill="1" applyBorder="1"/>
    <xf numFmtId="166" fontId="0" fillId="0" borderId="0" xfId="0" applyNumberFormat="1"/>
    <xf numFmtId="167" fontId="0" fillId="0" borderId="0" xfId="0" applyNumberFormat="1"/>
    <xf numFmtId="40" fontId="0" fillId="0" borderId="0" xfId="0" applyNumberFormat="1"/>
    <xf numFmtId="20" fontId="20" fillId="10" borderId="0" xfId="0" applyNumberFormat="1" applyFont="1" applyFill="1" applyAlignment="1">
      <alignment horizontal="center"/>
    </xf>
    <xf numFmtId="171" fontId="20" fillId="0" borderId="0" xfId="0" applyNumberFormat="1" applyFont="1"/>
    <xf numFmtId="0" fontId="0" fillId="0" borderId="0" xfId="0" applyAlignment="1">
      <alignment horizontal="center"/>
    </xf>
    <xf numFmtId="168" fontId="7" fillId="0" borderId="0" xfId="0" applyNumberFormat="1" applyFont="1"/>
    <xf numFmtId="2" fontId="7" fillId="23" borderId="3" xfId="0" applyNumberFormat="1" applyFont="1" applyFill="1" applyBorder="1"/>
    <xf numFmtId="0" fontId="22" fillId="10" borderId="12" xfId="0" applyFont="1" applyFill="1" applyBorder="1" applyAlignment="1">
      <alignment horizontal="center" vertical="center"/>
    </xf>
    <xf numFmtId="20" fontId="7" fillId="10" borderId="0" xfId="0" applyNumberFormat="1" applyFont="1" applyFill="1" applyAlignment="1">
      <alignment horizontal="center"/>
    </xf>
    <xf numFmtId="20" fontId="38" fillId="10" borderId="0" xfId="0" applyNumberFormat="1" applyFont="1" applyFill="1" applyAlignment="1">
      <alignment horizontal="center"/>
    </xf>
    <xf numFmtId="0" fontId="38" fillId="10" borderId="0" xfId="0" applyFont="1" applyFill="1" applyAlignment="1">
      <alignment horizontal="center"/>
    </xf>
    <xf numFmtId="0" fontId="23" fillId="0" borderId="33" xfId="0" applyFont="1" applyFill="1" applyBorder="1" applyAlignment="1">
      <alignment horizontal="center" vertical="center"/>
    </xf>
    <xf numFmtId="168" fontId="6" fillId="0" borderId="0" xfId="0" applyNumberFormat="1" applyFont="1" applyAlignment="1">
      <alignment horizontal="center"/>
    </xf>
    <xf numFmtId="0" fontId="23" fillId="0" borderId="31" xfId="0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horizontal="center" vertical="center"/>
    </xf>
    <xf numFmtId="0" fontId="23" fillId="12" borderId="31" xfId="0" applyFont="1" applyFill="1" applyBorder="1" applyAlignment="1">
      <alignment horizontal="center" vertical="center"/>
    </xf>
    <xf numFmtId="0" fontId="23" fillId="13" borderId="31" xfId="0" applyFont="1" applyFill="1" applyBorder="1" applyAlignment="1">
      <alignment horizontal="center" vertical="center"/>
    </xf>
    <xf numFmtId="0" fontId="23" fillId="14" borderId="31" xfId="0" applyFont="1" applyFill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14" borderId="0" xfId="0" applyFont="1" applyFill="1" applyBorder="1" applyAlignment="1">
      <alignment horizontal="center" vertical="center"/>
    </xf>
    <xf numFmtId="0" fontId="23" fillId="15" borderId="31" xfId="0" applyFont="1" applyFill="1" applyBorder="1" applyAlignment="1">
      <alignment horizontal="center" vertical="center"/>
    </xf>
    <xf numFmtId="0" fontId="23" fillId="10" borderId="31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0" fillId="24" borderId="0" xfId="0" applyFill="1"/>
    <xf numFmtId="0" fontId="39" fillId="24" borderId="38" xfId="0" applyFont="1" applyFill="1" applyBorder="1" applyAlignment="1">
      <alignment horizontal="center" vertical="center"/>
    </xf>
    <xf numFmtId="0" fontId="39" fillId="24" borderId="39" xfId="0" applyFont="1" applyFill="1" applyBorder="1" applyAlignment="1">
      <alignment horizontal="center" vertical="center"/>
    </xf>
    <xf numFmtId="0" fontId="39" fillId="24" borderId="40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top"/>
    </xf>
    <xf numFmtId="0" fontId="38" fillId="0" borderId="20" xfId="0" applyFont="1" applyFill="1" applyBorder="1" applyAlignment="1">
      <alignment horizontal="center" vertical="top"/>
    </xf>
    <xf numFmtId="0" fontId="0" fillId="24" borderId="0" xfId="0" applyFont="1" applyFill="1" applyAlignment="1">
      <alignment horizontal="center"/>
    </xf>
    <xf numFmtId="0" fontId="40" fillId="24" borderId="40" xfId="0" applyFont="1" applyFill="1" applyBorder="1" applyAlignment="1">
      <alignment horizontal="center" vertical="center"/>
    </xf>
    <xf numFmtId="0" fontId="40" fillId="24" borderId="41" xfId="0" applyFont="1" applyFill="1" applyBorder="1" applyAlignment="1">
      <alignment horizontal="center" vertical="center"/>
    </xf>
    <xf numFmtId="0" fontId="41" fillId="24" borderId="12" xfId="0" applyFont="1" applyFill="1" applyBorder="1" applyAlignment="1">
      <alignment horizontal="center" vertical="center"/>
    </xf>
    <xf numFmtId="0" fontId="41" fillId="24" borderId="14" xfId="0" applyFont="1" applyFill="1" applyBorder="1" applyAlignment="1">
      <alignment horizontal="center" vertical="center"/>
    </xf>
    <xf numFmtId="0" fontId="41" fillId="24" borderId="13" xfId="0" applyFont="1" applyFill="1" applyBorder="1" applyAlignment="1">
      <alignment horizontal="center" vertical="center"/>
    </xf>
    <xf numFmtId="165" fontId="41" fillId="24" borderId="23" xfId="2" applyNumberFormat="1" applyFont="1" applyFill="1" applyBorder="1" applyAlignment="1">
      <alignment horizontal="center" vertical="center"/>
    </xf>
    <xf numFmtId="0" fontId="41" fillId="24" borderId="33" xfId="0" applyFont="1" applyFill="1" applyBorder="1" applyAlignment="1">
      <alignment horizontal="center" vertical="center"/>
    </xf>
    <xf numFmtId="168" fontId="41" fillId="24" borderId="8" xfId="0" applyNumberFormat="1" applyFont="1" applyFill="1" applyBorder="1" applyAlignment="1">
      <alignment horizontal="center"/>
    </xf>
    <xf numFmtId="168" fontId="41" fillId="24" borderId="34" xfId="0" applyNumberFormat="1" applyFont="1" applyFill="1" applyBorder="1" applyAlignment="1">
      <alignment horizontal="center"/>
    </xf>
    <xf numFmtId="0" fontId="41" fillId="24" borderId="31" xfId="0" applyFont="1" applyFill="1" applyBorder="1" applyAlignment="1">
      <alignment horizontal="center" vertical="center"/>
    </xf>
    <xf numFmtId="168" fontId="41" fillId="24" borderId="36" xfId="0" applyNumberFormat="1" applyFont="1" applyFill="1" applyBorder="1" applyAlignment="1">
      <alignment horizontal="center"/>
    </xf>
    <xf numFmtId="168" fontId="41" fillId="24" borderId="37" xfId="0" applyNumberFormat="1" applyFont="1" applyFill="1" applyBorder="1" applyAlignment="1">
      <alignment horizontal="center"/>
    </xf>
    <xf numFmtId="0" fontId="41" fillId="24" borderId="0" xfId="0" applyFont="1" applyFill="1" applyBorder="1" applyAlignment="1">
      <alignment horizontal="center" vertical="center"/>
    </xf>
    <xf numFmtId="0" fontId="41" fillId="24" borderId="3" xfId="0" applyFont="1" applyFill="1" applyBorder="1" applyAlignment="1">
      <alignment horizontal="center" vertical="center"/>
    </xf>
    <xf numFmtId="168" fontId="41" fillId="24" borderId="14" xfId="0" applyNumberFormat="1" applyFont="1" applyFill="1" applyBorder="1" applyAlignment="1">
      <alignment horizontal="center"/>
    </xf>
    <xf numFmtId="10" fontId="0" fillId="0" borderId="0" xfId="0" applyNumberFormat="1" applyFont="1"/>
    <xf numFmtId="168" fontId="0" fillId="0" borderId="0" xfId="0" applyNumberFormat="1" applyFont="1"/>
    <xf numFmtId="2" fontId="0" fillId="0" borderId="0" xfId="0" applyNumberFormat="1" applyFont="1"/>
    <xf numFmtId="0" fontId="38" fillId="10" borderId="1" xfId="0" applyFont="1" applyFill="1" applyBorder="1"/>
    <xf numFmtId="0" fontId="20" fillId="10" borderId="0" xfId="0" applyFont="1" applyFill="1"/>
    <xf numFmtId="19" fontId="20" fillId="0" borderId="1" xfId="0" applyNumberFormat="1" applyFont="1" applyBorder="1"/>
    <xf numFmtId="168" fontId="26" fillId="8" borderId="1" xfId="0" applyNumberFormat="1" applyFont="1" applyFill="1" applyBorder="1" applyAlignment="1">
      <alignment horizontal="center" vertical="center"/>
    </xf>
    <xf numFmtId="0" fontId="42" fillId="24" borderId="0" xfId="0" applyFont="1" applyFill="1"/>
    <xf numFmtId="0" fontId="43" fillId="24" borderId="0" xfId="0" applyFont="1" applyFill="1"/>
    <xf numFmtId="0" fontId="44" fillId="0" borderId="0" xfId="0" applyFont="1" applyAlignment="1">
      <alignment horizontal="center" vertical="center"/>
    </xf>
    <xf numFmtId="0" fontId="5" fillId="4" borderId="19" xfId="0" applyFont="1" applyFill="1" applyBorder="1" applyAlignment="1">
      <alignment horizontal="left" vertical="center"/>
    </xf>
    <xf numFmtId="0" fontId="5" fillId="4" borderId="24" xfId="0" applyFont="1" applyFill="1" applyBorder="1" applyAlignment="1">
      <alignment horizontal="left" vertical="center"/>
    </xf>
    <xf numFmtId="0" fontId="5" fillId="4" borderId="23" xfId="0" applyFont="1" applyFill="1" applyBorder="1" applyAlignment="1">
      <alignment horizontal="left" vertical="center"/>
    </xf>
    <xf numFmtId="0" fontId="5" fillId="4" borderId="29" xfId="0" applyFont="1" applyFill="1" applyBorder="1" applyAlignment="1">
      <alignment horizontal="left" vertical="center"/>
    </xf>
    <xf numFmtId="0" fontId="6" fillId="10" borderId="33" xfId="0" applyFont="1" applyFill="1" applyBorder="1" applyAlignment="1">
      <alignment horizontal="center"/>
    </xf>
    <xf numFmtId="0" fontId="28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 vertical="top"/>
    </xf>
    <xf numFmtId="2" fontId="34" fillId="10" borderId="0" xfId="0" applyNumberFormat="1" applyFont="1" applyFill="1" applyAlignment="1">
      <alignment horizontal="center"/>
    </xf>
  </cellXfs>
  <cellStyles count="4">
    <cellStyle name="Normal" xfId="0" builtinId="0"/>
    <cellStyle name="Normal 2" xfId="1"/>
    <cellStyle name="Prosent" xfId="3" builtinId="5"/>
    <cellStyle name="Tusenskilje" xfId="2" builtinId="3"/>
  </cellStyles>
  <dxfs count="497"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1111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C4A4A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00DE00"/>
        </patternFill>
      </fill>
    </dxf>
    <dxf>
      <font>
        <strike val="0"/>
        <u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1111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C4A4A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00DE00"/>
        </patternFill>
      </fill>
    </dxf>
    <dxf>
      <font>
        <strike val="0"/>
        <u/>
      </font>
      <fill>
        <patternFill>
          <bgColor rgb="FF00DE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1111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C4A4A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00DE00"/>
        </patternFill>
      </fill>
    </dxf>
    <dxf>
      <font>
        <strike val="0"/>
        <u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2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1111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C4A4A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00DE00"/>
        </patternFill>
      </fill>
    </dxf>
    <dxf>
      <font>
        <strike val="0"/>
        <u/>
      </font>
      <fill>
        <patternFill>
          <bgColor rgb="FF00DE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externalLink" Target="externalLinks/externalLink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lrMapOvr bg1="lt1" tx1="dk1" bg2="lt2" tx2="dk2" accent1="accent1" accent2="accent2" accent3="accent3" accent4="accent4" accent5="accent5" accent6="accent6" hlink="hlink" folHlink="folHlink"/>
  <c:chart>
    <c:plotArea>
      <c:layout>
        <c:manualLayout>
          <c:layoutTarget val="inner"/>
          <c:xMode val="edge"/>
          <c:yMode val="edge"/>
          <c:x val="0.24963953900226163"/>
          <c:y val="0.13404475208744762"/>
          <c:w val="0.5191749993188568"/>
          <c:h val="0.73191049582510503"/>
        </c:manualLayout>
      </c:layout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Speedometer2!$A$10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tx>
                <c:strRef>
                  <c:f>Speedometer2!$B$11</c:f>
                  <c:strCache>
                    <c:ptCount val="1"/>
                    <c:pt idx="0">
                      <c:v>64</c:v>
                    </c:pt>
                  </c:strCache>
                </c:strRef>
              </c:tx>
              <c:dLblPos val="outEnd"/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{E41D77A5-5DBF-4C12-A2E1-A0D545B9CC5A}</c15:txfldGUID>
                      <c15:f>Speedometer2!$B$11</c15:f>
                      <c15:dlblFieldTableCache>
                        <c:ptCount val="1"/>
                        <c:pt idx="0">
                          <c:v>56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3458799548947826"/>
                  <c:y val="-0.1073452626711562"/>
                </c:manualLayout>
              </c:layout>
              <c:tx>
                <c:strRef>
                  <c:f>Speedometer2!$B$10</c:f>
                  <c:strCache>
                    <c:ptCount val="1"/>
                    <c:pt idx="0">
                      <c:v>AUD</c:v>
                    </c:pt>
                  </c:strCache>
                </c:strRef>
              </c:tx>
              <c:dLblPos val="bestFit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{0EB25934-8594-4B7E-8FCD-C9BD078642CC}</c15:txfldGUID>
                      <c15:f>Speedometer2!$B$10</c15:f>
                      <c15:dlblFieldTableCache>
                        <c:ptCount val="1"/>
                        <c:pt idx="0">
                          <c:v>AUD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CatName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Speedometer2!$B$11:$B$13</c:f>
              <c:numCache>
                <c:formatCode>General</c:formatCode>
                <c:ptCount val="3"/>
                <c:pt idx="0" formatCode="0">
                  <c:v>64.285714285714292</c:v>
                </c:pt>
                <c:pt idx="1">
                  <c:v>1</c:v>
                </c:pt>
                <c:pt idx="2" formatCode="0">
                  <c:v>134.71428571428572</c:v>
                </c:pt>
              </c:numCache>
            </c:numRef>
          </c:val>
        </c:ser>
        <c:firstSliceAng val="270"/>
      </c:pieChart>
      <c:spPr>
        <a:solidFill>
          <a:sysClr val="window" lastClr="FFFFFF">
            <a:lumMod val="65000"/>
          </a:sysClr>
        </a:solidFill>
      </c:spPr>
    </c:plotArea>
    <c:plotVisOnly val="1"/>
    <c:dispBlanksAs val="gap"/>
  </c:chart>
  <c:spPr>
    <a:solidFill>
      <a:sysClr val="window" lastClr="FFFFFF">
        <a:lumMod val="65000"/>
      </a:sysClr>
    </a:solidFill>
  </c:spPr>
  <c:printSettings>
    <c:headerFooter/>
    <c:pageMargins b="0.75000000000000078" l="0.70000000000000062" r="0.70000000000000062" t="0.75000000000000078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lrMapOvr bg1="lt1" tx1="dk1" bg2="lt2" tx2="dk2" accent1="accent1" accent2="accent2" accent3="accent3" accent4="accent4" accent5="accent5" accent6="accent6" hlink="hlink" folHlink="folHlink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Speedometer2!$A$15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tx>
                <c:strRef>
                  <c:f>Speedometer2!$B$16</c:f>
                  <c:strCache>
                    <c:ptCount val="1"/>
                    <c:pt idx="0">
                      <c:v>30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{01263796-3E5C-4341-9045-494E818EA2CC}</c15:txfldGUID>
                      <c15:f>Speedometer2!$B$16</c15:f>
                      <c15:dlblFieldTableCache>
                        <c:ptCount val="1"/>
                        <c:pt idx="0">
                          <c:v>50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093444652197497"/>
                  <c:y val="-0.15072505844961295"/>
                </c:manualLayout>
              </c:layout>
              <c:tx>
                <c:strRef>
                  <c:f>Speedometer2!$B$15</c:f>
                  <c:strCache>
                    <c:ptCount val="1"/>
                    <c:pt idx="0">
                      <c:v>CAD</c:v>
                    </c:pt>
                  </c:strCache>
                </c:strRef>
              </c:tx>
              <c:dLblPos val="bestFit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{05646CE9-DE6F-4ABC-B52A-830CCDC82714}</c15:txfldGUID>
                      <c15:f>Speedometer2!$B$15</c15:f>
                      <c15:dlblFieldTableCache>
                        <c:ptCount val="1"/>
                        <c:pt idx="0">
                          <c:v>CAD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Speedometer2!$B$16:$B$18</c:f>
              <c:numCache>
                <c:formatCode>General</c:formatCode>
                <c:ptCount val="3"/>
                <c:pt idx="0" formatCode="0">
                  <c:v>30</c:v>
                </c:pt>
                <c:pt idx="1">
                  <c:v>1</c:v>
                </c:pt>
                <c:pt idx="2" formatCode="0">
                  <c:v>169</c:v>
                </c:pt>
              </c:numCache>
            </c:numRef>
          </c:val>
        </c:ser>
        <c:firstSliceAng val="270"/>
      </c:pieChart>
    </c:plotArea>
    <c:plotVisOnly val="1"/>
    <c:dispBlanksAs val="gap"/>
  </c:chart>
  <c:spPr>
    <a:solidFill>
      <a:sysClr val="window" lastClr="FFFFFF">
        <a:lumMod val="65000"/>
      </a:sysClr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lrMapOvr bg1="lt1" tx1="dk1" bg2="lt2" tx2="dk2" accent1="accent1" accent2="accent2" accent3="accent3" accent4="accent4" accent5="accent5" accent6="accent6" hlink="hlink" folHlink="folHlink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Speedometer2!$A$20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tx>
                <c:strRef>
                  <c:f>Speedometer2!$B$21</c:f>
                  <c:strCache>
                    <c:ptCount val="1"/>
                    <c:pt idx="0">
                      <c:v>50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{25820D58-DDD7-4693-AABF-15635EE47F7D}</c15:txfldGUID>
                      <c15:f>Speedometer2!$B$21</c15:f>
                      <c15:dlblFieldTableCache>
                        <c:ptCount val="1"/>
                        <c:pt idx="0">
                          <c:v>54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7474459510206067"/>
                  <c:y val="-0.13725490196078433"/>
                </c:manualLayout>
              </c:layout>
              <c:tx>
                <c:strRef>
                  <c:f>Speedometer2!$B$20</c:f>
                  <c:strCache>
                    <c:ptCount val="1"/>
                    <c:pt idx="0">
                      <c:v>CHF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{0B95E870-DDDE-40B9-977C-B2246E214C26}</c15:txfldGUID>
                      <c15:f>Speedometer2!$B$20</c15:f>
                      <c15:dlblFieldTableCache>
                        <c:ptCount val="1"/>
                        <c:pt idx="0">
                          <c:v>CHF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Speedometer2!$B$21:$B$23</c:f>
              <c:numCache>
                <c:formatCode>General</c:formatCode>
                <c:ptCount val="3"/>
                <c:pt idx="0" formatCode="0">
                  <c:v>50</c:v>
                </c:pt>
                <c:pt idx="1">
                  <c:v>1</c:v>
                </c:pt>
                <c:pt idx="2" formatCode="0">
                  <c:v>149</c:v>
                </c:pt>
              </c:numCache>
            </c:numRef>
          </c:val>
        </c:ser>
        <c:firstSliceAng val="270"/>
      </c:pieChart>
    </c:plotArea>
    <c:plotVisOnly val="1"/>
    <c:dispBlanksAs val="gap"/>
  </c:chart>
  <c:spPr>
    <a:solidFill>
      <a:sysClr val="window" lastClr="FFFFFF">
        <a:lumMod val="65000"/>
      </a:sysClr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lrMapOvr bg1="lt1" tx1="dk1" bg2="lt2" tx2="dk2" accent1="accent1" accent2="accent2" accent3="accent3" accent4="accent4" accent5="accent5" accent6="accent6" hlink="hlink" folHlink="folHlink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Speedometer2!$A$25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tx>
                <c:strRef>
                  <c:f>Speedometer2!$B$26</c:f>
                  <c:strCache>
                    <c:ptCount val="1"/>
                    <c:pt idx="0">
                      <c:v>33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{AB81AC04-FF64-4E8E-B76B-434A65199D55}</c15:txfldGUID>
                      <c15:f>Speedometer2!$B$26</c15:f>
                      <c15:dlblFieldTableCache>
                        <c:ptCount val="1"/>
                        <c:pt idx="0">
                          <c:v>40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7021573579622249"/>
                  <c:y val="-0.1111111111111111"/>
                </c:manualLayout>
              </c:layout>
              <c:tx>
                <c:strRef>
                  <c:f>Speedometer2!$B$25</c:f>
                  <c:strCache>
                    <c:ptCount val="1"/>
                    <c:pt idx="0">
                      <c:v>EUR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{D81D8A99-8C11-4F3E-8DCB-51B2BA6A9E36}</c15:txfldGUID>
                      <c15:f>Speedometer2!$B$25</c15:f>
                      <c15:dlblFieldTableCache>
                        <c:ptCount val="1"/>
                        <c:pt idx="0">
                          <c:v>EUR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Speedometer2!$B$26:$B$28</c:f>
              <c:numCache>
                <c:formatCode>General</c:formatCode>
                <c:ptCount val="3"/>
                <c:pt idx="0" formatCode="0">
                  <c:v>32.857142857142854</c:v>
                </c:pt>
                <c:pt idx="1">
                  <c:v>1</c:v>
                </c:pt>
                <c:pt idx="2" formatCode="0">
                  <c:v>166.14285714285714</c:v>
                </c:pt>
              </c:numCache>
            </c:numRef>
          </c:val>
        </c:ser>
        <c:firstSliceAng val="270"/>
      </c:pieChart>
    </c:plotArea>
    <c:plotVisOnly val="1"/>
    <c:dispBlanksAs val="gap"/>
  </c:chart>
  <c:spPr>
    <a:solidFill>
      <a:sysClr val="window" lastClr="FFFFFF">
        <a:lumMod val="65000"/>
      </a:sysClr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lrMapOvr bg1="lt1" tx1="dk1" bg2="lt2" tx2="dk2" accent1="accent1" accent2="accent2" accent3="accent3" accent4="accent4" accent5="accent5" accent6="accent6" hlink="hlink" folHlink="folHlink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spPr>
            <a:ln w="3175"/>
            <a:effectLst>
              <a:outerShdw sx="1000" sy="1000" algn="ctr" rotWithShape="0">
                <a:srgbClr val="000000"/>
              </a:outerShdw>
            </a:effectLst>
          </c:spPr>
          <c:dPt>
            <c:idx val="1"/>
            <c:spPr>
              <a:solidFill>
                <a:srgbClr val="FF0000"/>
              </a:solidFill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dPt>
            <c:idx val="2"/>
            <c:spPr>
              <a:solidFill>
                <a:srgbClr val="FFC000"/>
              </a:solidFill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dPt>
            <c:idx val="3"/>
            <c:spPr>
              <a:solidFill>
                <a:srgbClr val="FFFF00"/>
              </a:solidFill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dPt>
            <c:idx val="4"/>
            <c:spPr>
              <a:solidFill>
                <a:srgbClr val="00B050"/>
              </a:solidFill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dPt>
            <c:idx val="5"/>
            <c:spPr>
              <a:solidFill>
                <a:srgbClr val="0070C0"/>
              </a:solidFill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dPt>
            <c:idx val="6"/>
            <c:spPr>
              <a:noFill/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Speedometer2!$A$30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tx>
                <c:strRef>
                  <c:f>Speedometer2!$B$31</c:f>
                  <c:strCache>
                    <c:ptCount val="1"/>
                    <c:pt idx="0">
                      <c:v>21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{636C65D5-607C-4E98-A045-824389793F73}</c15:txfldGUID>
                      <c15:f>Speedometer2!$B$31</c15:f>
                      <c15:dlblFieldTableCache>
                        <c:ptCount val="1"/>
                        <c:pt idx="0">
                          <c:v>30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3927944917347158"/>
                  <c:y val="-0.10884905306316099"/>
                </c:manualLayout>
              </c:layout>
              <c:tx>
                <c:strRef>
                  <c:f>Speedometer2!$B$30</c:f>
                  <c:strCache>
                    <c:ptCount val="1"/>
                    <c:pt idx="0">
                      <c:v>GBP</c:v>
                    </c:pt>
                  </c:strCache>
                </c:strRef>
              </c:tx>
              <c:dLblPos val="bestFit"/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{1D616D7D-DA33-4E35-9BA1-6833473CE256}</c15:txfldGUID>
                      <c15:f>Speedometer2!$B$30</c15:f>
                      <c15:dlblFieldTableCache>
                        <c:ptCount val="1"/>
                        <c:pt idx="0">
                          <c:v>GBP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Speedometer2!$B$31:$B$33</c:f>
              <c:numCache>
                <c:formatCode>General</c:formatCode>
                <c:ptCount val="3"/>
                <c:pt idx="0" formatCode="0">
                  <c:v>21.428571428571427</c:v>
                </c:pt>
                <c:pt idx="1">
                  <c:v>1</c:v>
                </c:pt>
                <c:pt idx="2" formatCode="0">
                  <c:v>177.57142857142858</c:v>
                </c:pt>
              </c:numCache>
            </c:numRef>
          </c:val>
        </c:ser>
        <c:firstSliceAng val="270"/>
      </c:pieChart>
    </c:plotArea>
    <c:plotVisOnly val="1"/>
    <c:dispBlanksAs val="gap"/>
  </c:chart>
  <c:spPr>
    <a:solidFill>
      <a:sysClr val="window" lastClr="FFFFFF">
        <a:lumMod val="65000"/>
      </a:sysClr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lrMapOvr bg1="lt1" tx1="dk1" bg2="lt2" tx2="dk2" accent1="accent1" accent2="accent2" accent3="accent3" accent4="accent4" accent5="accent5" accent6="accent6" hlink="hlink" folHlink="folHlink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Speedometer2!$A$35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tx>
                <c:strRef>
                  <c:f>Speedometer2!$B$36</c:f>
                  <c:strCache>
                    <c:ptCount val="1"/>
                    <c:pt idx="0">
                      <c:v>51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{EC823DD0-C7BC-42FB-872E-4B015B4E45BF}</c15:txfldGUID>
                      <c15:f>Speedometer2!$B$36</c15:f>
                      <c15:dlblFieldTableCache>
                        <c:ptCount val="1"/>
                        <c:pt idx="0">
                          <c:v>37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Speedometer2!$B$35</c:f>
                  <c:strCache>
                    <c:ptCount val="1"/>
                    <c:pt idx="0">
                      <c:v>JPY</c:v>
                    </c:pt>
                  </c:strCache>
                </c:strRef>
              </c:tx>
              <c:dLblPos val="bestFit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{BADB9484-D0E2-421F-9630-21787FDED41E}</c15:txfldGUID>
                      <c15:f>Speedometer2!$B$35</c15:f>
                      <c15:dlblFieldTableCache>
                        <c:ptCount val="1"/>
                        <c:pt idx="0">
                          <c:v>JPY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Speedometer2!$B$36:$B$38</c:f>
              <c:numCache>
                <c:formatCode>General</c:formatCode>
                <c:ptCount val="3"/>
                <c:pt idx="0" formatCode="0">
                  <c:v>51.428571428571431</c:v>
                </c:pt>
                <c:pt idx="1">
                  <c:v>1</c:v>
                </c:pt>
                <c:pt idx="2" formatCode="0">
                  <c:v>147.57142857142856</c:v>
                </c:pt>
              </c:numCache>
            </c:numRef>
          </c:val>
        </c:ser>
        <c:firstSliceAng val="270"/>
      </c:pieChart>
    </c:plotArea>
    <c:plotVisOnly val="1"/>
    <c:dispBlanksAs val="gap"/>
  </c:chart>
  <c:spPr>
    <a:solidFill>
      <a:sysClr val="window" lastClr="FFFFFF">
        <a:lumMod val="65000"/>
      </a:sysClr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lrMapOvr bg1="lt1" tx1="dk1" bg2="lt2" tx2="dk2" accent1="accent1" accent2="accent2" accent3="accent3" accent4="accent4" accent5="accent5" accent6="accent6" hlink="hlink" folHlink="folHlink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Speedometer2!$A$40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tx>
                <c:strRef>
                  <c:f>Speedometer2!$B$41</c:f>
                  <c:strCache>
                    <c:ptCount val="1"/>
                    <c:pt idx="0">
                      <c:v>83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{17C4FCF8-FB5D-4E2A-9CC1-F4F68DBF82E0}</c15:txfldGUID>
                      <c15:f>Speedometer2!$B$41</c15:f>
                      <c15:dlblFieldTableCache>
                        <c:ptCount val="1"/>
                        <c:pt idx="0">
                          <c:v>31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16800715529566421"/>
                  <c:y val="-0.23557768514229863"/>
                </c:manualLayout>
              </c:layout>
              <c:tx>
                <c:strRef>
                  <c:f>Speedometer2!$B$40</c:f>
                  <c:strCache>
                    <c:ptCount val="1"/>
                    <c:pt idx="0">
                      <c:v>NZD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{F366F45E-7CC1-4382-9337-A5BA6E42A4CE}</c15:txfldGUID>
                      <c15:f>Speedometer2!$B$40</c15:f>
                      <c15:dlblFieldTableCache>
                        <c:ptCount val="1"/>
                        <c:pt idx="0">
                          <c:v>NZD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Speedometer2!$B$41:$B$43</c:f>
              <c:numCache>
                <c:formatCode>General</c:formatCode>
                <c:ptCount val="3"/>
                <c:pt idx="0" formatCode="0">
                  <c:v>82.857142857142861</c:v>
                </c:pt>
                <c:pt idx="1">
                  <c:v>1</c:v>
                </c:pt>
                <c:pt idx="2" formatCode="0">
                  <c:v>116.14285714285714</c:v>
                </c:pt>
              </c:numCache>
            </c:numRef>
          </c:val>
        </c:ser>
        <c:firstSliceAng val="270"/>
      </c:pieChart>
    </c:plotArea>
    <c:plotVisOnly val="1"/>
    <c:dispBlanksAs val="gap"/>
  </c:chart>
  <c:spPr>
    <a:solidFill>
      <a:sysClr val="window" lastClr="FFFFFF">
        <a:lumMod val="65000"/>
      </a:sysClr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lrMapOvr bg1="lt1" tx1="dk1" bg2="lt2" tx2="dk2" accent1="accent1" accent2="accent2" accent3="accent3" accent4="accent4" accent5="accent5" accent6="accent6" hlink="hlink" folHlink="folHlink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Speedometer2!$A$45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tx>
                <c:strRef>
                  <c:f>Speedometer2!$B$46</c:f>
                  <c:strCache>
                    <c:ptCount val="1"/>
                    <c:pt idx="0">
                      <c:v>27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{DC2B4790-8426-4E00-B843-0C1E422B4ADF}</c15:txfldGUID>
                      <c15:f>Speedometer2!$B$46</c15:f>
                      <c15:dlblFieldTableCache>
                        <c:ptCount val="1"/>
                        <c:pt idx="0">
                          <c:v>61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7474449712169208"/>
                  <c:y val="-4.5751633986928206E-2"/>
                </c:manualLayout>
              </c:layout>
              <c:tx>
                <c:strRef>
                  <c:f>Speedometer2!$B$45</c:f>
                  <c:strCache>
                    <c:ptCount val="1"/>
                    <c:pt idx="0">
                      <c:v>USD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{FC1C89AE-CB75-4476-961C-079C9B73309C}</c15:txfldGUID>
                      <c15:f>Speedometer2!$B$45</c15:f>
                      <c15:dlblFieldTableCache>
                        <c:ptCount val="1"/>
                        <c:pt idx="0">
                          <c:v>USD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Speedometer2!$B$46:$B$48</c:f>
              <c:numCache>
                <c:formatCode>General</c:formatCode>
                <c:ptCount val="3"/>
                <c:pt idx="0" formatCode="0">
                  <c:v>27.142857142857146</c:v>
                </c:pt>
                <c:pt idx="1">
                  <c:v>1</c:v>
                </c:pt>
                <c:pt idx="2" formatCode="0">
                  <c:v>171.85714285714286</c:v>
                </c:pt>
              </c:numCache>
            </c:numRef>
          </c:val>
        </c:ser>
        <c:firstSliceAng val="270"/>
      </c:pieChart>
    </c:plotArea>
    <c:plotVisOnly val="1"/>
    <c:dispBlanksAs val="gap"/>
  </c:chart>
  <c:spPr>
    <a:solidFill>
      <a:sysClr val="window" lastClr="FFFFFF">
        <a:lumMod val="65000"/>
      </a:sysClr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plotArea>
      <c:layout>
        <c:manualLayout>
          <c:layoutTarget val="inner"/>
          <c:xMode val="edge"/>
          <c:yMode val="edge"/>
          <c:x val="0.24963953900226163"/>
          <c:y val="0.13404475208744762"/>
          <c:w val="0.5191749993188568"/>
          <c:h val="0.73191049582510503"/>
        </c:manualLayout>
      </c:layout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Speedometer2!$A$10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tx>
                <c:strRef>
                  <c:f>Speedometer2!$B$11</c:f>
                  <c:strCache>
                    <c:ptCount val="1"/>
                    <c:pt idx="0">
                      <c:v>64</c:v>
                    </c:pt>
                  </c:strCache>
                </c:strRef>
              </c:tx>
              <c:dLblPos val="outEnd"/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{127E6AAE-41F9-4308-AEA5-EF32E9C9ADF0}</c15:txfldGUID>
                      <c15:f>Speedometer2!$B$11</c15:f>
                      <c15:dlblFieldTableCache>
                        <c:ptCount val="1"/>
                        <c:pt idx="0">
                          <c:v>56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3458799548947826"/>
                  <c:y val="-0.1073452626711562"/>
                </c:manualLayout>
              </c:layout>
              <c:tx>
                <c:strRef>
                  <c:f>Speedometer2!$B$10</c:f>
                  <c:strCache>
                    <c:ptCount val="1"/>
                    <c:pt idx="0">
                      <c:v>AUD</c:v>
                    </c:pt>
                  </c:strCache>
                </c:strRef>
              </c:tx>
              <c:dLblPos val="bestFit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{90ED193E-23BE-49B6-80FD-8F6562B3327C}</c15:txfldGUID>
                      <c15:f>Speedometer2!$B$10</c15:f>
                      <c15:dlblFieldTableCache>
                        <c:ptCount val="1"/>
                        <c:pt idx="0">
                          <c:v>AUD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CatName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Speedometer2!$B$11:$B$13</c:f>
              <c:numCache>
                <c:formatCode>General</c:formatCode>
                <c:ptCount val="3"/>
                <c:pt idx="0" formatCode="0">
                  <c:v>64.285714285714292</c:v>
                </c:pt>
                <c:pt idx="1">
                  <c:v>1</c:v>
                </c:pt>
                <c:pt idx="2" formatCode="0">
                  <c:v>134.71428571428572</c:v>
                </c:pt>
              </c:numCache>
            </c:numRef>
          </c:val>
        </c:ser>
        <c:firstSliceAng val="270"/>
      </c:pieChart>
    </c:plotArea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Speedometer2!$A$15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tx>
                <c:strRef>
                  <c:f>Speedometer2!$B$16</c:f>
                  <c:strCache>
                    <c:ptCount val="1"/>
                    <c:pt idx="0">
                      <c:v>30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{8896E9AF-B9C5-46B2-975A-E80759B94405}</c15:txfldGUID>
                      <c15:f>Speedometer2!$B$16</c15:f>
                      <c15:dlblFieldTableCache>
                        <c:ptCount val="1"/>
                        <c:pt idx="0">
                          <c:v>50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093444652197497"/>
                  <c:y val="-0.15072505844961295"/>
                </c:manualLayout>
              </c:layout>
              <c:tx>
                <c:strRef>
                  <c:f>Speedometer2!$B$15</c:f>
                  <c:strCache>
                    <c:ptCount val="1"/>
                    <c:pt idx="0">
                      <c:v>CAD</c:v>
                    </c:pt>
                  </c:strCache>
                </c:strRef>
              </c:tx>
              <c:dLblPos val="bestFit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{B85258D1-2774-49BC-92EF-37F6DB039A91}</c15:txfldGUID>
                      <c15:f>Speedometer2!$B$15</c15:f>
                      <c15:dlblFieldTableCache>
                        <c:ptCount val="1"/>
                        <c:pt idx="0">
                          <c:v>CAD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Speedometer2!$B$16:$B$18</c:f>
              <c:numCache>
                <c:formatCode>General</c:formatCode>
                <c:ptCount val="3"/>
                <c:pt idx="0" formatCode="0">
                  <c:v>30</c:v>
                </c:pt>
                <c:pt idx="1">
                  <c:v>1</c:v>
                </c:pt>
                <c:pt idx="2" formatCode="0">
                  <c:v>169</c:v>
                </c:pt>
              </c:numCache>
            </c:numRef>
          </c:val>
        </c:ser>
        <c:firstSliceAng val="270"/>
      </c:pieChart>
    </c:plotArea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Speedometer2!$A$20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tx>
                <c:strRef>
                  <c:f>Speedometer2!$B$21</c:f>
                  <c:strCache>
                    <c:ptCount val="1"/>
                    <c:pt idx="0">
                      <c:v>50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{804DA066-EE02-4D6F-A23F-AE60202D32DA}</c15:txfldGUID>
                      <c15:f>Speedometer2!$B$21</c15:f>
                      <c15:dlblFieldTableCache>
                        <c:ptCount val="1"/>
                        <c:pt idx="0">
                          <c:v>54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7474459510206067"/>
                  <c:y val="-0.13725490196078433"/>
                </c:manualLayout>
              </c:layout>
              <c:tx>
                <c:strRef>
                  <c:f>Speedometer2!$B$20</c:f>
                  <c:strCache>
                    <c:ptCount val="1"/>
                    <c:pt idx="0">
                      <c:v>CHF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{40343897-76B6-4C5C-BE07-0017554A02C8}</c15:txfldGUID>
                      <c15:f>Speedometer2!$B$20</c15:f>
                      <c15:dlblFieldTableCache>
                        <c:ptCount val="1"/>
                        <c:pt idx="0">
                          <c:v>CHF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Speedometer2!$B$21:$B$23</c:f>
              <c:numCache>
                <c:formatCode>General</c:formatCode>
                <c:ptCount val="3"/>
                <c:pt idx="0" formatCode="0">
                  <c:v>50</c:v>
                </c:pt>
                <c:pt idx="1">
                  <c:v>1</c:v>
                </c:pt>
                <c:pt idx="2" formatCode="0">
                  <c:v>149</c:v>
                </c:pt>
              </c:numCache>
            </c:numRef>
          </c:val>
        </c:ser>
        <c:firstSliceAng val="270"/>
      </c:pieChart>
    </c:plotArea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spPr>
            <a:ln w="3175"/>
            <a:effectLst>
              <a:outerShdw sx="1000" sy="1000" algn="ctr" rotWithShape="0">
                <a:srgbClr val="000000"/>
              </a:outerShdw>
            </a:effectLst>
          </c:spPr>
          <c:dPt>
            <c:idx val="1"/>
            <c:spPr>
              <a:solidFill>
                <a:srgbClr val="FF0000"/>
              </a:solidFill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dPt>
            <c:idx val="2"/>
            <c:spPr>
              <a:solidFill>
                <a:srgbClr val="FFC000"/>
              </a:solidFill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dPt>
            <c:idx val="3"/>
            <c:spPr>
              <a:solidFill>
                <a:srgbClr val="FFFF00"/>
              </a:solidFill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dPt>
            <c:idx val="4"/>
            <c:spPr>
              <a:solidFill>
                <a:srgbClr val="00B050"/>
              </a:solidFill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dPt>
            <c:idx val="5"/>
            <c:spPr>
              <a:solidFill>
                <a:srgbClr val="0070C0"/>
              </a:solidFill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dPt>
            <c:idx val="6"/>
            <c:spPr>
              <a:noFill/>
              <a:ln w="3175"/>
              <a:effectLst>
                <a:outerShdw sx="1000" sy="1000" algn="ctr" rotWithShape="0">
                  <a:srgbClr val="000000"/>
                </a:outerShdw>
              </a:effectLst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Speedometer2!$A$30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tx>
                <c:strRef>
                  <c:f>Speedometer2!$B$31</c:f>
                  <c:strCache>
                    <c:ptCount val="1"/>
                    <c:pt idx="0">
                      <c:v>21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{FCE5C28E-4688-4BA5-AC64-0DF62ECB0351}</c15:txfldGUID>
                      <c15:f>Speedometer2!$B$31</c15:f>
                      <c15:dlblFieldTableCache>
                        <c:ptCount val="1"/>
                        <c:pt idx="0">
                          <c:v>30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3927944917347158"/>
                  <c:y val="-0.10884905306316099"/>
                </c:manualLayout>
              </c:layout>
              <c:tx>
                <c:strRef>
                  <c:f>Speedometer2!$B$30</c:f>
                  <c:strCache>
                    <c:ptCount val="1"/>
                    <c:pt idx="0">
                      <c:v>GBP</c:v>
                    </c:pt>
                  </c:strCache>
                </c:strRef>
              </c:tx>
              <c:dLblPos val="bestFit"/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{3E4EC163-E194-4187-8B87-6440C95441B0}</c15:txfldGUID>
                      <c15:f>Speedometer2!$B$30</c15:f>
                      <c15:dlblFieldTableCache>
                        <c:ptCount val="1"/>
                        <c:pt idx="0">
                          <c:v>GBP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Speedometer2!$B$31:$B$33</c:f>
              <c:numCache>
                <c:formatCode>General</c:formatCode>
                <c:ptCount val="3"/>
                <c:pt idx="0" formatCode="0">
                  <c:v>21.428571428571427</c:v>
                </c:pt>
                <c:pt idx="1">
                  <c:v>1</c:v>
                </c:pt>
                <c:pt idx="2" formatCode="0">
                  <c:v>177.57142857142858</c:v>
                </c:pt>
              </c:numCache>
            </c:numRef>
          </c:val>
        </c:ser>
        <c:firstSliceAng val="270"/>
      </c:pieChart>
    </c:plotArea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Speedometer2!$A$35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tx>
                <c:strRef>
                  <c:f>Speedometer2!$B$36</c:f>
                  <c:strCache>
                    <c:ptCount val="1"/>
                    <c:pt idx="0">
                      <c:v>51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{9D47E0E1-FB77-48A7-B595-C8657D5C620E}</c15:txfldGUID>
                      <c15:f>Speedometer2!$B$36</c15:f>
                      <c15:dlblFieldTableCache>
                        <c:ptCount val="1"/>
                        <c:pt idx="0">
                          <c:v>37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tx>
                <c:strRef>
                  <c:f>Speedometer2!$B$35</c:f>
                  <c:strCache>
                    <c:ptCount val="1"/>
                    <c:pt idx="0">
                      <c:v>JPY</c:v>
                    </c:pt>
                  </c:strCache>
                </c:strRef>
              </c:tx>
              <c:dLblPos val="bestFit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{CA6A40F0-B34C-4B8D-B34A-C1C8939FC043}</c15:txfldGUID>
                      <c15:f>Speedometer2!$B$35</c15:f>
                      <c15:dlblFieldTableCache>
                        <c:ptCount val="1"/>
                        <c:pt idx="0">
                          <c:v>JPY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Speedometer2!$B$36:$B$38</c:f>
              <c:numCache>
                <c:formatCode>General</c:formatCode>
                <c:ptCount val="3"/>
                <c:pt idx="0" formatCode="0">
                  <c:v>51.428571428571431</c:v>
                </c:pt>
                <c:pt idx="1">
                  <c:v>1</c:v>
                </c:pt>
                <c:pt idx="2" formatCode="0">
                  <c:v>147.57142857142856</c:v>
                </c:pt>
              </c:numCache>
            </c:numRef>
          </c:val>
        </c:ser>
        <c:firstSliceAng val="270"/>
      </c:pieChart>
    </c:plotArea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Speedometer2!$A$40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tx>
                <c:strRef>
                  <c:f>Speedometer2!$B$41</c:f>
                  <c:strCache>
                    <c:ptCount val="1"/>
                    <c:pt idx="0">
                      <c:v>83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{7D88FE53-CC1C-4944-90E9-03AB68A05AB8}</c15:txfldGUID>
                      <c15:f>Speedometer2!$B$41</c15:f>
                      <c15:dlblFieldTableCache>
                        <c:ptCount val="1"/>
                        <c:pt idx="0">
                          <c:v>31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16800715529566421"/>
                  <c:y val="-0.23557768514229863"/>
                </c:manualLayout>
              </c:layout>
              <c:tx>
                <c:strRef>
                  <c:f>Speedometer2!$B$40</c:f>
                  <c:strCache>
                    <c:ptCount val="1"/>
                    <c:pt idx="0">
                      <c:v>NZD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{71934B44-4040-4A30-BA7A-9B4235DFDD30}</c15:txfldGUID>
                      <c15:f>Speedometer2!$B$40</c15:f>
                      <c15:dlblFieldTableCache>
                        <c:ptCount val="1"/>
                        <c:pt idx="0">
                          <c:v>NZD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Speedometer2!$B$41:$B$43</c:f>
              <c:numCache>
                <c:formatCode>General</c:formatCode>
                <c:ptCount val="3"/>
                <c:pt idx="0" formatCode="0">
                  <c:v>82.857142857142861</c:v>
                </c:pt>
                <c:pt idx="1">
                  <c:v>1</c:v>
                </c:pt>
                <c:pt idx="2" formatCode="0">
                  <c:v>116.14285714285714</c:v>
                </c:pt>
              </c:numCache>
            </c:numRef>
          </c:val>
        </c:ser>
        <c:firstSliceAng val="270"/>
      </c:pieChart>
    </c:plotArea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Speedometer2!$A$45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tx>
                <c:strRef>
                  <c:f>Speedometer2!$B$46</c:f>
                  <c:strCache>
                    <c:ptCount val="1"/>
                    <c:pt idx="0">
                      <c:v>27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{17BF5583-412C-402F-AD1B-CE4FF396A517}</c15:txfldGUID>
                      <c15:f>Speedometer2!$B$46</c15:f>
                      <c15:dlblFieldTableCache>
                        <c:ptCount val="1"/>
                        <c:pt idx="0">
                          <c:v>61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7474449712169208"/>
                  <c:y val="-4.5751633986928206E-2"/>
                </c:manualLayout>
              </c:layout>
              <c:tx>
                <c:strRef>
                  <c:f>Speedometer2!$B$45</c:f>
                  <c:strCache>
                    <c:ptCount val="1"/>
                    <c:pt idx="0">
                      <c:v>USD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{F476585E-14E3-4F70-8D7A-EFCD80E61F0F}</c15:txfldGUID>
                      <c15:f>Speedometer2!$B$45</c15:f>
                      <c15:dlblFieldTableCache>
                        <c:ptCount val="1"/>
                        <c:pt idx="0">
                          <c:v>USD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Speedometer2!$B$46:$B$48</c:f>
              <c:numCache>
                <c:formatCode>General</c:formatCode>
                <c:ptCount val="3"/>
                <c:pt idx="0" formatCode="0">
                  <c:v>27.142857142857146</c:v>
                </c:pt>
                <c:pt idx="1">
                  <c:v>1</c:v>
                </c:pt>
                <c:pt idx="2" formatCode="0">
                  <c:v>171.85714285714286</c:v>
                </c:pt>
              </c:numCache>
            </c:numRef>
          </c:val>
        </c:ser>
        <c:firstSliceAng val="270"/>
      </c:pieChart>
    </c:plotArea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plotArea>
      <c:layout/>
      <c:doughnutChart>
        <c:varyColors val="1"/>
        <c:ser>
          <c:idx val="0"/>
          <c:order val="0"/>
          <c:tx>
            <c:strRef>
              <c:f>Speedometer2!$A$2</c:f>
              <c:strCache>
                <c:ptCount val="1"/>
                <c:pt idx="0">
                  <c:v>Speedometer</c:v>
                </c:pt>
              </c:strCache>
            </c:strRef>
          </c:tx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Pt>
            <c:idx val="5"/>
            <c:spPr>
              <a:solidFill>
                <a:srgbClr val="0070C0"/>
              </a:solidFill>
            </c:spPr>
          </c:dPt>
          <c:dPt>
            <c:idx val="6"/>
            <c:spPr>
              <a:noFill/>
            </c:spPr>
          </c:dPt>
          <c:val>
            <c:numRef>
              <c:f>Speedometer2!$B$3:$B$9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50</c:v>
                </c:pt>
                <c:pt idx="4">
                  <c:v>15</c:v>
                </c:pt>
                <c:pt idx="5">
                  <c:v>10</c:v>
                </c:pt>
                <c:pt idx="6">
                  <c:v>100</c:v>
                </c:pt>
              </c:numCache>
            </c:numRef>
          </c:val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Speedometer2!$A$25</c:f>
              <c:strCache>
                <c:ptCount val="1"/>
                <c:pt idx="0">
                  <c:v>Pointer</c:v>
                </c:pt>
              </c:strCache>
            </c:strRef>
          </c:tx>
          <c:dPt>
            <c:idx val="0"/>
            <c:spPr>
              <a:noFill/>
            </c:spPr>
          </c:dPt>
          <c:dPt>
            <c:idx val="1"/>
            <c:spPr>
              <a:solidFill>
                <a:schemeClr val="tx1"/>
              </a:solidFill>
            </c:spPr>
          </c:dPt>
          <c:dPt>
            <c:idx val="2"/>
            <c:spPr>
              <a:noFill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tx>
                <c:strRef>
                  <c:f>Speedometer2!$B$26</c:f>
                  <c:strCache>
                    <c:ptCount val="1"/>
                    <c:pt idx="0">
                      <c:v>33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{C34FE58F-5E95-4FCD-8F69-402197BBBC11}</c15:txfldGUID>
                      <c15:f>Speedometer2!$B$26</c15:f>
                      <c15:dlblFieldTableCache>
                        <c:ptCount val="1"/>
                        <c:pt idx="0">
                          <c:v>40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>
                <c:manualLayout>
                  <c:x val="-0.27021573579622249"/>
                  <c:y val="-0.1111111111111111"/>
                </c:manualLayout>
              </c:layout>
              <c:tx>
                <c:strRef>
                  <c:f>Speedometer2!$B$25</c:f>
                  <c:strCache>
                    <c:ptCount val="1"/>
                    <c:pt idx="0">
                      <c:v>EUR</c:v>
                    </c:pt>
                  </c:strCache>
                </c:strRef>
              </c:tx>
              <c:showCatNam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{7934A914-7C5D-4BD8-B715-D0017773D8B4}</c15:txfldGUID>
                      <c15:f>Speedometer2!$B$25</c15:f>
                      <c15:dlblFieldTableCache>
                        <c:ptCount val="1"/>
                        <c:pt idx="0">
                          <c:v>EUR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showCatName val="1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Speedometer2!$B$26:$B$28</c:f>
              <c:numCache>
                <c:formatCode>General</c:formatCode>
                <c:ptCount val="3"/>
                <c:pt idx="0" formatCode="0">
                  <c:v>32.857142857142854</c:v>
                </c:pt>
                <c:pt idx="1">
                  <c:v>1</c:v>
                </c:pt>
                <c:pt idx="2" formatCode="0">
                  <c:v>166.14285714285714</c:v>
                </c:pt>
              </c:numCache>
            </c:numRef>
          </c:val>
        </c:ser>
        <c:firstSliceAng val="270"/>
      </c:pieChart>
    </c:plotArea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autoTitleDeleted val="1"/>
    <c:plotArea>
      <c:layout>
        <c:manualLayout>
          <c:layoutTarget val="inner"/>
          <c:xMode val="edge"/>
          <c:yMode val="edge"/>
          <c:x val="4.7638043276035354E-3"/>
          <c:y val="1.0762326771735081E-3"/>
          <c:w val="0.99523619567239563"/>
          <c:h val="0.99892376732282651"/>
        </c:manualLayout>
      </c:layout>
      <c:barChart>
        <c:barDir val="bar"/>
        <c:grouping val="clustered"/>
        <c:ser>
          <c:idx val="0"/>
          <c:order val="0"/>
          <c:tx>
            <c:v>6</c:v>
          </c:tx>
          <c:spPr>
            <a:solidFill>
              <a:srgbClr val="5B9BD5">
                <a:alpha val="80000"/>
              </a:srgbClr>
            </a:solidFill>
            <a:ln w="0"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  <c:invertIfNegative val="1"/>
          <c:cat>
            <c:strLit>
              <c:ptCount val="7"/>
              <c:pt idx="0">
                <c:v>AUDCHF</c:v>
              </c:pt>
              <c:pt idx="1">
                <c:v>CADCHF</c:v>
              </c:pt>
              <c:pt idx="2">
                <c:v>NZDCHF</c:v>
              </c:pt>
              <c:pt idx="3">
                <c:v>EURCHF</c:v>
              </c:pt>
              <c:pt idx="4">
                <c:v>GBPCHF</c:v>
              </c:pt>
              <c:pt idx="5">
                <c:v>USDCHF</c:v>
              </c:pt>
              <c:pt idx="6">
                <c:v>CHFJPY</c:v>
              </c:pt>
            </c:strLit>
          </c:cat>
          <c:val>
            <c:numLit>
              <c:formatCode>General</c:formatCode>
              <c:ptCount val="7"/>
              <c:pt idx="0">
                <c:v>0.31556243938450318</c:v>
              </c:pt>
              <c:pt idx="1">
                <c:v>-0.41772907285845684</c:v>
              </c:pt>
              <c:pt idx="2">
                <c:v>0.38215180864560039</c:v>
              </c:pt>
              <c:pt idx="3">
                <c:v>7.6714050686739421E-2</c:v>
              </c:pt>
              <c:pt idx="4">
                <c:v>0.54826575243693787</c:v>
              </c:pt>
              <c:pt idx="5">
                <c:v>0.30645872252891782</c:v>
              </c:pt>
              <c:pt idx="6">
                <c:v>-0.13027597726963655</c:v>
              </c:pt>
            </c:numLit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 w="0">
                    <a:solidFill>
                      <a:schemeClr val="tx1">
                        <a:lumMod val="15000"/>
                        <a:lumOff val="85000"/>
                      </a:schemeClr>
                    </a:solidFill>
                  </a:ln>
                  <a:effectLst/>
                </c14:spPr>
              </c14:invertSolidFillFmt>
            </c:ext>
          </c:extLst>
        </c:ser>
        <c:gapWidth val="48"/>
        <c:axId val="181745536"/>
        <c:axId val="181747072"/>
      </c:barChart>
      <c:catAx>
        <c:axId val="181745536"/>
        <c:scaling>
          <c:orientation val="maxMin"/>
        </c:scaling>
        <c:axPos val="l"/>
        <c:numFmt formatCode="General" sourceLinked="1"/>
        <c:majorTickMark val="cross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747072"/>
        <c:crosses val="autoZero"/>
        <c:auto val="1"/>
        <c:lblAlgn val="ctr"/>
        <c:lblOffset val="100"/>
        <c:tickMarkSkip val="1"/>
      </c:catAx>
      <c:valAx>
        <c:axId val="181747072"/>
        <c:scaling>
          <c:orientation val="minMax"/>
          <c:max val="2"/>
          <c:min val="-2"/>
        </c:scaling>
        <c:axPos val="t"/>
        <c:majorGridlines>
          <c:spPr>
            <a:ln w="0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tickLblPos val="none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745536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autoTitleDeleted val="1"/>
    <c:plotArea>
      <c:layout>
        <c:manualLayout>
          <c:layoutTarget val="inner"/>
          <c:xMode val="edge"/>
          <c:yMode val="edge"/>
          <c:x val="4.7638043276035354E-3"/>
          <c:y val="1.0762326771735081E-3"/>
          <c:w val="0.99523619567239563"/>
          <c:h val="0.99892376732282651"/>
        </c:manualLayout>
      </c:layout>
      <c:barChart>
        <c:barDir val="bar"/>
        <c:grouping val="clustered"/>
        <c:ser>
          <c:idx val="0"/>
          <c:order val="0"/>
          <c:tx>
            <c:v>5</c:v>
          </c:tx>
          <c:spPr>
            <a:solidFill>
              <a:srgbClr val="5B9BD5">
                <a:alpha val="80000"/>
              </a:srgbClr>
            </a:solidFill>
            <a:ln>
              <a:noFill/>
            </a:ln>
            <a:effectLst/>
          </c:spPr>
          <c:invertIfNegative val="1"/>
          <c:cat>
            <c:strLit>
              <c:ptCount val="7"/>
              <c:pt idx="0">
                <c:v>EURUSD</c:v>
              </c:pt>
              <c:pt idx="1">
                <c:v>EURGBP</c:v>
              </c:pt>
              <c:pt idx="2">
                <c:v>EURJPY</c:v>
              </c:pt>
              <c:pt idx="3">
                <c:v>EURCHF</c:v>
              </c:pt>
              <c:pt idx="4">
                <c:v>EURCAD</c:v>
              </c:pt>
              <c:pt idx="5">
                <c:v>EURAUD</c:v>
              </c:pt>
              <c:pt idx="6">
                <c:v>EURNZD</c:v>
              </c:pt>
            </c:strLit>
          </c:cat>
          <c:val>
            <c:numLit>
              <c:formatCode>General</c:formatCode>
              <c:ptCount val="7"/>
              <c:pt idx="0">
                <c:v>-0.26326216156725085</c:v>
              </c:pt>
              <c:pt idx="1">
                <c:v>-0.39711142239328112</c:v>
              </c:pt>
              <c:pt idx="2">
                <c:v>-0.18657679515636774</c:v>
              </c:pt>
              <c:pt idx="3">
                <c:v>7.6714050686739421E-2</c:v>
              </c:pt>
              <c:pt idx="4">
                <c:v>0.61083394189228946</c:v>
              </c:pt>
              <c:pt idx="5">
                <c:v>-0.15597233408762587</c:v>
              </c:pt>
              <c:pt idx="6">
                <c:v>3.238652720468195E-2</c:v>
              </c:pt>
            </c:numLit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gapWidth val="48"/>
        <c:axId val="181774592"/>
        <c:axId val="181784576"/>
      </c:barChart>
      <c:catAx>
        <c:axId val="181774592"/>
        <c:scaling>
          <c:orientation val="maxMin"/>
        </c:scaling>
        <c:axPos val="l"/>
        <c:numFmt formatCode="General" sourceLinked="1"/>
        <c:majorTickMark val="cross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784576"/>
        <c:crosses val="autoZero"/>
        <c:auto val="1"/>
        <c:lblAlgn val="ctr"/>
        <c:lblOffset val="100"/>
        <c:tickMarkSkip val="1"/>
      </c:catAx>
      <c:valAx>
        <c:axId val="181784576"/>
        <c:scaling>
          <c:orientation val="minMax"/>
          <c:max val="2"/>
          <c:min val="-2"/>
        </c:scaling>
        <c:axPos val="t"/>
        <c:majorGridlines>
          <c:spPr>
            <a:ln w="0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tickLblPos val="none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77459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autoTitleDeleted val="1"/>
    <c:plotArea>
      <c:layout>
        <c:manualLayout>
          <c:layoutTarget val="inner"/>
          <c:xMode val="edge"/>
          <c:yMode val="edge"/>
          <c:x val="4.7638043276035354E-3"/>
          <c:y val="1.0762326771735081E-3"/>
          <c:w val="0.99523619567239563"/>
          <c:h val="0.99892376732282651"/>
        </c:manualLayout>
      </c:layout>
      <c:barChart>
        <c:barDir val="bar"/>
        <c:grouping val="clustered"/>
        <c:ser>
          <c:idx val="0"/>
          <c:order val="0"/>
          <c:tx>
            <c:v>3</c:v>
          </c:tx>
          <c:spPr>
            <a:solidFill>
              <a:srgbClr val="5B9BD5">
                <a:alpha val="80000"/>
              </a:srgbClr>
            </a:solidFill>
            <a:ln>
              <a:noFill/>
            </a:ln>
            <a:effectLst/>
          </c:spPr>
          <c:invertIfNegative val="1"/>
          <c:cat>
            <c:strLit>
              <c:ptCount val="7"/>
              <c:pt idx="0">
                <c:v>USDJPY</c:v>
              </c:pt>
              <c:pt idx="1">
                <c:v>EURJPY</c:v>
              </c:pt>
              <c:pt idx="2">
                <c:v>GBPJPY</c:v>
              </c:pt>
              <c:pt idx="3">
                <c:v>AUDJPY</c:v>
              </c:pt>
              <c:pt idx="4">
                <c:v>CHFJPY</c:v>
              </c:pt>
              <c:pt idx="5">
                <c:v>NZDJPY</c:v>
              </c:pt>
              <c:pt idx="6">
                <c:v>CADJPY</c:v>
              </c:pt>
            </c:strLit>
          </c:cat>
          <c:val>
            <c:numLit>
              <c:formatCode>General</c:formatCode>
              <c:ptCount val="7"/>
              <c:pt idx="0">
                <c:v>8.4603077541651597E-2</c:v>
              </c:pt>
              <c:pt idx="1">
                <c:v>-0.18657679515636774</c:v>
              </c:pt>
              <c:pt idx="2">
                <c:v>0.23272719381996676</c:v>
              </c:pt>
              <c:pt idx="3">
                <c:v>3.3484977946112951E-2</c:v>
              </c:pt>
              <c:pt idx="4">
                <c:v>-0.13027597726963655</c:v>
              </c:pt>
              <c:pt idx="5">
                <c:v>-8.7457810844766018E-2</c:v>
              </c:pt>
              <c:pt idx="6">
                <c:v>-0.73756840352128161</c:v>
              </c:pt>
            </c:numLit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gapWidth val="48"/>
        <c:axId val="181865088"/>
        <c:axId val="181866880"/>
      </c:barChart>
      <c:catAx>
        <c:axId val="181865088"/>
        <c:scaling>
          <c:orientation val="maxMin"/>
        </c:scaling>
        <c:axPos val="l"/>
        <c:numFmt formatCode="General" sourceLinked="1"/>
        <c:majorTickMark val="cross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866880"/>
        <c:crosses val="autoZero"/>
        <c:auto val="1"/>
        <c:lblAlgn val="ctr"/>
        <c:lblOffset val="100"/>
        <c:tickMarkSkip val="1"/>
      </c:catAx>
      <c:valAx>
        <c:axId val="181866880"/>
        <c:scaling>
          <c:orientation val="minMax"/>
          <c:max val="2"/>
          <c:min val="-2"/>
        </c:scaling>
        <c:axPos val="t"/>
        <c:majorGridlines>
          <c:spPr>
            <a:ln w="0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tickLblPos val="none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865088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autoTitleDeleted val="1"/>
    <c:plotArea>
      <c:layout>
        <c:manualLayout>
          <c:layoutTarget val="inner"/>
          <c:xMode val="edge"/>
          <c:yMode val="edge"/>
          <c:x val="4.7638043276035354E-3"/>
          <c:y val="1.0762326771735081E-3"/>
          <c:w val="0.99523619567239563"/>
          <c:h val="0.99892376732282651"/>
        </c:manualLayout>
      </c:layout>
      <c:barChart>
        <c:barDir val="bar"/>
        <c:grouping val="clustered"/>
        <c:ser>
          <c:idx val="0"/>
          <c:order val="0"/>
          <c:tx>
            <c:v>5</c:v>
          </c:tx>
          <c:spPr>
            <a:solidFill>
              <a:srgbClr val="5B9BD5">
                <a:alpha val="80000"/>
              </a:srgbClr>
            </a:solidFill>
            <a:ln>
              <a:noFill/>
            </a:ln>
            <a:effectLst/>
          </c:spPr>
          <c:invertIfNegative val="1"/>
          <c:cat>
            <c:strLit>
              <c:ptCount val="7"/>
              <c:pt idx="0">
                <c:v>EURUSD</c:v>
              </c:pt>
              <c:pt idx="1">
                <c:v>GBPUSD</c:v>
              </c:pt>
              <c:pt idx="2">
                <c:v>AUDUSD</c:v>
              </c:pt>
              <c:pt idx="3">
                <c:v>NZDUSD</c:v>
              </c:pt>
              <c:pt idx="4">
                <c:v>USDCHF</c:v>
              </c:pt>
              <c:pt idx="5">
                <c:v>USDJPY</c:v>
              </c:pt>
              <c:pt idx="6">
                <c:v>USDCAD</c:v>
              </c:pt>
            </c:strLit>
          </c:cat>
          <c:val>
            <c:numLit>
              <c:formatCode>General</c:formatCode>
              <c:ptCount val="7"/>
              <c:pt idx="0">
                <c:v>-0.26326216156725085</c:v>
              </c:pt>
              <c:pt idx="1">
                <c:v>0.15479876160990028</c:v>
              </c:pt>
              <c:pt idx="2">
                <c:v>-6.4789159532962576E-2</c:v>
              </c:pt>
              <c:pt idx="3">
                <c:v>-0.1676519897644092</c:v>
              </c:pt>
              <c:pt idx="4">
                <c:v>0.30645872252891782</c:v>
              </c:pt>
              <c:pt idx="5">
                <c:v>8.4603077541651597E-2</c:v>
              </c:pt>
              <c:pt idx="6">
                <c:v>0.83923562140632935</c:v>
              </c:pt>
            </c:numLit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gapWidth val="48"/>
        <c:axId val="181906432"/>
        <c:axId val="181908224"/>
      </c:barChart>
      <c:catAx>
        <c:axId val="181906432"/>
        <c:scaling>
          <c:orientation val="maxMin"/>
        </c:scaling>
        <c:axPos val="l"/>
        <c:numFmt formatCode="General" sourceLinked="1"/>
        <c:majorTickMark val="cross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908224"/>
        <c:crosses val="autoZero"/>
        <c:auto val="1"/>
        <c:lblAlgn val="ctr"/>
        <c:lblOffset val="100"/>
        <c:tickMarkSkip val="1"/>
      </c:catAx>
      <c:valAx>
        <c:axId val="181908224"/>
        <c:scaling>
          <c:orientation val="minMax"/>
          <c:max val="2"/>
          <c:min val="-2"/>
        </c:scaling>
        <c:axPos val="t"/>
        <c:majorGridlines>
          <c:spPr>
            <a:ln w="0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tickLblPos val="none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90643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autoTitleDeleted val="1"/>
    <c:plotArea>
      <c:layout>
        <c:manualLayout>
          <c:layoutTarget val="inner"/>
          <c:xMode val="edge"/>
          <c:yMode val="edge"/>
          <c:x val="4.7638043276035354E-3"/>
          <c:y val="1.0762326771735081E-3"/>
          <c:w val="0.99523619567239563"/>
          <c:h val="0.99892376732282651"/>
        </c:manualLayout>
      </c:layout>
      <c:barChart>
        <c:barDir val="bar"/>
        <c:grouping val="clustered"/>
        <c:ser>
          <c:idx val="0"/>
          <c:order val="0"/>
          <c:tx>
            <c:v>6</c:v>
          </c:tx>
          <c:spPr>
            <a:solidFill>
              <a:srgbClr val="5B9BD5">
                <a:alpha val="80000"/>
              </a:srgbClr>
            </a:solidFill>
            <a:ln>
              <a:noFill/>
            </a:ln>
            <a:effectLst/>
          </c:spPr>
          <c:invertIfNegative val="1"/>
          <c:cat>
            <c:strLit>
              <c:ptCount val="7"/>
              <c:pt idx="0">
                <c:v>GBPUSD</c:v>
              </c:pt>
              <c:pt idx="1">
                <c:v>GBPNZD</c:v>
              </c:pt>
              <c:pt idx="2">
                <c:v>GBPCAD</c:v>
              </c:pt>
              <c:pt idx="3">
                <c:v>GBPAUD</c:v>
              </c:pt>
              <c:pt idx="4">
                <c:v>GBPCHF</c:v>
              </c:pt>
              <c:pt idx="5">
                <c:v>GBPJPY</c:v>
              </c:pt>
              <c:pt idx="6">
                <c:v>EURGBP</c:v>
              </c:pt>
            </c:strLit>
          </c:cat>
          <c:val>
            <c:numLit>
              <c:formatCode>General</c:formatCode>
              <c:ptCount val="7"/>
              <c:pt idx="0">
                <c:v>0.15479876160990028</c:v>
              </c:pt>
              <c:pt idx="1">
                <c:v>0.43849007662547235</c:v>
              </c:pt>
              <c:pt idx="2">
                <c:v>1.082517468466341</c:v>
              </c:pt>
              <c:pt idx="3">
                <c:v>0.31759474910013941</c:v>
              </c:pt>
              <c:pt idx="4">
                <c:v>0.54826575243693787</c:v>
              </c:pt>
              <c:pt idx="5">
                <c:v>0.23272719381996676</c:v>
              </c:pt>
              <c:pt idx="6">
                <c:v>-0.39711142239328112</c:v>
              </c:pt>
            </c:numLit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gapWidth val="48"/>
        <c:axId val="181923200"/>
        <c:axId val="181933184"/>
      </c:barChart>
      <c:catAx>
        <c:axId val="181923200"/>
        <c:scaling>
          <c:orientation val="maxMin"/>
        </c:scaling>
        <c:axPos val="l"/>
        <c:numFmt formatCode="General" sourceLinked="1"/>
        <c:majorTickMark val="cross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933184"/>
        <c:crosses val="autoZero"/>
        <c:auto val="1"/>
        <c:lblAlgn val="ctr"/>
        <c:lblOffset val="100"/>
        <c:tickMarkSkip val="1"/>
      </c:catAx>
      <c:valAx>
        <c:axId val="181933184"/>
        <c:scaling>
          <c:orientation val="minMax"/>
          <c:max val="2"/>
          <c:min val="-2"/>
        </c:scaling>
        <c:axPos val="t"/>
        <c:majorGridlines>
          <c:spPr>
            <a:ln w="0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tickLblPos val="none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923200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autoTitleDeleted val="1"/>
    <c:plotArea>
      <c:layout>
        <c:manualLayout>
          <c:layoutTarget val="inner"/>
          <c:xMode val="edge"/>
          <c:yMode val="edge"/>
          <c:x val="4.7638043276035354E-3"/>
          <c:y val="1.0762326771735081E-3"/>
          <c:w val="0.99523619567239563"/>
          <c:h val="0.99892376732282651"/>
        </c:manualLayout>
      </c:layout>
      <c:barChart>
        <c:barDir val="bar"/>
        <c:grouping val="clustered"/>
        <c:ser>
          <c:idx val="0"/>
          <c:order val="0"/>
          <c:tx>
            <c:v>7</c:v>
          </c:tx>
          <c:spPr>
            <a:solidFill>
              <a:srgbClr val="5B9BD5">
                <a:alpha val="80000"/>
              </a:srgbClr>
            </a:solidFill>
            <a:ln>
              <a:noFill/>
            </a:ln>
            <a:effectLst/>
          </c:spPr>
          <c:invertIfNegative val="1"/>
          <c:cat>
            <c:strLit>
              <c:ptCount val="7"/>
              <c:pt idx="0">
                <c:v>AUDUSD</c:v>
              </c:pt>
              <c:pt idx="1">
                <c:v>AUDCHF</c:v>
              </c:pt>
              <c:pt idx="2">
                <c:v>AUDCAD</c:v>
              </c:pt>
              <c:pt idx="3">
                <c:v>AUDJPY</c:v>
              </c:pt>
              <c:pt idx="4">
                <c:v>AUDNZD</c:v>
              </c:pt>
              <c:pt idx="5">
                <c:v>EURAUD</c:v>
              </c:pt>
              <c:pt idx="6">
                <c:v>GBPAUD</c:v>
              </c:pt>
            </c:strLit>
          </c:cat>
          <c:val>
            <c:numLit>
              <c:formatCode>General</c:formatCode>
              <c:ptCount val="7"/>
              <c:pt idx="0">
                <c:v>-6.4789159532962576E-2</c:v>
              </c:pt>
              <c:pt idx="1">
                <c:v>0.31556243938450318</c:v>
              </c:pt>
              <c:pt idx="2">
                <c:v>0.81418085072282154</c:v>
              </c:pt>
              <c:pt idx="3">
                <c:v>3.3484977946112951E-2</c:v>
              </c:pt>
              <c:pt idx="4">
                <c:v>0.19801422699375518</c:v>
              </c:pt>
              <c:pt idx="5">
                <c:v>-0.15597233408762587</c:v>
              </c:pt>
              <c:pt idx="6">
                <c:v>0.31759474910013941</c:v>
              </c:pt>
            </c:numLit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gapWidth val="48"/>
        <c:axId val="181964800"/>
        <c:axId val="181966336"/>
      </c:barChart>
      <c:catAx>
        <c:axId val="181964800"/>
        <c:scaling>
          <c:orientation val="maxMin"/>
        </c:scaling>
        <c:axPos val="l"/>
        <c:numFmt formatCode="General" sourceLinked="1"/>
        <c:majorTickMark val="cross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966336"/>
        <c:crosses val="autoZero"/>
        <c:auto val="1"/>
        <c:lblAlgn val="ctr"/>
        <c:lblOffset val="100"/>
        <c:tickMarkSkip val="1"/>
      </c:catAx>
      <c:valAx>
        <c:axId val="181966336"/>
        <c:scaling>
          <c:orientation val="minMax"/>
          <c:max val="2"/>
          <c:min val="-2"/>
        </c:scaling>
        <c:axPos val="t"/>
        <c:majorGridlines>
          <c:spPr>
            <a:ln w="0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tickLblPos val="none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964800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autoTitleDeleted val="1"/>
    <c:plotArea>
      <c:layout>
        <c:manualLayout>
          <c:layoutTarget val="inner"/>
          <c:xMode val="edge"/>
          <c:yMode val="edge"/>
          <c:x val="4.7638043276035354E-3"/>
          <c:y val="1.0762326771735081E-3"/>
          <c:w val="0.99523619567239563"/>
          <c:h val="0.99892376732282651"/>
        </c:manualLayout>
      </c:layout>
      <c:barChart>
        <c:barDir val="bar"/>
        <c:grouping val="clustered"/>
        <c:ser>
          <c:idx val="0"/>
          <c:order val="0"/>
          <c:tx>
            <c:v>1</c:v>
          </c:tx>
          <c:spPr>
            <a:solidFill>
              <a:srgbClr val="5B9BD5">
                <a:alpha val="80000"/>
              </a:srgbClr>
            </a:solidFill>
            <a:ln>
              <a:noFill/>
            </a:ln>
            <a:effectLst/>
          </c:spPr>
          <c:invertIfNegative val="1"/>
          <c:cat>
            <c:strLit>
              <c:ptCount val="7"/>
              <c:pt idx="0">
                <c:v>USDCAD</c:v>
              </c:pt>
              <c:pt idx="1">
                <c:v>NZDCAD</c:v>
              </c:pt>
              <c:pt idx="2">
                <c:v>GBPCAD</c:v>
              </c:pt>
              <c:pt idx="3">
                <c:v>EURCAD</c:v>
              </c:pt>
              <c:pt idx="4">
                <c:v>AUDCAD</c:v>
              </c:pt>
              <c:pt idx="5">
                <c:v>CADCHF</c:v>
              </c:pt>
              <c:pt idx="6">
                <c:v>CADJPY</c:v>
              </c:pt>
            </c:strLit>
          </c:cat>
          <c:val>
            <c:numLit>
              <c:formatCode>General</c:formatCode>
              <c:ptCount val="7"/>
              <c:pt idx="0">
                <c:v>0.83923562140632935</c:v>
              </c:pt>
              <c:pt idx="1">
                <c:v>0.75034495341703822</c:v>
              </c:pt>
              <c:pt idx="2">
                <c:v>1.082517468466341</c:v>
              </c:pt>
              <c:pt idx="3">
                <c:v>0.61083394189228946</c:v>
              </c:pt>
              <c:pt idx="4">
                <c:v>0.81418085072282154</c:v>
              </c:pt>
              <c:pt idx="5">
                <c:v>-0.41772907285845684</c:v>
              </c:pt>
              <c:pt idx="6">
                <c:v>-0.73756840352128161</c:v>
              </c:pt>
            </c:numLit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gapWidth val="48"/>
        <c:axId val="181989760"/>
        <c:axId val="181991296"/>
      </c:barChart>
      <c:catAx>
        <c:axId val="181989760"/>
        <c:scaling>
          <c:orientation val="maxMin"/>
        </c:scaling>
        <c:axPos val="l"/>
        <c:numFmt formatCode="General" sourceLinked="1"/>
        <c:majorTickMark val="cross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991296"/>
        <c:crosses val="autoZero"/>
        <c:auto val="1"/>
        <c:lblAlgn val="ctr"/>
        <c:lblOffset val="100"/>
        <c:tickMarkSkip val="1"/>
      </c:catAx>
      <c:valAx>
        <c:axId val="181991296"/>
        <c:scaling>
          <c:orientation val="minMax"/>
          <c:max val="2"/>
          <c:min val="-2"/>
        </c:scaling>
        <c:axPos val="t"/>
        <c:majorGridlines>
          <c:spPr>
            <a:ln w="0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tickLblPos val="none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989760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autoTitleDeleted val="1"/>
    <c:plotArea>
      <c:layout>
        <c:manualLayout>
          <c:layoutTarget val="inner"/>
          <c:xMode val="edge"/>
          <c:yMode val="edge"/>
          <c:x val="4.7638043276035354E-3"/>
          <c:y val="1.0762326771735081E-3"/>
          <c:w val="0.99523619567239563"/>
          <c:h val="0.99892376732282651"/>
        </c:manualLayout>
      </c:layout>
      <c:barChart>
        <c:barDir val="bar"/>
        <c:grouping val="clustered"/>
        <c:ser>
          <c:idx val="0"/>
          <c:order val="0"/>
          <c:tx>
            <c:v>8</c:v>
          </c:tx>
          <c:spPr>
            <a:solidFill>
              <a:srgbClr val="5B9BD5">
                <a:alpha val="80000"/>
              </a:srgbClr>
            </a:solidFill>
            <a:ln>
              <a:noFill/>
            </a:ln>
            <a:effectLst/>
          </c:spPr>
          <c:invertIfNegative val="1"/>
          <c:cat>
            <c:strLit>
              <c:ptCount val="7"/>
              <c:pt idx="0">
                <c:v>NZDUSD</c:v>
              </c:pt>
              <c:pt idx="1">
                <c:v>NZDCHF</c:v>
              </c:pt>
              <c:pt idx="2">
                <c:v>NZDCAD</c:v>
              </c:pt>
              <c:pt idx="3">
                <c:v>NZDJPY</c:v>
              </c:pt>
              <c:pt idx="4">
                <c:v>AUDNZD</c:v>
              </c:pt>
              <c:pt idx="5">
                <c:v>GBPNZD</c:v>
              </c:pt>
              <c:pt idx="6">
                <c:v>EURNZD</c:v>
              </c:pt>
            </c:strLit>
          </c:cat>
          <c:val>
            <c:numLit>
              <c:formatCode>General</c:formatCode>
              <c:ptCount val="7"/>
              <c:pt idx="0">
                <c:v>-0.1676519897644092</c:v>
              </c:pt>
              <c:pt idx="1">
                <c:v>0.38215180864560039</c:v>
              </c:pt>
              <c:pt idx="2">
                <c:v>0.75034495341703822</c:v>
              </c:pt>
              <c:pt idx="3">
                <c:v>-8.7457810844766018E-2</c:v>
              </c:pt>
              <c:pt idx="4">
                <c:v>0.19801422699375518</c:v>
              </c:pt>
              <c:pt idx="5">
                <c:v>0.43849007662547235</c:v>
              </c:pt>
              <c:pt idx="6">
                <c:v>3.238652720468195E-2</c:v>
              </c:pt>
            </c:numLit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gapWidth val="48"/>
        <c:axId val="181695232"/>
        <c:axId val="181696768"/>
      </c:barChart>
      <c:catAx>
        <c:axId val="181695232"/>
        <c:scaling>
          <c:orientation val="maxMin"/>
        </c:scaling>
        <c:axPos val="l"/>
        <c:numFmt formatCode="General" sourceLinked="1"/>
        <c:majorTickMark val="cross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696768"/>
        <c:crosses val="autoZero"/>
        <c:auto val="1"/>
        <c:lblAlgn val="ctr"/>
        <c:lblOffset val="100"/>
        <c:tickMarkSkip val="1"/>
      </c:catAx>
      <c:valAx>
        <c:axId val="181696768"/>
        <c:scaling>
          <c:orientation val="minMax"/>
          <c:max val="2"/>
          <c:min val="-2"/>
        </c:scaling>
        <c:axPos val="t"/>
        <c:majorGridlines>
          <c:spPr>
            <a:ln w="0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tickLblPos val="none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8169523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4042</xdr:colOff>
      <xdr:row>28</xdr:row>
      <xdr:rowOff>119495</xdr:rowOff>
    </xdr:from>
    <xdr:to>
      <xdr:col>26</xdr:col>
      <xdr:colOff>457779</xdr:colOff>
      <xdr:row>34</xdr:row>
      <xdr:rowOff>85436</xdr:rowOff>
    </xdr:to>
    <xdr:graphicFrame macro="">
      <xdr:nvGraphicFramePr>
        <xdr:cNvPr id="3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201468</xdr:colOff>
      <xdr:row>15</xdr:row>
      <xdr:rowOff>182997</xdr:rowOff>
    </xdr:from>
    <xdr:to>
      <xdr:col>21</xdr:col>
      <xdr:colOff>59461</xdr:colOff>
      <xdr:row>21</xdr:row>
      <xdr:rowOff>161058</xdr:rowOff>
    </xdr:to>
    <xdr:graphicFrame macro="">
      <xdr:nvGraphicFramePr>
        <xdr:cNvPr id="4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106217</xdr:colOff>
      <xdr:row>15</xdr:row>
      <xdr:rowOff>174336</xdr:rowOff>
    </xdr:from>
    <xdr:to>
      <xdr:col>23</xdr:col>
      <xdr:colOff>487218</xdr:colOff>
      <xdr:row>21</xdr:row>
      <xdr:rowOff>187036</xdr:rowOff>
    </xdr:to>
    <xdr:graphicFrame macro="">
      <xdr:nvGraphicFramePr>
        <xdr:cNvPr id="5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530511</xdr:colOff>
      <xdr:row>15</xdr:row>
      <xdr:rowOff>182996</xdr:rowOff>
    </xdr:from>
    <xdr:to>
      <xdr:col>26</xdr:col>
      <xdr:colOff>409285</xdr:colOff>
      <xdr:row>21</xdr:row>
      <xdr:rowOff>169718</xdr:rowOff>
    </xdr:to>
    <xdr:graphicFrame macro="">
      <xdr:nvGraphicFramePr>
        <xdr:cNvPr id="6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152400</xdr:colOff>
      <xdr:row>28</xdr:row>
      <xdr:rowOff>111993</xdr:rowOff>
    </xdr:from>
    <xdr:to>
      <xdr:col>23</xdr:col>
      <xdr:colOff>571500</xdr:colOff>
      <xdr:row>34</xdr:row>
      <xdr:rowOff>159905</xdr:rowOff>
    </xdr:to>
    <xdr:graphicFrame macro="">
      <xdr:nvGraphicFramePr>
        <xdr:cNvPr id="8" name="Chart 44" descr="GBP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192810</xdr:colOff>
      <xdr:row>22</xdr:row>
      <xdr:rowOff>31173</xdr:rowOff>
    </xdr:from>
    <xdr:to>
      <xdr:col>21</xdr:col>
      <xdr:colOff>59460</xdr:colOff>
      <xdr:row>28</xdr:row>
      <xdr:rowOff>104487</xdr:rowOff>
    </xdr:to>
    <xdr:graphicFrame macro="">
      <xdr:nvGraphicFramePr>
        <xdr:cNvPr id="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21</xdr:col>
      <xdr:colOff>114879</xdr:colOff>
      <xdr:row>22</xdr:row>
      <xdr:rowOff>39830</xdr:rowOff>
    </xdr:from>
    <xdr:to>
      <xdr:col>23</xdr:col>
      <xdr:colOff>530513</xdr:colOff>
      <xdr:row>28</xdr:row>
      <xdr:rowOff>95827</xdr:rowOff>
    </xdr:to>
    <xdr:graphicFrame macro="">
      <xdr:nvGraphicFramePr>
        <xdr:cNvPr id="1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23</xdr:col>
      <xdr:colOff>585933</xdr:colOff>
      <xdr:row>22</xdr:row>
      <xdr:rowOff>0</xdr:rowOff>
    </xdr:from>
    <xdr:to>
      <xdr:col>26</xdr:col>
      <xdr:colOff>444500</xdr:colOff>
      <xdr:row>28</xdr:row>
      <xdr:rowOff>82550</xdr:rowOff>
    </xdr:to>
    <xdr:graphicFrame macro="">
      <xdr:nvGraphicFramePr>
        <xdr:cNvPr id="12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520304</xdr:colOff>
      <xdr:row>10</xdr:row>
      <xdr:rowOff>144462</xdr:rowOff>
    </xdr:from>
    <xdr:to>
      <xdr:col>25</xdr:col>
      <xdr:colOff>434975</xdr:colOff>
      <xdr:row>15</xdr:row>
      <xdr:rowOff>4365</xdr:rowOff>
    </xdr:to>
    <xdr:sp macro="[0]!testingSPEED" textlink="">
      <xdr:nvSpPr>
        <xdr:cNvPr id="2" name="Rounded Rectangle 1"/>
        <xdr:cNvSpPr/>
      </xdr:nvSpPr>
      <xdr:spPr>
        <a:xfrm>
          <a:off x="11166476" y="1851025"/>
          <a:ext cx="1730374" cy="604043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400" b="1">
              <a:solidFill>
                <a:srgbClr val="FFFF00"/>
              </a:solidFill>
            </a:rPr>
            <a:t>Auto </a:t>
          </a:r>
          <a:r>
            <a:rPr lang="en-US" sz="1400" b="1" baseline="0">
              <a:solidFill>
                <a:srgbClr val="FFFF00"/>
              </a:solidFill>
            </a:rPr>
            <a:t>Update 30Min</a:t>
          </a:r>
          <a:endParaRPr lang="en-US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22</xdr:col>
      <xdr:colOff>381794</xdr:colOff>
      <xdr:row>8</xdr:row>
      <xdr:rowOff>7937</xdr:rowOff>
    </xdr:from>
    <xdr:to>
      <xdr:col>25</xdr:col>
      <xdr:colOff>553641</xdr:colOff>
      <xdr:row>10</xdr:row>
      <xdr:rowOff>57546</xdr:rowOff>
    </xdr:to>
    <xdr:sp macro="[0]!Prev_Strength2" textlink="">
      <xdr:nvSpPr>
        <xdr:cNvPr id="3" name="Rounded Rectangle 2"/>
        <xdr:cNvSpPr/>
      </xdr:nvSpPr>
      <xdr:spPr>
        <a:xfrm>
          <a:off x="11027966" y="1416843"/>
          <a:ext cx="1987550" cy="347266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400" b="1">
              <a:solidFill>
                <a:srgbClr val="FFFF00"/>
              </a:solidFill>
            </a:rPr>
            <a:t>Manual</a:t>
          </a:r>
          <a:r>
            <a:rPr lang="en-US" sz="1400" b="1" baseline="0">
              <a:solidFill>
                <a:srgbClr val="FFFF00"/>
              </a:solidFill>
            </a:rPr>
            <a:t> Update</a:t>
          </a:r>
          <a:endParaRPr lang="en-US" sz="1400" b="1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</xdr:row>
      <xdr:rowOff>9526</xdr:rowOff>
    </xdr:from>
    <xdr:to>
      <xdr:col>7</xdr:col>
      <xdr:colOff>323850</xdr:colOff>
      <xdr:row>12</xdr:row>
      <xdr:rowOff>57150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2</xdr:row>
      <xdr:rowOff>0</xdr:rowOff>
    </xdr:from>
    <xdr:to>
      <xdr:col>12</xdr:col>
      <xdr:colOff>361950</xdr:colOff>
      <xdr:row>12</xdr:row>
      <xdr:rowOff>38100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2</xdr:row>
      <xdr:rowOff>0</xdr:rowOff>
    </xdr:from>
    <xdr:to>
      <xdr:col>17</xdr:col>
      <xdr:colOff>352425</xdr:colOff>
      <xdr:row>12</xdr:row>
      <xdr:rowOff>38100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16565</xdr:colOff>
      <xdr:row>14</xdr:row>
      <xdr:rowOff>41413</xdr:rowOff>
    </xdr:from>
    <xdr:to>
      <xdr:col>7</xdr:col>
      <xdr:colOff>368990</xdr:colOff>
      <xdr:row>24</xdr:row>
      <xdr:rowOff>79513</xdr:rowOff>
    </xdr:to>
    <xdr:graphicFrame macro="">
      <xdr:nvGraphicFramePr>
        <xdr:cNvPr id="45" name="Chart 44" descr="GBP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24848</xdr:colOff>
      <xdr:row>14</xdr:row>
      <xdr:rowOff>41414</xdr:rowOff>
    </xdr:from>
    <xdr:to>
      <xdr:col>12</xdr:col>
      <xdr:colOff>377273</xdr:colOff>
      <xdr:row>24</xdr:row>
      <xdr:rowOff>79514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24847</xdr:colOff>
      <xdr:row>14</xdr:row>
      <xdr:rowOff>33131</xdr:rowOff>
    </xdr:from>
    <xdr:to>
      <xdr:col>17</xdr:col>
      <xdr:colOff>377272</xdr:colOff>
      <xdr:row>24</xdr:row>
      <xdr:rowOff>71231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0</xdr:colOff>
      <xdr:row>14</xdr:row>
      <xdr:rowOff>33130</xdr:rowOff>
    </xdr:from>
    <xdr:to>
      <xdr:col>22</xdr:col>
      <xdr:colOff>352425</xdr:colOff>
      <xdr:row>24</xdr:row>
      <xdr:rowOff>71230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0</xdr:colOff>
      <xdr:row>2</xdr:row>
      <xdr:rowOff>0</xdr:rowOff>
    </xdr:from>
    <xdr:to>
      <xdr:col>22</xdr:col>
      <xdr:colOff>352425</xdr:colOff>
      <xdr:row>12</xdr:row>
      <xdr:rowOff>38100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</xdr:colOff>
      <xdr:row>13</xdr:row>
      <xdr:rowOff>14287</xdr:rowOff>
    </xdr:from>
    <xdr:to>
      <xdr:col>9</xdr:col>
      <xdr:colOff>600075</xdr:colOff>
      <xdr:row>20</xdr:row>
      <xdr:rowOff>9525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23</xdr:row>
      <xdr:rowOff>0</xdr:rowOff>
    </xdr:from>
    <xdr:to>
      <xdr:col>9</xdr:col>
      <xdr:colOff>595313</xdr:colOff>
      <xdr:row>29</xdr:row>
      <xdr:rowOff>147638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33</xdr:row>
      <xdr:rowOff>0</xdr:rowOff>
    </xdr:from>
    <xdr:to>
      <xdr:col>9</xdr:col>
      <xdr:colOff>595313</xdr:colOff>
      <xdr:row>39</xdr:row>
      <xdr:rowOff>147638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0</xdr:colOff>
      <xdr:row>3</xdr:row>
      <xdr:rowOff>0</xdr:rowOff>
    </xdr:from>
    <xdr:to>
      <xdr:col>9</xdr:col>
      <xdr:colOff>595313</xdr:colOff>
      <xdr:row>9</xdr:row>
      <xdr:rowOff>147638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0</xdr:colOff>
      <xdr:row>3</xdr:row>
      <xdr:rowOff>0</xdr:rowOff>
    </xdr:from>
    <xdr:to>
      <xdr:col>22</xdr:col>
      <xdr:colOff>595313</xdr:colOff>
      <xdr:row>9</xdr:row>
      <xdr:rowOff>147638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0</xdr:colOff>
      <xdr:row>13</xdr:row>
      <xdr:rowOff>0</xdr:rowOff>
    </xdr:from>
    <xdr:to>
      <xdr:col>22</xdr:col>
      <xdr:colOff>595313</xdr:colOff>
      <xdr:row>19</xdr:row>
      <xdr:rowOff>147638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0</xdr:colOff>
      <xdr:row>23</xdr:row>
      <xdr:rowOff>0</xdr:rowOff>
    </xdr:from>
    <xdr:to>
      <xdr:col>22</xdr:col>
      <xdr:colOff>595313</xdr:colOff>
      <xdr:row>29</xdr:row>
      <xdr:rowOff>147638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0</xdr:colOff>
      <xdr:row>33</xdr:row>
      <xdr:rowOff>0</xdr:rowOff>
    </xdr:from>
    <xdr:to>
      <xdr:col>22</xdr:col>
      <xdr:colOff>595313</xdr:colOff>
      <xdr:row>39</xdr:row>
      <xdr:rowOff>147638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mini/Music/ACC-STD%20%2343/SecretSuccess_KudaLevel_1_WorkFile%20%20Version%208_new%20editio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main"/>
      <sheetName val="week"/>
      <sheetName val="PAP BASEsort"/>
      <sheetName val="gbp"/>
      <sheetName val="PAP BASqoutes"/>
      <sheetName val="optimise"/>
      <sheetName val="PAP BASmix"/>
      <sheetName val="3in1"/>
      <sheetName val="enter"/>
      <sheetName val="Лист2"/>
      <sheetName val="Лист3"/>
    </sheetNames>
    <sheetDataSet>
      <sheetData sheetId="0"/>
      <sheetData sheetId="1">
        <row r="4">
          <cell r="B4" t="str">
            <v>EURAUD</v>
          </cell>
          <cell r="C4">
            <v>1.3512</v>
          </cell>
          <cell r="D4">
            <v>1.4680500000000001</v>
          </cell>
          <cell r="E4">
            <v>1168.5000000000011</v>
          </cell>
          <cell r="F4">
            <v>1158.5</v>
          </cell>
          <cell r="G4">
            <v>1.3522000000000001</v>
          </cell>
        </row>
        <row r="5">
          <cell r="B5" t="str">
            <v>EURCAD</v>
          </cell>
          <cell r="C5">
            <v>1.3416999999999999</v>
          </cell>
          <cell r="D5">
            <v>1.3971</v>
          </cell>
          <cell r="E5">
            <v>554.00000000000114</v>
          </cell>
          <cell r="F5">
            <v>739.0000000000008</v>
          </cell>
          <cell r="G5">
            <v>1.3231999999999999</v>
          </cell>
        </row>
        <row r="6">
          <cell r="B6" t="str">
            <v>EURCHF</v>
          </cell>
          <cell r="C6">
            <v>1.3055000000000001</v>
          </cell>
          <cell r="D6">
            <v>1.0451600000000001</v>
          </cell>
          <cell r="E6">
            <v>-2603.4</v>
          </cell>
          <cell r="F6">
            <v>-2666.4</v>
          </cell>
          <cell r="G6">
            <v>1.3118000000000001</v>
          </cell>
        </row>
        <row r="7">
          <cell r="B7" t="str">
            <v>EURGBP</v>
          </cell>
          <cell r="C7">
            <v>0.84919999999999995</v>
          </cell>
          <cell r="D7">
            <v>0.71677000000000002</v>
          </cell>
          <cell r="E7">
            <v>-1324.2999999999993</v>
          </cell>
          <cell r="F7">
            <v>-1302.2999999999995</v>
          </cell>
          <cell r="G7">
            <v>0.84699999999999998</v>
          </cell>
        </row>
        <row r="8">
          <cell r="B8" t="str">
            <v>EURJPY</v>
          </cell>
          <cell r="C8">
            <v>110.54</v>
          </cell>
          <cell r="D8">
            <v>139.982</v>
          </cell>
          <cell r="E8">
            <v>2944.1999999999994</v>
          </cell>
          <cell r="F8">
            <v>2927.2000000000007</v>
          </cell>
          <cell r="G8">
            <v>110.71</v>
          </cell>
        </row>
        <row r="9">
          <cell r="B9" t="str">
            <v>EURNZD</v>
          </cell>
          <cell r="C9">
            <v>1.7506999999999999</v>
          </cell>
          <cell r="D9">
            <v>1.6516</v>
          </cell>
          <cell r="E9">
            <v>-990.99999999999966</v>
          </cell>
          <cell r="F9">
            <v>-964.00000000000045</v>
          </cell>
          <cell r="G9">
            <v>1.748</v>
          </cell>
        </row>
        <row r="10">
          <cell r="B10" t="str">
            <v>EURUSD</v>
          </cell>
          <cell r="C10">
            <v>1.3375999999999999</v>
          </cell>
          <cell r="D10">
            <v>1.1345000000000001</v>
          </cell>
          <cell r="E10">
            <v>-2030.9999999999984</v>
          </cell>
          <cell r="F10">
            <v>-1862.9999999999991</v>
          </cell>
          <cell r="G10">
            <v>1.3208</v>
          </cell>
        </row>
        <row r="11">
          <cell r="B11" t="str">
            <v>CHFJPY</v>
          </cell>
          <cell r="C11">
            <v>84.7</v>
          </cell>
          <cell r="D11">
            <v>133.90700000000001</v>
          </cell>
          <cell r="E11">
            <v>4920.7000000000007</v>
          </cell>
          <cell r="F11">
            <v>4950.7000000000007</v>
          </cell>
          <cell r="G11">
            <v>84.4</v>
          </cell>
        </row>
        <row r="12">
          <cell r="B12" t="str">
            <v>CADJPY</v>
          </cell>
          <cell r="C12">
            <v>82.33</v>
          </cell>
          <cell r="D12">
            <v>100.178</v>
          </cell>
          <cell r="E12">
            <v>1784.8</v>
          </cell>
          <cell r="F12">
            <v>1660.8000000000004</v>
          </cell>
          <cell r="G12">
            <v>83.57</v>
          </cell>
        </row>
        <row r="13">
          <cell r="B13" t="str">
            <v>USDJPY</v>
          </cell>
          <cell r="C13">
            <v>82.64</v>
          </cell>
          <cell r="D13">
            <v>123.375</v>
          </cell>
          <cell r="E13">
            <v>4073.5</v>
          </cell>
          <cell r="F13">
            <v>3953.4999999999995</v>
          </cell>
          <cell r="G13">
            <v>83.84</v>
          </cell>
        </row>
        <row r="14">
          <cell r="B14" t="str">
            <v>NZDJPY</v>
          </cell>
          <cell r="C14">
            <v>63.08</v>
          </cell>
          <cell r="D14">
            <v>84.71</v>
          </cell>
          <cell r="E14">
            <v>2162.9999999999995</v>
          </cell>
          <cell r="F14">
            <v>2142.9999999999991</v>
          </cell>
          <cell r="G14">
            <v>63.28</v>
          </cell>
        </row>
        <row r="15">
          <cell r="B15" t="str">
            <v>GBPJPY</v>
          </cell>
          <cell r="C15">
            <v>130.29</v>
          </cell>
          <cell r="D15">
            <v>195.267</v>
          </cell>
          <cell r="E15">
            <v>6497.7000000000007</v>
          </cell>
          <cell r="F15">
            <v>6454.7</v>
          </cell>
          <cell r="G15">
            <v>130.72</v>
          </cell>
        </row>
        <row r="16">
          <cell r="B16" t="str">
            <v>AUDJPY</v>
          </cell>
          <cell r="C16">
            <v>81.8</v>
          </cell>
          <cell r="D16">
            <v>95.325000000000003</v>
          </cell>
          <cell r="E16">
            <v>1352.5000000000005</v>
          </cell>
          <cell r="F16">
            <v>1347.5000000000009</v>
          </cell>
          <cell r="G16">
            <v>81.849999999999994</v>
          </cell>
        </row>
        <row r="17">
          <cell r="B17" t="str">
            <v>GBPUSD</v>
          </cell>
          <cell r="C17">
            <v>1.5760000000000001</v>
          </cell>
          <cell r="D17">
            <v>1.58264</v>
          </cell>
          <cell r="E17">
            <v>66.399999999999793</v>
          </cell>
          <cell r="F17">
            <v>226.39999999999992</v>
          </cell>
          <cell r="G17">
            <v>1.56</v>
          </cell>
        </row>
        <row r="18">
          <cell r="B18" t="str">
            <v>AUDUSD</v>
          </cell>
          <cell r="C18">
            <v>0.99029999999999996</v>
          </cell>
          <cell r="D18">
            <v>0.77271000000000001</v>
          </cell>
          <cell r="E18">
            <v>-2175.8999999999996</v>
          </cell>
          <cell r="F18">
            <v>-2042.8999999999996</v>
          </cell>
          <cell r="G18">
            <v>0.97699999999999998</v>
          </cell>
        </row>
        <row r="19">
          <cell r="B19" t="str">
            <v>NZDUSD</v>
          </cell>
          <cell r="C19">
            <v>0.76349999999999996</v>
          </cell>
          <cell r="D19">
            <v>0.68666000000000005</v>
          </cell>
          <cell r="E19">
            <v>-768.39999999999907</v>
          </cell>
          <cell r="F19">
            <v>-686.39999999999918</v>
          </cell>
          <cell r="G19">
            <v>0.75529999999999997</v>
          </cell>
        </row>
        <row r="20">
          <cell r="B20" t="str">
            <v>USDCHF</v>
          </cell>
          <cell r="C20">
            <v>0.97529999999999994</v>
          </cell>
          <cell r="D20">
            <v>0.92113</v>
          </cell>
          <cell r="E20">
            <v>-541.69999999999936</v>
          </cell>
          <cell r="F20">
            <v>-715.70000000000027</v>
          </cell>
          <cell r="G20">
            <v>0.99270000000000003</v>
          </cell>
        </row>
        <row r="21">
          <cell r="B21" t="str">
            <v>USDCAD</v>
          </cell>
          <cell r="C21">
            <v>1.0037</v>
          </cell>
          <cell r="D21">
            <v>1.23136</v>
          </cell>
          <cell r="E21">
            <v>2276.6</v>
          </cell>
          <cell r="F21">
            <v>2284.6000000000013</v>
          </cell>
          <cell r="G21">
            <v>1.0028999999999999</v>
          </cell>
        </row>
        <row r="22">
          <cell r="B22" t="str">
            <v>GBPNZD</v>
          </cell>
          <cell r="C22">
            <v>2.0615000000000001</v>
          </cell>
          <cell r="D22">
            <v>2.3041</v>
          </cell>
          <cell r="E22">
            <v>2425.9999999999991</v>
          </cell>
          <cell r="F22">
            <v>2406.9999999999991</v>
          </cell>
          <cell r="G22">
            <v>2.0634000000000001</v>
          </cell>
        </row>
        <row r="23">
          <cell r="B23" t="str">
            <v>GBPCAD</v>
          </cell>
          <cell r="C23">
            <v>1.5804</v>
          </cell>
          <cell r="D23">
            <v>1.9488799999999999</v>
          </cell>
          <cell r="E23">
            <v>3684.7999999999993</v>
          </cell>
          <cell r="F23">
            <v>3860.7999999999997</v>
          </cell>
          <cell r="G23">
            <v>1.5628</v>
          </cell>
        </row>
        <row r="24">
          <cell r="B24" t="str">
            <v>GBPCHF</v>
          </cell>
          <cell r="C24">
            <v>1.5377000000000001</v>
          </cell>
          <cell r="D24">
            <v>1.458</v>
          </cell>
          <cell r="E24">
            <v>-797.00000000000102</v>
          </cell>
          <cell r="F24">
            <v>-908.99999999999977</v>
          </cell>
          <cell r="G24">
            <v>1.5488999999999999</v>
          </cell>
        </row>
        <row r="25">
          <cell r="B25" t="str">
            <v>NZDCAD</v>
          </cell>
          <cell r="C25">
            <v>0.76590000000000003</v>
          </cell>
          <cell r="D25">
            <v>0.84548999999999996</v>
          </cell>
          <cell r="E25">
            <v>795.89999999999941</v>
          </cell>
          <cell r="F25">
            <v>884.89999999999952</v>
          </cell>
          <cell r="G25">
            <v>0.75700000000000001</v>
          </cell>
        </row>
        <row r="26">
          <cell r="B26" t="str">
            <v>AUDNZD</v>
          </cell>
          <cell r="C26">
            <v>1.2943</v>
          </cell>
          <cell r="D26">
            <v>1.1249400000000001</v>
          </cell>
          <cell r="E26">
            <v>-1693.5999999999995</v>
          </cell>
          <cell r="F26">
            <v>-1666.6000000000004</v>
          </cell>
          <cell r="G26">
            <v>1.2916000000000001</v>
          </cell>
        </row>
        <row r="27">
          <cell r="B27" t="str">
            <v>GBPAUD</v>
          </cell>
          <cell r="C27">
            <v>1.5906</v>
          </cell>
          <cell r="D27">
            <v>2.0478499999999999</v>
          </cell>
          <cell r="E27">
            <v>4572.4999999999991</v>
          </cell>
          <cell r="F27">
            <v>4517.4999999999991</v>
          </cell>
          <cell r="G27">
            <v>1.5961000000000001</v>
          </cell>
        </row>
        <row r="28">
          <cell r="B28" t="str">
            <v>AUDCAD</v>
          </cell>
          <cell r="C28">
            <v>0.99339999999999995</v>
          </cell>
          <cell r="D28">
            <v>0.95155000000000001</v>
          </cell>
          <cell r="E28">
            <v>-418.49999999999943</v>
          </cell>
          <cell r="F28">
            <v>-277.49999999999943</v>
          </cell>
          <cell r="G28">
            <v>0.97929999999999995</v>
          </cell>
        </row>
        <row r="29">
          <cell r="B29" t="str">
            <v>AUDCHF</v>
          </cell>
          <cell r="C29">
            <v>0.9657</v>
          </cell>
          <cell r="D29">
            <v>0.71177000000000001</v>
          </cell>
          <cell r="E29">
            <v>-2539.2999999999997</v>
          </cell>
          <cell r="F29">
            <v>-2576.3000000000002</v>
          </cell>
          <cell r="G29">
            <v>0.96940000000000004</v>
          </cell>
        </row>
        <row r="30">
          <cell r="B30" t="str">
            <v>CADCHF</v>
          </cell>
          <cell r="C30">
            <v>0.97199999999999998</v>
          </cell>
          <cell r="D30">
            <v>0.74790999999999996</v>
          </cell>
          <cell r="E30">
            <v>-2240.9</v>
          </cell>
          <cell r="F30">
            <v>-2414.8999999999996</v>
          </cell>
          <cell r="G30">
            <v>0.98939999999999995</v>
          </cell>
        </row>
        <row r="31">
          <cell r="B31" t="str">
            <v>NZDCHF</v>
          </cell>
          <cell r="C31">
            <v>0.74470000000000003</v>
          </cell>
          <cell r="D31">
            <v>0.63244</v>
          </cell>
          <cell r="E31">
            <v>-1122.6000000000004</v>
          </cell>
          <cell r="F31">
            <v>-1172.6000000000004</v>
          </cell>
          <cell r="G31">
            <v>0.74970000000000003</v>
          </cell>
        </row>
        <row r="32">
          <cell r="B32" t="str">
            <v>GOLD</v>
          </cell>
          <cell r="C32">
            <v>1414.2</v>
          </cell>
          <cell r="D32" t="e">
            <v>#REF!</v>
          </cell>
          <cell r="E32" t="e">
            <v>#REF!</v>
          </cell>
          <cell r="F32" t="e">
            <v>#REF!</v>
          </cell>
          <cell r="G32">
            <v>1386.6</v>
          </cell>
        </row>
      </sheetData>
      <sheetData sheetId="2">
        <row r="5">
          <cell r="B5" t="str">
            <v>EURAUD</v>
          </cell>
          <cell r="C5">
            <v>1.3542000000000001</v>
          </cell>
          <cell r="D5">
            <v>1.4680500000000001</v>
          </cell>
          <cell r="E5">
            <v>1138.5</v>
          </cell>
        </row>
        <row r="6">
          <cell r="B6" t="str">
            <v>EURCAD</v>
          </cell>
          <cell r="C6">
            <v>1.3314999999999999</v>
          </cell>
          <cell r="D6">
            <v>1.3971</v>
          </cell>
          <cell r="E6">
            <v>656.00000000000102</v>
          </cell>
        </row>
        <row r="7">
          <cell r="B7" t="str">
            <v>EURCHF</v>
          </cell>
          <cell r="C7">
            <v>1.3030999999999999</v>
          </cell>
          <cell r="D7">
            <v>1.0451600000000001</v>
          </cell>
          <cell r="E7">
            <v>-2579.3999999999983</v>
          </cell>
        </row>
        <row r="8">
          <cell r="B8" t="str">
            <v>EURGBP</v>
          </cell>
          <cell r="C8">
            <v>0.83420000000000005</v>
          </cell>
          <cell r="D8">
            <v>0.71677000000000002</v>
          </cell>
          <cell r="E8">
            <v>-1174.3000000000004</v>
          </cell>
        </row>
        <row r="9">
          <cell r="B9" t="str">
            <v>EURJPY</v>
          </cell>
          <cell r="C9">
            <v>108.64</v>
          </cell>
          <cell r="D9">
            <v>139.982</v>
          </cell>
          <cell r="E9">
            <v>3134.2</v>
          </cell>
        </row>
        <row r="10">
          <cell r="B10" t="str">
            <v>EURNZD</v>
          </cell>
          <cell r="C10">
            <v>1.7475000000000001</v>
          </cell>
          <cell r="D10">
            <v>1.6516</v>
          </cell>
          <cell r="E10">
            <v>-959.00000000000091</v>
          </cell>
        </row>
        <row r="11">
          <cell r="B11" t="str">
            <v>EURUSD</v>
          </cell>
          <cell r="C11">
            <v>1.2981</v>
          </cell>
          <cell r="D11">
            <v>1.1345000000000001</v>
          </cell>
          <cell r="E11">
            <v>-1635.9999999999998</v>
          </cell>
        </row>
        <row r="12">
          <cell r="B12" t="str">
            <v>CHFJPY</v>
          </cell>
          <cell r="C12">
            <v>83.37</v>
          </cell>
          <cell r="D12">
            <v>133.90700000000001</v>
          </cell>
          <cell r="E12">
            <v>5053.7000000000007</v>
          </cell>
        </row>
        <row r="13">
          <cell r="B13" t="str">
            <v>CADJPY</v>
          </cell>
          <cell r="C13">
            <v>81.5</v>
          </cell>
          <cell r="D13">
            <v>100.178</v>
          </cell>
          <cell r="E13">
            <v>1867.7999999999997</v>
          </cell>
        </row>
        <row r="14">
          <cell r="B14" t="str">
            <v>USDJPY</v>
          </cell>
          <cell r="C14">
            <v>83.67</v>
          </cell>
          <cell r="D14">
            <v>123.375</v>
          </cell>
          <cell r="E14">
            <v>3970.5</v>
          </cell>
        </row>
        <row r="15">
          <cell r="B15" t="str">
            <v>NZDJPY</v>
          </cell>
          <cell r="C15">
            <v>62.1</v>
          </cell>
          <cell r="D15">
            <v>84.71</v>
          </cell>
          <cell r="E15">
            <v>2260.9999999999991</v>
          </cell>
        </row>
        <row r="16">
          <cell r="B16" t="str">
            <v>GBPJPY</v>
          </cell>
          <cell r="C16">
            <v>130.19</v>
          </cell>
          <cell r="D16">
            <v>195.267</v>
          </cell>
          <cell r="E16">
            <v>6507.7</v>
          </cell>
        </row>
        <row r="17">
          <cell r="B17" t="str">
            <v>AUDJPY</v>
          </cell>
          <cell r="C17">
            <v>80.2</v>
          </cell>
          <cell r="D17">
            <v>95.325000000000003</v>
          </cell>
          <cell r="E17">
            <v>1512.5</v>
          </cell>
        </row>
        <row r="18">
          <cell r="B18" t="str">
            <v>GBPUSD</v>
          </cell>
          <cell r="C18">
            <v>1.5563</v>
          </cell>
          <cell r="D18">
            <v>1.58264</v>
          </cell>
          <cell r="E18">
            <v>263.40000000000032</v>
          </cell>
        </row>
        <row r="19">
          <cell r="B19" t="str">
            <v>AUDUSD</v>
          </cell>
          <cell r="C19">
            <v>0.95889999999999997</v>
          </cell>
          <cell r="D19">
            <v>0.77271000000000001</v>
          </cell>
          <cell r="E19">
            <v>-1861.8999999999996</v>
          </cell>
        </row>
        <row r="20">
          <cell r="B20" t="str">
            <v>NZDUSD</v>
          </cell>
          <cell r="C20">
            <v>0.74239999999999995</v>
          </cell>
          <cell r="D20">
            <v>0.68666000000000005</v>
          </cell>
          <cell r="E20">
            <v>-557.39999999999895</v>
          </cell>
        </row>
        <row r="21">
          <cell r="B21" t="str">
            <v>USDCHF</v>
          </cell>
          <cell r="C21">
            <v>1.0035000000000001</v>
          </cell>
          <cell r="D21">
            <v>0.92113</v>
          </cell>
          <cell r="E21">
            <v>-823.7000000000005</v>
          </cell>
        </row>
        <row r="22">
          <cell r="B22" t="str">
            <v>USDCAD</v>
          </cell>
          <cell r="C22">
            <v>1.0266999999999999</v>
          </cell>
          <cell r="D22">
            <v>1.23136</v>
          </cell>
          <cell r="E22">
            <v>2046.6000000000006</v>
          </cell>
        </row>
        <row r="23">
          <cell r="B23" t="str">
            <v>GBPNZD</v>
          </cell>
          <cell r="C23">
            <v>2.0939000000000001</v>
          </cell>
          <cell r="D23">
            <v>2.3041</v>
          </cell>
          <cell r="E23">
            <v>2101.9999999999995</v>
          </cell>
        </row>
        <row r="24">
          <cell r="B24" t="str">
            <v>GBPCAD</v>
          </cell>
          <cell r="C24">
            <v>1.5961000000000001</v>
          </cell>
          <cell r="D24">
            <v>1.9488799999999999</v>
          </cell>
          <cell r="E24">
            <v>3527.7999999999988</v>
          </cell>
        </row>
        <row r="25">
          <cell r="B25" t="str">
            <v>GBPCHF</v>
          </cell>
          <cell r="C25">
            <v>1.5617000000000001</v>
          </cell>
          <cell r="D25">
            <v>1.458</v>
          </cell>
          <cell r="E25">
            <v>-1037.0000000000014</v>
          </cell>
        </row>
        <row r="26">
          <cell r="B26" t="str">
            <v>NZDCAD</v>
          </cell>
          <cell r="C26">
            <v>0.76190000000000002</v>
          </cell>
          <cell r="D26">
            <v>0.84548999999999996</v>
          </cell>
          <cell r="E26">
            <v>835.89999999999941</v>
          </cell>
        </row>
        <row r="27">
          <cell r="B27" t="str">
            <v>AUDNZD</v>
          </cell>
          <cell r="C27">
            <v>1.2901</v>
          </cell>
          <cell r="D27">
            <v>1.1249400000000001</v>
          </cell>
          <cell r="E27">
            <v>-1651.5999999999997</v>
          </cell>
        </row>
        <row r="28">
          <cell r="B28" t="str">
            <v>GBPAUD</v>
          </cell>
          <cell r="C28">
            <v>1.6221000000000001</v>
          </cell>
          <cell r="D28">
            <v>2.0478499999999999</v>
          </cell>
          <cell r="E28">
            <v>4257.4999999999982</v>
          </cell>
        </row>
        <row r="29">
          <cell r="B29" t="str">
            <v>AUDCAD</v>
          </cell>
          <cell r="C29">
            <v>0.98370000000000002</v>
          </cell>
          <cell r="D29">
            <v>0.95155000000000001</v>
          </cell>
          <cell r="E29">
            <v>-321.50000000000011</v>
          </cell>
        </row>
        <row r="30">
          <cell r="B30" t="str">
            <v>AUDCHF</v>
          </cell>
          <cell r="C30">
            <v>0.96179999999999999</v>
          </cell>
          <cell r="D30">
            <v>0.71177000000000001</v>
          </cell>
          <cell r="E30">
            <v>-2500.2999999999997</v>
          </cell>
        </row>
        <row r="31">
          <cell r="B31" t="str">
            <v>CADCHF</v>
          </cell>
          <cell r="C31">
            <v>0.97699999999999998</v>
          </cell>
          <cell r="D31">
            <v>0.74790999999999996</v>
          </cell>
          <cell r="E31">
            <v>-2290.9</v>
          </cell>
        </row>
        <row r="32">
          <cell r="B32" t="str">
            <v>NZDCHF</v>
          </cell>
          <cell r="C32">
            <v>0.74480000000000002</v>
          </cell>
          <cell r="D32">
            <v>0.63244</v>
          </cell>
          <cell r="E32">
            <v>-1123.6000000000001</v>
          </cell>
        </row>
        <row r="33">
          <cell r="B33" t="str">
            <v>GOLD</v>
          </cell>
          <cell r="C33">
            <v>1387.1</v>
          </cell>
          <cell r="D33" t="e">
            <v>#REF!</v>
          </cell>
          <cell r="E33" t="e">
            <v>#REF!</v>
          </cell>
        </row>
      </sheetData>
      <sheetData sheetId="3"/>
      <sheetData sheetId="4"/>
      <sheetData sheetId="5"/>
      <sheetData sheetId="6"/>
      <sheetData sheetId="7">
        <row r="26">
          <cell r="H26" t="str">
            <v>USDJPY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>
  <ddeLink xmlns:r="http://schemas.openxmlformats.org/officeDocument/2006/relationships" ddeService="MT4" ddeTopic="HIGH">
    <ddeItems>
      <ddeItem name="AUDCAD" advise="1">
        <values>
          <value>
            <val>0.98784000000000005</val>
          </value>
        </values>
      </ddeItem>
      <ddeItem name="AUDCHF" advise="1">
        <values>
          <value>
            <val>0.74580000000000002</val>
          </value>
        </values>
      </ddeItem>
      <ddeItem name="AUDJPY" advise="1">
        <values>
          <value>
            <val>78.445999999999998</val>
          </value>
        </values>
      </ddeItem>
      <ddeItem name="AUDNZD" advise="1">
        <values>
          <value>
            <val>1.03722</val>
          </value>
        </values>
      </ddeItem>
      <ddeItem name="AUDUSD" advise="1">
        <values>
          <value>
            <val>0.76885000000000003</val>
          </value>
        </values>
      </ddeItem>
      <ddeItem name="CADCHF" advise="1">
        <values>
          <value>
            <val>0.75553000000000003</val>
          </value>
        </values>
      </ddeItem>
      <ddeItem name="CADJPY" advise="1">
        <values>
          <value>
            <val>79.468999999999994</val>
          </value>
        </values>
      </ddeItem>
      <ddeItem name="CHFJPY" advise="1">
        <values>
          <value>
            <val>105.26300000000001</val>
          </value>
        </values>
      </ddeItem>
      <ddeItem name="EURAUD" advise="1">
        <values>
          <value>
            <val>1.4698199999999999</val>
          </value>
        </values>
      </ddeItem>
      <ddeItem name="EURCAD" advise="1">
        <values>
          <value>
            <val>1.4461599999999999</val>
          </value>
        </values>
      </ddeItem>
      <ddeItem name="EURCHF" advise="1">
        <values>
          <value>
            <val>1.0918000000000001</val>
          </value>
        </values>
      </ddeItem>
      <ddeItem name="EURGBP" advise="1">
        <values>
          <value>
            <val>0.84145999999999999</val>
          </value>
        </values>
      </ddeItem>
      <ddeItem name="EURJPY" advise="1">
        <values>
          <value>
            <val>114.884</val>
          </value>
        </values>
      </ddeItem>
      <ddeItem name="EURNZD" advise="1">
        <values>
          <value>
            <val>1.5195399999999999</val>
          </value>
        </values>
      </ddeItem>
      <ddeItem name="EURUSD" advise="1">
        <values>
          <value>
            <val>1.12652</val>
          </value>
        </values>
      </ddeItem>
      <ddeItem name="GBPAUD" advise="1">
        <values>
          <value>
            <val>1.7526200000000001</val>
          </value>
        </values>
      </ddeItem>
      <ddeItem name="GBPCAD" advise="1">
        <values>
          <value>
            <val>1.72624</val>
          </value>
        </values>
      </ddeItem>
      <ddeItem name="GBPCHF" advise="1">
        <values>
          <value>
            <val>1.30304</val>
          </value>
        </values>
      </ddeItem>
      <ddeItem name="GBPJPY" advise="1">
        <values>
          <value>
            <val>137.12100000000001</val>
          </value>
        </values>
      </ddeItem>
      <ddeItem name="GBPNZD" advise="1">
        <values>
          <value>
            <val>1.8136699999999999</val>
          </value>
        </values>
      </ddeItem>
      <ddeItem name="GBPUSD" advise="1">
        <values>
          <value>
            <val>1.3439000000000001</val>
          </value>
        </values>
      </ddeItem>
      <ddeItem name="i" advise="1">
        <values>
          <value t="str">
            <val>N\A</val>
          </value>
        </values>
      </ddeItem>
      <ddeItem name="NZDCAD" advise="1">
        <values>
          <value>
            <val>0.96084000000000003</val>
          </value>
        </values>
      </ddeItem>
      <ddeItem name="NZDCHF" advise="1">
        <values>
          <value>
            <val>0.72407999999999995</val>
          </value>
        </values>
      </ddeItem>
      <ddeItem name="NZDJPY" advise="1">
        <values>
          <value>
            <val>75.953999999999994</val>
          </value>
        </values>
      </ddeItem>
      <ddeItem name="NZDUSD" advise="1">
        <values>
          <value>
            <val>0.74792000000000003</val>
          </value>
        </values>
      </ddeItem>
      <ddeItem name="StdDocumentName" ole="1" advise="1"/>
      <ddeItem name="USDCAD" advise="1">
        <values>
          <value>
            <val>1.2861800000000001</val>
          </value>
        </values>
      </ddeItem>
      <ddeItem name="USDCHF" advise="1">
        <values>
          <value>
            <val>0.97089999999999999</val>
          </value>
        </values>
      </ddeItem>
      <ddeItem name="USDJPY" advise="1">
        <values>
          <value>
            <val>102.128</val>
          </value>
        </values>
      </ddeItem>
      <ddeItem name="WAITi" advise="1">
        <values>
          <value t="str">
            <val>N\A</val>
          </value>
        </values>
      </ddeItem>
    </ddeItems>
  </ddeLink>
</externalLink>
</file>

<file path=xl/externalLinks/externalLink3.xml><?xml version="1.0" encoding="utf-8"?>
<externalLink xmlns="http://schemas.openxmlformats.org/spreadsheetml/2006/main">
  <ddeLink xmlns:r="http://schemas.openxmlformats.org/officeDocument/2006/relationships" ddeService="MT4" ddeTopic="ASK">
    <ddeItems>
      <ddeItem name="AUDCAD" advise="1">
        <values>
          <value>
            <val>0.98762000000000005</val>
          </value>
        </values>
      </ddeItem>
      <ddeItem name="AUDCHF" advise="1">
        <values>
          <value>
            <val>0.74441000000000002</val>
          </value>
        </values>
      </ddeItem>
      <ddeItem name="AUDJPY" advise="1">
        <values>
          <value>
            <val>78.009</val>
          </value>
        </values>
      </ddeItem>
      <ddeItem name="AUDNZD" advise="1">
        <values>
          <value>
            <val>1.0281499999999999</val>
          </value>
        </values>
      </ddeItem>
      <ddeItem name="AUDUSD" advise="1">
        <values>
          <value>
            <val>0.76878000000000002</val>
          </value>
        </values>
      </ddeItem>
      <ddeItem name="CADCHF" advise="1">
        <values>
          <value>
            <val>0.75378999999999996</val>
          </value>
        </values>
      </ddeItem>
      <ddeItem name="CADJPY" advise="1">
        <values>
          <value>
            <val>78.986999999999995</val>
          </value>
        </values>
      </ddeItem>
      <ddeItem name="CHFJPY" advise="1">
        <values>
          <value>
            <val>104.803</val>
          </value>
        </values>
      </ddeItem>
      <ddeItem name="EURAUD" advise="1">
        <values>
          <value>
            <val>1.4633700000000001</val>
          </value>
        </values>
      </ddeItem>
      <ddeItem name="EURCAD" advise="1">
        <values>
          <value>
            <val>1.4451799999999999</val>
          </value>
        </values>
      </ddeItem>
      <ddeItem name="EURCHF" advise="1">
        <values>
          <value>
            <val>1.08927</val>
          </value>
        </values>
      </ddeItem>
      <ddeItem name="EURGBP" advise="1">
        <values>
          <value>
            <val>0.84043000000000001</val>
          </value>
        </values>
      </ddeItem>
      <ddeItem name="EURJPY" advise="1">
        <values>
          <value>
            <val>114.149</val>
          </value>
        </values>
      </ddeItem>
      <ddeItem name="EURNZD" advise="1">
        <values>
          <value>
            <val>1.50454</val>
          </value>
        </values>
      </ddeItem>
      <ddeItem name="EURUSD" advise="1">
        <values>
          <value>
            <val>1.12497</val>
          </value>
        </values>
      </ddeItem>
      <ddeItem name="GBPAUD" advise="1">
        <values>
          <value>
            <val>1.7412799999999999</val>
          </value>
        </values>
      </ddeItem>
      <ddeItem name="GBPCAD" advise="1">
        <values>
          <value>
            <val>1.7196400000000001</val>
          </value>
        </values>
      </ddeItem>
      <ddeItem name="GBPCHF" advise="1">
        <values>
          <value>
            <val>1.2961499999999999</val>
          </value>
        </values>
      </ddeItem>
      <ddeItem name="GBPJPY" advise="1">
        <values>
          <value>
            <val>135.82400000000001</val>
          </value>
        </values>
      </ddeItem>
      <ddeItem name="GBPNZD" advise="1">
        <values>
          <value>
            <val>1.7902199999999999</val>
          </value>
        </values>
      </ddeItem>
      <ddeItem name="GBPUSD" advise="1">
        <values>
          <value>
            <val>1.3385899999999999</val>
          </value>
        </values>
      </ddeItem>
      <ddeItem name="i" advise="1">
        <values>
          <value t="str">
            <val>N\A</val>
          </value>
        </values>
      </ddeItem>
      <ddeItem name="NZDCAD" advise="1">
        <values>
          <value>
            <val>0.96067000000000002</val>
          </value>
        </values>
      </ddeItem>
      <ddeItem name="NZDCHF" advise="1">
        <values>
          <value>
            <val>0.72411000000000003</val>
          </value>
        </values>
      </ddeItem>
      <ddeItem name="NZDJPY" advise="1">
        <values>
          <value>
            <val>75.88</val>
          </value>
        </values>
      </ddeItem>
      <ddeItem name="NZDUSD" advise="1">
        <values>
          <value>
            <val>0.74782999999999999</val>
          </value>
        </values>
      </ddeItem>
      <ddeItem name="StdDocumentName" ole="1" advise="1"/>
      <ddeItem name="USDCAD" advise="1">
        <values>
          <value>
            <val>1.2846299999999999</val>
          </value>
        </values>
      </ddeItem>
      <ddeItem name="USDCHF" advise="1">
        <values>
          <value>
            <val>0.96826999999999996</val>
          </value>
        </values>
      </ddeItem>
      <ddeItem name="USDJPY" advise="1">
        <values>
          <value>
            <val>101.46899999999999</val>
          </value>
        </values>
      </ddeItem>
      <ddeItem name="WAITi" advise="1">
        <values>
          <value t="str">
            <val>N\A</val>
          </value>
        </values>
      </ddeItem>
    </ddeItems>
  </ddeLink>
</externalLink>
</file>

<file path=xl/externalLinks/externalLink4.xml><?xml version="1.0" encoding="utf-8"?>
<externalLink xmlns="http://schemas.openxmlformats.org/spreadsheetml/2006/main">
  <ddeLink xmlns:r="http://schemas.openxmlformats.org/officeDocument/2006/relationships" ddeService="MT4" ddeTopic="BID">
    <ddeItems>
      <ddeItem name="AUDCAD" advise="1">
        <values>
          <value>
            <val>0.98753000000000002</val>
          </value>
        </values>
      </ddeItem>
      <ddeItem name="AUDCHF" advise="1">
        <values>
          <value>
            <val>0.74431000000000003</val>
          </value>
        </values>
      </ddeItem>
      <ddeItem name="AUDJPY" advise="1">
        <values>
          <value>
            <val>78.001999999999995</val>
          </value>
        </values>
      </ddeItem>
      <ddeItem name="AUDNZD" advise="1">
        <values>
          <value>
            <val>1.02799</val>
          </value>
        </values>
      </ddeItem>
      <ddeItem name="AUDUSD" advise="1">
        <values>
          <value>
            <val>0.76876</val>
          </value>
        </values>
      </ddeItem>
      <ddeItem name="CADCHF" advise="1">
        <values>
          <value>
            <val>0.75366999999999995</val>
          </value>
        </values>
      </ddeItem>
      <ddeItem name="CADJPY" advise="1">
        <values>
          <value>
            <val>78.980999999999995</val>
          </value>
        </values>
      </ddeItem>
      <ddeItem name="CHFJPY" advise="1">
        <values>
          <value>
            <val>104.791</val>
          </value>
        </values>
      </ddeItem>
      <ddeItem name="EURAUD" advise="1">
        <values>
          <value>
            <val>1.46326</val>
          </value>
        </values>
      </ddeItem>
      <ddeItem name="EURCAD" advise="1">
        <values>
          <value>
            <val>1.4451099999999999</val>
          </value>
        </values>
      </ddeItem>
      <ddeItem name="EURCHF" advise="1">
        <values>
          <value>
            <val>1.0891900000000001</val>
          </value>
        </values>
      </ddeItem>
      <ddeItem name="EURGBP" advise="1">
        <values>
          <value>
            <val>0.84038999999999997</val>
          </value>
        </values>
      </ddeItem>
      <ddeItem name="EURJPY" advise="1">
        <values>
          <value>
            <val>114.143</val>
          </value>
        </values>
      </ddeItem>
      <ddeItem name="EURNZD" advise="1">
        <values>
          <value>
            <val>1.50423</val>
          </value>
        </values>
      </ddeItem>
      <ddeItem name="EURUSD" advise="1">
        <values>
          <value>
            <val>1.12496</val>
          </value>
        </values>
      </ddeItem>
      <ddeItem name="GBPAUD" advise="1">
        <values>
          <value>
            <val>1.7410600000000001</val>
          </value>
        </values>
      </ddeItem>
      <ddeItem name="GBPCAD" advise="1">
        <values>
          <value>
            <val>1.7195100000000001</val>
          </value>
        </values>
      </ddeItem>
      <ddeItem name="GBPCHF" advise="1">
        <values>
          <value>
            <val>1.2959499999999999</val>
          </value>
        </values>
      </ddeItem>
      <ddeItem name="GBPJPY" advise="1">
        <values>
          <value>
            <val>135.815</val>
          </value>
        </values>
      </ddeItem>
      <ddeItem name="GBPNZD" advise="1">
        <values>
          <value>
            <val>1.7899</val>
          </value>
        </values>
      </ddeItem>
      <ddeItem name="GBPUSD" advise="1">
        <values>
          <value>
            <val>1.3385400000000001</val>
          </value>
        </values>
      </ddeItem>
      <ddeItem name="i" advise="1">
        <values>
          <value t="str">
            <val>N\A</val>
          </value>
        </values>
      </ddeItem>
      <ddeItem name="NZDCAD" advise="1">
        <values>
          <value>
            <val>0.96053999999999995</val>
          </value>
        </values>
      </ddeItem>
      <ddeItem name="NZDCHF" advise="1">
        <values>
          <value>
            <val>0.72392999999999996</val>
          </value>
        </values>
      </ddeItem>
      <ddeItem name="NZDJPY" advise="1">
        <values>
          <value>
            <val>75.867999999999995</val>
          </value>
        </values>
      </ddeItem>
      <ddeItem name="NZDUSD" advise="1">
        <values>
          <value>
            <val>0.74775000000000003</val>
          </value>
        </values>
      </ddeItem>
      <ddeItem name="StdDocumentName" ole="1" advise="1"/>
      <ddeItem name="USDCAD" advise="1">
        <values>
          <value>
            <val>1.2845800000000001</val>
          </value>
        </values>
      </ddeItem>
      <ddeItem name="USDCHF" advise="1">
        <values>
          <value>
            <val>0.96819999999999995</val>
          </value>
        </values>
      </ddeItem>
      <ddeItem name="USDJPY" advise="1">
        <values>
          <value>
            <val>101.465</val>
          </value>
        </values>
      </ddeItem>
      <ddeItem name="WAITi" advise="1">
        <values>
          <value t="str">
            <val>N\A</val>
          </value>
        </values>
      </ddeItem>
    </ddeItems>
  </ddeLink>
</externalLink>
</file>

<file path=xl/externalLinks/externalLink5.xml><?xml version="1.0" encoding="utf-8"?>
<externalLink xmlns="http://schemas.openxmlformats.org/spreadsheetml/2006/main">
  <ddeLink xmlns:r="http://schemas.openxmlformats.org/officeDocument/2006/relationships" ddeService="MT4" ddeTopic="LOW">
    <ddeItems>
      <ddeItem name="AUDCAD" advise="1">
        <values>
          <value>
            <val>0.98270999999999997</val>
          </value>
        </values>
      </ddeItem>
      <ddeItem name="AUDCHF" advise="1">
        <values>
          <value>
            <val>0.74177999999999999</val>
          </value>
        </values>
      </ddeItem>
      <ddeItem name="AUDJPY" advise="1">
        <values>
          <value>
            <val>77.581000000000003</val>
          </value>
        </values>
      </ddeItem>
      <ddeItem name="AUDNZD" advise="1">
        <values>
          <value>
            <val>1.0263899999999999</val>
          </value>
        </values>
      </ddeItem>
      <ddeItem name="AUDUSD" advise="1">
        <values>
          <value>
            <val>0.76512000000000002</val>
          </value>
        </values>
      </ddeItem>
      <ddeItem name="CADCHF" advise="1">
        <values>
          <value>
            <val>0.75322999999999996</val>
          </value>
        </values>
      </ddeItem>
      <ddeItem name="CADJPY" advise="1">
        <values>
          <value>
            <val>78.745999999999995</val>
          </value>
        </values>
      </ddeItem>
      <ddeItem name="CHFJPY" advise="1">
        <values>
          <value>
            <val>104.32899999999999</val>
          </value>
        </values>
      </ddeItem>
      <ddeItem name="EURAUD" advise="1">
        <values>
          <value>
            <val>1.4630300000000001</val>
          </value>
        </values>
      </ddeItem>
      <ddeItem name="EURCAD" advise="1">
        <values>
          <value>
            <val>1.4430000000000001</val>
          </value>
        </values>
      </ddeItem>
      <ddeItem name="EURCHF" advise="1">
        <values>
          <value>
            <val>1.0887899999999999</val>
          </value>
        </values>
      </ddeItem>
      <ddeItem name="EURGBP" advise="1">
        <values>
          <value>
            <val>0.83740000000000003</val>
          </value>
        </values>
      </ddeItem>
      <ddeItem name="EURJPY" advise="1">
        <values>
          <value>
            <val>113.824</val>
          </value>
        </values>
      </ddeItem>
      <ddeItem name="EURNZD" advise="1">
        <values>
          <value>
            <val>1.5039800000000001</val>
          </value>
        </values>
      </ddeItem>
      <ddeItem name="EURUSD" advise="1">
        <values>
          <value>
            <val>1.12297</val>
          </value>
        </values>
      </ddeItem>
      <ddeItem name="GBPAUD" advise="1">
        <values>
          <value>
            <val>1.74044</val>
          </value>
        </values>
      </ddeItem>
      <ddeItem name="GBPCAD" advise="1">
        <values>
          <value>
            <val>1.71567</val>
          </value>
        </values>
      </ddeItem>
      <ddeItem name="GBPCHF" advise="1">
        <values>
          <value>
            <val>1.2939799999999999</val>
          </value>
        </values>
      </ddeItem>
      <ddeItem name="GBPJPY" advise="1">
        <values>
          <value>
            <val>135.64699999999999</val>
          </value>
        </values>
      </ddeItem>
      <ddeItem name="GBPNZD" advise="1">
        <values>
          <value>
            <val>1.78776</val>
          </value>
        </values>
      </ddeItem>
      <ddeItem name="GBPUSD" advise="1">
        <values>
          <value>
            <val>1.3359099999999999</val>
          </value>
        </values>
      </ddeItem>
      <ddeItem name="i" advise="1">
        <values>
          <value t="str">
            <val>N\A</val>
          </value>
        </values>
      </ddeItem>
      <ddeItem name="NZDCAD" advise="1">
        <values>
          <value>
            <val>0.95108999999999999</val>
          </value>
        </values>
      </ddeItem>
      <ddeItem name="NZDCHF" advise="1">
        <values>
          <value>
            <val>0.71775</val>
          </value>
        </values>
      </ddeItem>
      <ddeItem name="NZDJPY" advise="1">
        <values>
          <value>
            <val>75.046999999999997</val>
          </value>
        </values>
      </ddeItem>
      <ddeItem name="NZDUSD" advise="1">
        <values>
          <value>
            <val>0.73968999999999996</val>
          </value>
        </values>
      </ddeItem>
      <ddeItem name="StdDocumentName" ole="1" advise="1"/>
      <ddeItem name="USDCAD" advise="1">
        <values>
          <value>
            <val>1.2830999999999999</val>
          </value>
        </values>
      </ddeItem>
      <ddeItem name="USDCHF" advise="1">
        <values>
          <value>
            <val>0.96772999999999998</val>
          </value>
        </values>
      </ddeItem>
      <ddeItem name="USDJPY" advise="1">
        <values>
          <value>
            <val>101.209</val>
          </value>
        </values>
      </ddeItem>
      <ddeItem name="WAITi" advise="1">
        <values>
          <value t="str">
            <val>N\A</val>
          </value>
        </values>
      </ddeItem>
    </ddeItems>
  </ddeLink>
</externalLink>
</file>

<file path=xl/externalLinks/externalLink6.xml><?xml version="1.0" encoding="utf-8"?>
<externalLink xmlns="http://schemas.openxmlformats.org/spreadsheetml/2006/main">
  <ddeLink xmlns:r="http://schemas.openxmlformats.org/officeDocument/2006/relationships" ddeService="MT4" ddeTopic="TIME">
    <ddeItems>
      <ddeItem name="AUDCAD" advise="1">
        <values>
          <value>
            <val>42620.650694444441</val>
          </value>
        </values>
      </ddeItem>
      <ddeItem name="StdDocumentName" ole="1" advise="1"/>
    </ddeItems>
  </ddeLink>
</externalLink>
</file>

<file path=xl/queryTables/queryTable1.xml><?xml version="1.0" encoding="utf-8"?>
<queryTable xmlns="http://schemas.openxmlformats.org/spreadsheetml/2006/main" name="openorders.txt" growShrinkType="overwriteClear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penorders_10" growShrinkType="overwriteClear" connectionId="4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openorders_14" growShrinkType="overwriteClear" connectionId="8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openorders_16" growShrinkType="overwriteClear" connectionId="10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openorders_8" growShrinkType="overwriteClear" connectionId="29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openorders_7" growShrinkType="overwriteClear" connectionId="28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openorders_22" growShrinkType="overwriteClear" connectionId="1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openorders_19" growShrinkType="overwriteClear" connectionId="14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openorders_17" growShrinkType="overwriteClear" connectionId="11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openorders_9" growShrinkType="overwriteClear" connectionId="3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openorders_12" growShrinkType="overwriteClear" connectionId="6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openorders_13" growShrinkType="overwriteClear" connectionId="7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openorders_18" growShrinkType="overwriteClear" connectionId="12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openorders_21" growShrinkType="overwriteClear" connectionId="16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openorders" growShrinkType="overwriteClear" connectionId="2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openorders_5" growShrinkType="overwriteClear" connectionId="26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openorders_6" growShrinkType="overwriteClear" connectionId="27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openorders_4" growShrinkType="overwriteClear" connectionId="25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openorders_20" growShrinkType="overwriteClear" connectionId="15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openorders_2" growShrinkType="overwriteClear" connectionId="23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openorders_3" growShrinkType="overwriteClear" connectionId="24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openorders_1" growShrinkType="overwriteClear" connectionId="13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openorders_15" growShrinkType="overwriteClear" connectionId="9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openorders_25" growShrinkType="overwriteClear" connectionId="20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openorders_26" growShrinkType="overwriteClear" connectionId="21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openorders_24" growShrinkType="overwriteClear" connectionId="19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openorders_11" growShrinkType="overwriteClear" connectionId="5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openorders_23" growShrinkType="overwriteClear" connectionId="18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1.xml"/><Relationship Id="rId4" Type="http://schemas.openxmlformats.org/officeDocument/2006/relationships/comments" Target="../comments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6.xml"/><Relationship Id="rId13" Type="http://schemas.openxmlformats.org/officeDocument/2006/relationships/queryTable" Target="../queryTables/queryTable11.xml"/><Relationship Id="rId18" Type="http://schemas.openxmlformats.org/officeDocument/2006/relationships/queryTable" Target="../queryTables/queryTable16.xml"/><Relationship Id="rId26" Type="http://schemas.openxmlformats.org/officeDocument/2006/relationships/queryTable" Target="../queryTables/queryTable24.xml"/><Relationship Id="rId3" Type="http://schemas.openxmlformats.org/officeDocument/2006/relationships/queryTable" Target="../queryTables/queryTable1.xml"/><Relationship Id="rId21" Type="http://schemas.openxmlformats.org/officeDocument/2006/relationships/queryTable" Target="../queryTables/queryTable19.xml"/><Relationship Id="rId7" Type="http://schemas.openxmlformats.org/officeDocument/2006/relationships/queryTable" Target="../queryTables/queryTable5.xml"/><Relationship Id="rId12" Type="http://schemas.openxmlformats.org/officeDocument/2006/relationships/queryTable" Target="../queryTables/queryTable10.xml"/><Relationship Id="rId17" Type="http://schemas.openxmlformats.org/officeDocument/2006/relationships/queryTable" Target="../queryTables/queryTable15.xml"/><Relationship Id="rId25" Type="http://schemas.openxmlformats.org/officeDocument/2006/relationships/queryTable" Target="../queryTables/queryTable23.xml"/><Relationship Id="rId2" Type="http://schemas.openxmlformats.org/officeDocument/2006/relationships/vmlDrawing" Target="../drawings/vmlDrawing2.vml"/><Relationship Id="rId16" Type="http://schemas.openxmlformats.org/officeDocument/2006/relationships/queryTable" Target="../queryTables/queryTable14.xml"/><Relationship Id="rId20" Type="http://schemas.openxmlformats.org/officeDocument/2006/relationships/queryTable" Target="../queryTables/queryTable18.xml"/><Relationship Id="rId29" Type="http://schemas.openxmlformats.org/officeDocument/2006/relationships/queryTable" Target="../queryTables/queryTable27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4.xml"/><Relationship Id="rId11" Type="http://schemas.openxmlformats.org/officeDocument/2006/relationships/queryTable" Target="../queryTables/queryTable9.xml"/><Relationship Id="rId24" Type="http://schemas.openxmlformats.org/officeDocument/2006/relationships/queryTable" Target="../queryTables/queryTable22.xml"/><Relationship Id="rId5" Type="http://schemas.openxmlformats.org/officeDocument/2006/relationships/queryTable" Target="../queryTables/queryTable3.xml"/><Relationship Id="rId15" Type="http://schemas.openxmlformats.org/officeDocument/2006/relationships/queryTable" Target="../queryTables/queryTable13.xml"/><Relationship Id="rId23" Type="http://schemas.openxmlformats.org/officeDocument/2006/relationships/queryTable" Target="../queryTables/queryTable21.xml"/><Relationship Id="rId28" Type="http://schemas.openxmlformats.org/officeDocument/2006/relationships/queryTable" Target="../queryTables/queryTable26.xml"/><Relationship Id="rId10" Type="http://schemas.openxmlformats.org/officeDocument/2006/relationships/queryTable" Target="../queryTables/queryTable8.xml"/><Relationship Id="rId19" Type="http://schemas.openxmlformats.org/officeDocument/2006/relationships/queryTable" Target="../queryTables/queryTable17.xml"/><Relationship Id="rId31" Type="http://schemas.openxmlformats.org/officeDocument/2006/relationships/ctrlProp" Target="../ctrlProps/ctrlProp57.xml"/><Relationship Id="rId4" Type="http://schemas.openxmlformats.org/officeDocument/2006/relationships/queryTable" Target="../queryTables/queryTable2.xml"/><Relationship Id="rId9" Type="http://schemas.openxmlformats.org/officeDocument/2006/relationships/queryTable" Target="../queryTables/queryTable7.xml"/><Relationship Id="rId14" Type="http://schemas.openxmlformats.org/officeDocument/2006/relationships/queryTable" Target="../queryTables/queryTable12.xml"/><Relationship Id="rId22" Type="http://schemas.openxmlformats.org/officeDocument/2006/relationships/queryTable" Target="../queryTables/queryTable20.xml"/><Relationship Id="rId27" Type="http://schemas.openxmlformats.org/officeDocument/2006/relationships/queryTable" Target="../queryTables/queryTable25.xml"/><Relationship Id="rId30" Type="http://schemas.openxmlformats.org/officeDocument/2006/relationships/queryTable" Target="../queryTables/queryTable2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11"/>
  <dimension ref="A1:AA51"/>
  <sheetViews>
    <sheetView showGridLines="0" showRowColHeaders="0" tabSelected="1" topLeftCell="B5" zoomScale="75" zoomScaleNormal="75" workbookViewId="0">
      <selection activeCell="H46" sqref="H46"/>
    </sheetView>
  </sheetViews>
  <sheetFormatPr defaultRowHeight="15"/>
  <cols>
    <col min="2" max="2" width="10" customWidth="1"/>
    <col min="3" max="3" width="9.5703125" customWidth="1"/>
    <col min="4" max="4" width="9.28515625" customWidth="1"/>
    <col min="5" max="5" width="8.85546875" customWidth="1"/>
    <col min="6" max="6" width="10.85546875" customWidth="1"/>
    <col min="7" max="7" width="11" customWidth="1"/>
    <col min="9" max="9" width="10.42578125" customWidth="1"/>
    <col min="10" max="10" width="8" customWidth="1"/>
    <col min="11" max="11" width="11.85546875" customWidth="1"/>
    <col min="24" max="27" width="9.140625" style="334"/>
  </cols>
  <sheetData>
    <row r="1" spans="1:26">
      <c r="A1" s="334"/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</row>
    <row r="2" spans="1:26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</row>
    <row r="3" spans="1:26">
      <c r="A3" s="334"/>
      <c r="B3" s="334"/>
      <c r="C3" s="334"/>
      <c r="D3" s="334" t="str">
        <f>[2]!i</f>
        <v>N\A</v>
      </c>
      <c r="E3" s="334" t="str">
        <f>[3]!i</f>
        <v>N\A</v>
      </c>
      <c r="F3" s="334" t="str">
        <f>[4]!i</f>
        <v>N\A</v>
      </c>
      <c r="G3" s="334" t="str">
        <f>[5]!i</f>
        <v>N\A</v>
      </c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</row>
    <row r="4" spans="1:26">
      <c r="A4" s="334"/>
      <c r="B4" s="334"/>
      <c r="C4" s="334"/>
      <c r="D4" s="334" t="str">
        <f>[2]!i</f>
        <v>N\A</v>
      </c>
      <c r="E4" s="334" t="str">
        <f>[3]!i</f>
        <v>N\A</v>
      </c>
      <c r="F4" s="334" t="str">
        <f>[4]!i</f>
        <v>N\A</v>
      </c>
      <c r="G4" s="334" t="str">
        <f>[5]!i</f>
        <v>N\A</v>
      </c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4"/>
      <c r="T4" s="334"/>
      <c r="U4" s="334"/>
      <c r="V4" s="334"/>
      <c r="W4" s="334"/>
    </row>
    <row r="5" spans="1:26">
      <c r="A5" s="334"/>
      <c r="B5" s="334"/>
      <c r="C5" s="334"/>
      <c r="D5" s="334" t="str">
        <f>[2]!i</f>
        <v>N\A</v>
      </c>
      <c r="E5" s="334" t="str">
        <f>[3]!i</f>
        <v>N\A</v>
      </c>
      <c r="F5" s="334" t="str">
        <f>[4]!i</f>
        <v>N\A</v>
      </c>
      <c r="G5" s="334" t="str">
        <f>[5]!i</f>
        <v>N\A</v>
      </c>
      <c r="H5" s="334"/>
      <c r="I5" s="334"/>
      <c r="J5" s="334"/>
      <c r="K5" s="334"/>
      <c r="L5" s="334"/>
      <c r="M5" s="334"/>
      <c r="N5" s="334"/>
      <c r="O5" s="334"/>
      <c r="P5" s="334"/>
      <c r="Q5" s="334"/>
      <c r="R5" s="334"/>
      <c r="S5" s="334"/>
      <c r="T5" s="334"/>
      <c r="U5" s="334"/>
      <c r="V5" s="334"/>
      <c r="W5" s="334"/>
    </row>
    <row r="6" spans="1:26" ht="15" customHeight="1">
      <c r="A6" s="334"/>
      <c r="B6" s="334"/>
      <c r="C6" s="334"/>
      <c r="D6" s="334" t="str">
        <f>[2]!i</f>
        <v>N\A</v>
      </c>
      <c r="E6" s="334" t="str">
        <f>[3]!i</f>
        <v>N\A</v>
      </c>
      <c r="F6" s="334" t="str">
        <f>[4]!i</f>
        <v>N\A</v>
      </c>
      <c r="G6" s="334" t="str">
        <f>[5]!i</f>
        <v>N\A</v>
      </c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</row>
    <row r="7" spans="1:26" ht="15" customHeight="1" thickBot="1">
      <c r="A7" s="334"/>
      <c r="B7" s="334"/>
      <c r="C7" s="334"/>
      <c r="D7" s="334" t="str">
        <f>[2]!i</f>
        <v>N\A</v>
      </c>
      <c r="E7" s="334" t="str">
        <f>[3]!i</f>
        <v>N\A</v>
      </c>
      <c r="F7" s="334" t="str">
        <f>[4]!i</f>
        <v>N\A</v>
      </c>
      <c r="G7" s="334" t="str">
        <f>[5]!i</f>
        <v>N\A</v>
      </c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</row>
    <row r="8" spans="1:26" ht="15" customHeight="1">
      <c r="A8" s="334"/>
      <c r="B8" s="334"/>
      <c r="C8" s="334"/>
      <c r="D8" s="334" t="str">
        <f>[2]!i</f>
        <v>N\A</v>
      </c>
      <c r="E8" s="334" t="str">
        <f>[3]!i</f>
        <v>N\A</v>
      </c>
      <c r="F8" s="334" t="str">
        <f>[4]!i</f>
        <v>N\A</v>
      </c>
      <c r="G8" s="334" t="str">
        <f>[5]!i</f>
        <v>N\A</v>
      </c>
      <c r="H8" s="334"/>
      <c r="I8" s="334"/>
      <c r="J8" s="334"/>
      <c r="K8" s="334"/>
      <c r="L8" s="334"/>
      <c r="M8" s="334"/>
      <c r="N8" s="334"/>
      <c r="O8" s="334"/>
      <c r="P8" s="334"/>
      <c r="Q8" s="334"/>
      <c r="R8" s="334"/>
      <c r="S8" s="335" t="str">
        <f>Strength28!N25</f>
        <v>USD</v>
      </c>
      <c r="T8" s="336" t="str">
        <f>Strength28!O25</f>
        <v>JPY</v>
      </c>
      <c r="U8" s="337" t="str">
        <f>Strength28!P25</f>
        <v>GBP</v>
      </c>
      <c r="V8" s="336" t="str">
        <f>Strength28!Q25</f>
        <v>EUR</v>
      </c>
      <c r="W8" s="337" t="str">
        <f>Strength28!R25</f>
        <v>AUD</v>
      </c>
      <c r="X8" s="336" t="str">
        <f>Strength28!S25</f>
        <v>NZD</v>
      </c>
      <c r="Y8" s="341" t="str">
        <f>Strength28!T25</f>
        <v>CAD</v>
      </c>
      <c r="Z8" s="342" t="str">
        <f>Strength28!U25</f>
        <v>CHF</v>
      </c>
    </row>
    <row r="9" spans="1:26" ht="15.75" thickBot="1">
      <c r="A9" s="334"/>
      <c r="B9" s="334"/>
      <c r="C9" s="334"/>
      <c r="D9" s="334" t="str">
        <f>[2]!i</f>
        <v>N\A</v>
      </c>
      <c r="E9" s="334" t="str">
        <f>[3]!i</f>
        <v>N\A</v>
      </c>
      <c r="F9" s="343" t="str">
        <f>[4]!i</f>
        <v>N\A</v>
      </c>
      <c r="G9" s="344" t="str">
        <f>[5]!i</f>
        <v>N\A</v>
      </c>
      <c r="H9" s="345" t="str">
        <f>Strength28!G23</f>
        <v>Sell</v>
      </c>
      <c r="I9" s="346"/>
      <c r="J9" s="334"/>
      <c r="K9" s="334"/>
      <c r="L9" s="334"/>
      <c r="M9" s="334"/>
      <c r="N9" s="334"/>
      <c r="O9" s="334"/>
      <c r="P9" s="334"/>
      <c r="Q9" s="334"/>
      <c r="R9" s="334"/>
      <c r="S9" s="94">
        <f>Strength28!N26</f>
        <v>2.7142857142857144</v>
      </c>
      <c r="T9" s="95">
        <f>Strength28!O26</f>
        <v>5.1428571428571432</v>
      </c>
      <c r="U9" s="96">
        <f>Strength28!P26</f>
        <v>2.1428571428571428</v>
      </c>
      <c r="V9" s="95">
        <f>Strength28!Q26</f>
        <v>3.2857142857142856</v>
      </c>
      <c r="W9" s="96">
        <f>Strength28!R26</f>
        <v>6.4285714285714288</v>
      </c>
      <c r="X9" s="95">
        <f>Strength28!S26</f>
        <v>8.2857142857142865</v>
      </c>
      <c r="Y9" s="96">
        <f>Strength28!T26</f>
        <v>3</v>
      </c>
      <c r="Z9" s="97">
        <f>Strength28!U26</f>
        <v>5</v>
      </c>
    </row>
    <row r="10" spans="1:26" ht="15.75" thickBot="1">
      <c r="A10" s="334"/>
      <c r="B10" s="338" t="str">
        <f>$W$11</f>
        <v>WAIT</v>
      </c>
      <c r="C10" s="338" t="str">
        <f>$Y$11</f>
        <v>WAIT</v>
      </c>
      <c r="D10" s="340" t="str">
        <f>[2]!WAITi</f>
        <v>N\A</v>
      </c>
      <c r="E10" s="340" t="str">
        <f>[3]!WAITi</f>
        <v>N\A</v>
      </c>
      <c r="F10" s="347" t="str">
        <f>[4]!WAITi</f>
        <v>N\A</v>
      </c>
      <c r="G10" s="348" t="str">
        <f>[5]!WAITi</f>
        <v>N\A</v>
      </c>
      <c r="H10" s="349">
        <f>Strength28!G24</f>
        <v>3</v>
      </c>
      <c r="I10" s="357">
        <f>GAP_test!G8</f>
        <v>0</v>
      </c>
      <c r="J10" s="357">
        <f>Strength28!H24*10</f>
        <v>34.285714285714292</v>
      </c>
      <c r="K10" s="356">
        <f>GAP_test!C8</f>
        <v>0.93957115009746039</v>
      </c>
      <c r="L10" s="357">
        <f>GAP_test!D8</f>
        <v>7</v>
      </c>
      <c r="M10" s="357">
        <f>GAP_test!E8</f>
        <v>3.4285714285714288</v>
      </c>
      <c r="N10" s="358">
        <f>GAP_test!H8</f>
        <v>3.637432178576304</v>
      </c>
      <c r="O10" s="334"/>
      <c r="P10" s="334"/>
      <c r="Q10" s="334"/>
      <c r="R10" s="334"/>
      <c r="S10" s="98">
        <f>Strength28!N27</f>
        <v>-5</v>
      </c>
      <c r="T10" s="99">
        <f>Strength28!O27</f>
        <v>3</v>
      </c>
      <c r="U10" s="100">
        <f>Strength28!P27</f>
        <v>-7</v>
      </c>
      <c r="V10" s="99">
        <f>Strength28!Q27</f>
        <v>-1</v>
      </c>
      <c r="W10" s="100">
        <f>Strength28!R27</f>
        <v>5</v>
      </c>
      <c r="X10" s="99">
        <f>Strength28!S27</f>
        <v>7</v>
      </c>
      <c r="Y10" s="100">
        <f>Strength28!T27</f>
        <v>-3</v>
      </c>
      <c r="Z10" s="101">
        <f>Strength28!U27</f>
        <v>1</v>
      </c>
    </row>
    <row r="11" spans="1:26">
      <c r="A11" s="334"/>
      <c r="B11" s="338" t="str">
        <f>$W$11</f>
        <v>WAIT</v>
      </c>
      <c r="C11" s="338" t="str">
        <f>$Z$11</f>
        <v>WAIT</v>
      </c>
      <c r="D11" s="340" t="str">
        <f>[2]!WAITi</f>
        <v>N\A</v>
      </c>
      <c r="E11" s="340" t="str">
        <f>[3]!WAITi</f>
        <v>N\A</v>
      </c>
      <c r="F11" s="350" t="str">
        <f>[4]!WAITi</f>
        <v>N\A</v>
      </c>
      <c r="G11" s="351" t="str">
        <f>[5]!WAITi</f>
        <v>N\A</v>
      </c>
      <c r="H11" s="352">
        <f>Strength28!G25</f>
        <v>5</v>
      </c>
      <c r="I11" s="357">
        <f>GAP_test!G9</f>
        <v>-2.1428571428571428</v>
      </c>
      <c r="J11" s="357">
        <f>Strength28!H25*10</f>
        <v>14.285714285714288</v>
      </c>
      <c r="K11" s="356">
        <f>GAP_test!C9</f>
        <v>0.62935323383085007</v>
      </c>
      <c r="L11" s="357">
        <f>GAP_test!D9</f>
        <v>3</v>
      </c>
      <c r="M11" s="357">
        <f>GAP_test!E9</f>
        <v>1.4285714285714288</v>
      </c>
      <c r="N11" s="358">
        <f>GAP_test!H9</f>
        <v>4.4542992267426342</v>
      </c>
      <c r="O11" s="334"/>
      <c r="P11" s="334"/>
      <c r="Q11" s="334"/>
      <c r="R11" s="334"/>
      <c r="S11" s="339" t="str">
        <f>GAP_SYNC!$V$20</f>
        <v>SELL</v>
      </c>
      <c r="T11" s="338" t="str">
        <f>GAP_SYNC!$J$20</f>
        <v>WAIT</v>
      </c>
      <c r="U11" s="338" t="str">
        <f>GAP_SYNC!$D$20</f>
        <v>SELL</v>
      </c>
      <c r="V11" s="338" t="str">
        <f>GAP_SYNC!$V$4</f>
        <v>WAIT</v>
      </c>
      <c r="W11" s="338" t="str">
        <f>GAP_SYNC!$D$4</f>
        <v>WAIT</v>
      </c>
      <c r="X11" s="338" t="str">
        <f>GAP_SYNC!$P$20</f>
        <v>BUY</v>
      </c>
      <c r="Y11" s="338" t="str">
        <f>GAP_SYNC!$J$4</f>
        <v>WAIT</v>
      </c>
      <c r="Z11" s="338" t="str">
        <f>GAP_SYNC!$P$4</f>
        <v>WAIT</v>
      </c>
    </row>
    <row r="12" spans="1:26">
      <c r="A12" s="334"/>
      <c r="B12" s="338" t="str">
        <f>$W$11</f>
        <v>WAIT</v>
      </c>
      <c r="C12" s="338" t="str">
        <f>$T$11</f>
        <v>WAIT</v>
      </c>
      <c r="D12" s="340" t="str">
        <f>[2]!WAITi</f>
        <v>N\A</v>
      </c>
      <c r="E12" s="340" t="str">
        <f>[3]!WAITi</f>
        <v>N\A</v>
      </c>
      <c r="F12" s="350" t="str">
        <f>[4]!WAITi</f>
        <v>N\A</v>
      </c>
      <c r="G12" s="351" t="str">
        <f>[5]!WAITi</f>
        <v>N\A</v>
      </c>
      <c r="H12" s="352">
        <f>Strength28!G26</f>
        <v>5.1428571428571432</v>
      </c>
      <c r="I12" s="357">
        <f>GAP_test!G10</f>
        <v>0.71428571428571352</v>
      </c>
      <c r="J12" s="357">
        <f>Strength28!H26*10</f>
        <v>12.857142857142856</v>
      </c>
      <c r="K12" s="356">
        <f>GAP_test!C10</f>
        <v>0.48670520231213271</v>
      </c>
      <c r="L12" s="357">
        <f>GAP_test!D10</f>
        <v>-1</v>
      </c>
      <c r="M12" s="357">
        <f>GAP_test!E10</f>
        <v>1.2857142857142856</v>
      </c>
      <c r="N12" s="358">
        <f>GAP_test!H10</f>
        <v>-11.091607490909929</v>
      </c>
      <c r="O12" s="334"/>
      <c r="P12" s="334"/>
      <c r="Q12" s="334"/>
      <c r="R12" s="334"/>
      <c r="S12" s="340">
        <f>GAP_SYNC!$X$20</f>
        <v>-5</v>
      </c>
      <c r="T12" s="340">
        <f>GAP_SYNC!$L$20</f>
        <v>-2</v>
      </c>
      <c r="U12" s="340">
        <f>GAP_SYNC!$F$20</f>
        <v>-6</v>
      </c>
      <c r="V12" s="340">
        <f>GAP_SYNC!$X$4</f>
        <v>2</v>
      </c>
      <c r="W12" s="340">
        <f>GAP_SYNC!$F$4</f>
        <v>2</v>
      </c>
      <c r="X12" s="340">
        <f>GAP_SYNC!$R$20</f>
        <v>5</v>
      </c>
      <c r="Y12" s="340">
        <f>GAP_SYNC!$L$4</f>
        <v>2</v>
      </c>
      <c r="Z12" s="340">
        <f>GAP_SYNC!$R$4</f>
        <v>3</v>
      </c>
    </row>
    <row r="13" spans="1:26" ht="15.75" thickBot="1">
      <c r="A13" s="334"/>
      <c r="B13" s="338" t="str">
        <f>$W$11</f>
        <v>WAIT</v>
      </c>
      <c r="C13" s="338" t="str">
        <f>$X$11</f>
        <v>BUY</v>
      </c>
      <c r="D13" s="340" t="str">
        <f>[2]!WAITi</f>
        <v>N\A</v>
      </c>
      <c r="E13" s="340" t="str">
        <f>[3]!WAITi</f>
        <v>N\A</v>
      </c>
      <c r="F13" s="350" t="str">
        <f>[4]!WAITi</f>
        <v>N\A</v>
      </c>
      <c r="G13" s="351" t="str">
        <f>[5]!WAITi</f>
        <v>N\A</v>
      </c>
      <c r="H13" s="352">
        <f>Strength28!G27</f>
        <v>8.2857142857142865</v>
      </c>
      <c r="I13" s="357">
        <f>GAP_test!G11</f>
        <v>-2.5714285714285721</v>
      </c>
      <c r="J13" s="357">
        <f>Strength28!H27*10</f>
        <v>-18.571428571428577</v>
      </c>
      <c r="K13" s="356">
        <f>GAP_test!C11</f>
        <v>0.14773776546629996</v>
      </c>
      <c r="L13" s="357">
        <f>GAP_test!D11</f>
        <v>-5</v>
      </c>
      <c r="M13" s="357">
        <f>GAP_test!E11</f>
        <v>-1.8571428571428577</v>
      </c>
      <c r="N13" s="358">
        <f>GAP_test!H11</f>
        <v>-3.7939973608602493</v>
      </c>
      <c r="O13" s="334"/>
      <c r="P13" s="334"/>
      <c r="Q13" s="334"/>
      <c r="R13" s="334"/>
      <c r="S13" s="94">
        <f>CRS!T2</f>
        <v>-3.5714285714285712</v>
      </c>
      <c r="T13" s="95">
        <f>CRS!T5</f>
        <v>1.5714285714285716</v>
      </c>
      <c r="U13" s="96">
        <f>CRS!T4</f>
        <v>-2.0000000000000004</v>
      </c>
      <c r="V13" s="95">
        <f>CRS!T3</f>
        <v>-0.57142857142857162</v>
      </c>
      <c r="W13" s="96">
        <f>CRS!T7</f>
        <v>1.5714285714285721</v>
      </c>
      <c r="X13" s="95">
        <f>CRS!T9</f>
        <v>4.5714285714285721</v>
      </c>
      <c r="Y13" s="96">
        <f>CRS!T8</f>
        <v>-1.4285714285714288</v>
      </c>
      <c r="Z13" s="97">
        <f>CRS!T6</f>
        <v>-0.14285714285714324</v>
      </c>
    </row>
    <row r="14" spans="1:26">
      <c r="A14" s="334"/>
      <c r="B14" s="338" t="str">
        <f>$W$11</f>
        <v>WAIT</v>
      </c>
      <c r="C14" s="339" t="str">
        <f>$S$11</f>
        <v>SELL</v>
      </c>
      <c r="D14" s="340" t="str">
        <f>[2]!WAITi</f>
        <v>N\A</v>
      </c>
      <c r="E14" s="340" t="str">
        <f>[3]!WAITi</f>
        <v>N\A</v>
      </c>
      <c r="F14" s="350" t="str">
        <f>[4]!WAITi</f>
        <v>N\A</v>
      </c>
      <c r="G14" s="351" t="str">
        <f>[5]!WAITi</f>
        <v>N\A</v>
      </c>
      <c r="H14" s="352">
        <f>Strength28!G28</f>
        <v>2.7142857142857144</v>
      </c>
      <c r="I14" s="357">
        <f>GAP_test!G12</f>
        <v>2.8571428571428568</v>
      </c>
      <c r="J14" s="357">
        <f>Strength28!H28*10</f>
        <v>37.142857142857146</v>
      </c>
      <c r="K14" s="356">
        <f>GAP_test!C12</f>
        <v>0.97587131367291313</v>
      </c>
      <c r="L14" s="357">
        <f>GAP_test!D12</f>
        <v>9</v>
      </c>
      <c r="M14" s="357">
        <f>GAP_test!E12</f>
        <v>3.7142857142857144</v>
      </c>
      <c r="N14" s="358">
        <f>GAP_test!H12</f>
        <v>6.0080806409354786</v>
      </c>
      <c r="O14" s="334"/>
      <c r="P14" s="334"/>
      <c r="Q14" s="334"/>
      <c r="R14" s="334"/>
      <c r="S14" s="334"/>
      <c r="T14" s="334"/>
      <c r="U14" s="334"/>
      <c r="V14" s="334"/>
      <c r="W14" s="334"/>
    </row>
    <row r="15" spans="1:26">
      <c r="A15" s="334"/>
      <c r="B15" s="338" t="str">
        <f>$Y$11</f>
        <v>WAIT</v>
      </c>
      <c r="C15" s="338" t="str">
        <f>$Z$11</f>
        <v>WAIT</v>
      </c>
      <c r="D15" s="340" t="str">
        <f>[2]!WAITi</f>
        <v>N\A</v>
      </c>
      <c r="E15" s="340" t="str">
        <f>[3]!WAITi</f>
        <v>N\A</v>
      </c>
      <c r="F15" s="350" t="str">
        <f>[4]!WAITi</f>
        <v>N\A</v>
      </c>
      <c r="G15" s="351" t="str">
        <f>[5]!WAITi</f>
        <v>N\A</v>
      </c>
      <c r="H15" s="352">
        <f>Strength28!G29</f>
        <v>5</v>
      </c>
      <c r="I15" s="357">
        <f>GAP_test!G13</f>
        <v>-2.1428571428571428</v>
      </c>
      <c r="J15" s="357">
        <f>Strength28!H29*10</f>
        <v>-20</v>
      </c>
      <c r="K15" s="356">
        <f>GAP_test!C13</f>
        <v>0.19130434782607858</v>
      </c>
      <c r="L15" s="357">
        <f>GAP_test!D13</f>
        <v>-5</v>
      </c>
      <c r="M15" s="357">
        <f>GAP_test!E13</f>
        <v>-2</v>
      </c>
      <c r="N15" s="358">
        <f>GAP_test!H13</f>
        <v>0.78901266432190453</v>
      </c>
      <c r="O15" s="334"/>
      <c r="P15" s="334"/>
      <c r="Q15" s="334"/>
      <c r="R15" s="334"/>
      <c r="S15" s="334"/>
      <c r="T15" s="334"/>
      <c r="U15" s="334"/>
      <c r="V15" s="334"/>
      <c r="W15" s="334"/>
    </row>
    <row r="16" spans="1:26">
      <c r="A16" s="334"/>
      <c r="B16" s="338" t="str">
        <f>$Y$11</f>
        <v>WAIT</v>
      </c>
      <c r="C16" s="338" t="str">
        <f>$T$11</f>
        <v>WAIT</v>
      </c>
      <c r="D16" s="340" t="str">
        <f>[2]!WAITi</f>
        <v>N\A</v>
      </c>
      <c r="E16" s="340" t="str">
        <f>[3]!WAITi</f>
        <v>N\A</v>
      </c>
      <c r="F16" s="350" t="str">
        <f>[4]!WAITi</f>
        <v>N\A</v>
      </c>
      <c r="G16" s="351" t="str">
        <f>[5]!WAITi</f>
        <v>N\A</v>
      </c>
      <c r="H16" s="352">
        <f>Strength28!G30</f>
        <v>5.1428571428571432</v>
      </c>
      <c r="I16" s="357">
        <f>GAP_test!G14</f>
        <v>0.71428571428571352</v>
      </c>
      <c r="J16" s="357">
        <f>Strength28!H30*10</f>
        <v>-21.428571428571431</v>
      </c>
      <c r="K16" s="356">
        <f>GAP_test!C14</f>
        <v>0.32503457814661102</v>
      </c>
      <c r="L16" s="357">
        <f>GAP_test!D14</f>
        <v>-3</v>
      </c>
      <c r="M16" s="357">
        <f>GAP_test!E14</f>
        <v>-2.1428571428571432</v>
      </c>
      <c r="N16" s="358">
        <f>GAP_test!H14</f>
        <v>-14.207970801968274</v>
      </c>
      <c r="O16" s="334"/>
      <c r="P16" s="334"/>
      <c r="Q16" s="334"/>
      <c r="R16" s="334"/>
      <c r="S16" s="334"/>
      <c r="T16" s="334"/>
      <c r="U16" s="334"/>
      <c r="V16" s="334"/>
      <c r="W16" s="334"/>
    </row>
    <row r="17" spans="1:23">
      <c r="A17" s="334"/>
      <c r="B17" s="338" t="str">
        <f>$Y$11</f>
        <v>WAIT</v>
      </c>
      <c r="C17" s="338" t="str">
        <f>$T$11</f>
        <v>WAIT</v>
      </c>
      <c r="D17" s="340" t="str">
        <f>[2]!WAITi</f>
        <v>N\A</v>
      </c>
      <c r="E17" s="340" t="str">
        <f>[3]!WAITi</f>
        <v>N\A</v>
      </c>
      <c r="F17" s="350" t="str">
        <f>[4]!WAITi</f>
        <v>N\A</v>
      </c>
      <c r="G17" s="351" t="str">
        <f>[5]!WAITi</f>
        <v>N\A</v>
      </c>
      <c r="H17" s="352">
        <f>Strength28!G31</f>
        <v>5.1428571428571432</v>
      </c>
      <c r="I17" s="357">
        <f>GAP_test!G15</f>
        <v>2.8571428571428563</v>
      </c>
      <c r="J17" s="357">
        <f>Strength28!H31*10</f>
        <v>-1.4285714285714324</v>
      </c>
      <c r="K17" s="356">
        <f>GAP_test!C15</f>
        <v>0.4946466809421815</v>
      </c>
      <c r="L17" s="357">
        <f>GAP_test!D15</f>
        <v>-1</v>
      </c>
      <c r="M17" s="357">
        <f>GAP_test!E15</f>
        <v>-0.14285714285714324</v>
      </c>
      <c r="N17" s="358">
        <f>GAP_test!H15</f>
        <v>-14.866357949467874</v>
      </c>
      <c r="O17" s="334"/>
      <c r="P17" s="334"/>
      <c r="Q17" s="334"/>
      <c r="R17" s="334"/>
      <c r="S17" s="334"/>
      <c r="T17" s="334"/>
      <c r="U17" s="334"/>
      <c r="V17" s="334"/>
      <c r="W17" s="334"/>
    </row>
    <row r="18" spans="1:23">
      <c r="A18" s="334"/>
      <c r="B18" s="338" t="str">
        <f t="shared" ref="B18:B24" si="0">$V$11</f>
        <v>WAIT</v>
      </c>
      <c r="C18" s="338" t="str">
        <f>$W$11</f>
        <v>WAIT</v>
      </c>
      <c r="D18" s="340" t="str">
        <f>[2]!WAITi</f>
        <v>N\A</v>
      </c>
      <c r="E18" s="340" t="str">
        <f>[3]!WAITi</f>
        <v>N\A</v>
      </c>
      <c r="F18" s="350" t="str">
        <f>[4]!WAITi</f>
        <v>N\A</v>
      </c>
      <c r="G18" s="351" t="str">
        <f>[5]!WAITi</f>
        <v>N\A</v>
      </c>
      <c r="H18" s="352">
        <f>Strength28!G32</f>
        <v>6.4285714285714288</v>
      </c>
      <c r="I18" s="357">
        <f>GAP_test!G16</f>
        <v>0.14285714285714279</v>
      </c>
      <c r="J18" s="357">
        <f>Strength28!H32*10</f>
        <v>-31.428571428571431</v>
      </c>
      <c r="K18" s="356">
        <f>GAP_test!C16</f>
        <v>3.3873343151687406E-2</v>
      </c>
      <c r="L18" s="357">
        <f>GAP_test!D16</f>
        <v>-7</v>
      </c>
      <c r="M18" s="357">
        <f>GAP_test!E16</f>
        <v>-3.1428571428571432</v>
      </c>
      <c r="N18" s="358">
        <f>GAP_test!H16</f>
        <v>-3.9824141211981963</v>
      </c>
      <c r="O18" s="334"/>
      <c r="P18" s="334"/>
      <c r="Q18" s="334"/>
      <c r="R18" s="334"/>
      <c r="S18" s="334"/>
      <c r="T18" s="334"/>
      <c r="U18" s="334"/>
      <c r="V18" s="334"/>
      <c r="W18" s="334"/>
    </row>
    <row r="19" spans="1:23">
      <c r="A19" s="334"/>
      <c r="B19" s="338" t="str">
        <f t="shared" si="0"/>
        <v>WAIT</v>
      </c>
      <c r="C19" s="338" t="str">
        <f>$Y$11</f>
        <v>WAIT</v>
      </c>
      <c r="D19" s="340" t="str">
        <f>[2]!WAITi</f>
        <v>N\A</v>
      </c>
      <c r="E19" s="340" t="str">
        <f>[3]!WAITi</f>
        <v>N\A</v>
      </c>
      <c r="F19" s="350" t="str">
        <f>[4]!WAITi</f>
        <v>N\A</v>
      </c>
      <c r="G19" s="351" t="str">
        <f>[5]!WAITi</f>
        <v>N\A</v>
      </c>
      <c r="H19" s="352">
        <f>Strength28!G33</f>
        <v>3</v>
      </c>
      <c r="I19" s="357">
        <f>GAP_test!G17</f>
        <v>0.14285714285714279</v>
      </c>
      <c r="J19" s="357">
        <f>Strength28!H33*10</f>
        <v>2.8571428571428559</v>
      </c>
      <c r="K19" s="356">
        <f>GAP_test!C17</f>
        <v>0.66772151898732524</v>
      </c>
      <c r="L19" s="357">
        <f>GAP_test!D17</f>
        <v>3</v>
      </c>
      <c r="M19" s="357">
        <f>GAP_test!E17</f>
        <v>0.28571428571428559</v>
      </c>
      <c r="N19" s="358">
        <f>GAP_test!H17</f>
        <v>-0.49507677477105483</v>
      </c>
      <c r="O19" s="334"/>
      <c r="P19" s="334"/>
      <c r="Q19" s="334"/>
      <c r="R19" s="334"/>
      <c r="S19" s="334"/>
      <c r="T19" s="334"/>
      <c r="U19" s="334"/>
      <c r="V19" s="334"/>
      <c r="W19" s="334"/>
    </row>
    <row r="20" spans="1:23">
      <c r="A20" s="334"/>
      <c r="B20" s="338" t="str">
        <f t="shared" si="0"/>
        <v>WAIT</v>
      </c>
      <c r="C20" s="338" t="str">
        <f>$Z$11</f>
        <v>WAIT</v>
      </c>
      <c r="D20" s="340" t="str">
        <f>[2]!WAITi</f>
        <v>N\A</v>
      </c>
      <c r="E20" s="340" t="str">
        <f>[3]!WAITi</f>
        <v>N\A</v>
      </c>
      <c r="F20" s="350" t="str">
        <f>[4]!WAITi</f>
        <v>N\A</v>
      </c>
      <c r="G20" s="351" t="str">
        <f>[5]!WAITi</f>
        <v>N\A</v>
      </c>
      <c r="H20" s="352">
        <f>Strength28!G34</f>
        <v>5</v>
      </c>
      <c r="I20" s="357">
        <f>GAP_test!G18</f>
        <v>-2</v>
      </c>
      <c r="J20" s="357">
        <f>Strength28!H34*10</f>
        <v>-17.142857142857146</v>
      </c>
      <c r="K20" s="356">
        <f>GAP_test!C18</f>
        <v>0.1328903654485562</v>
      </c>
      <c r="L20" s="357">
        <f>GAP_test!D18</f>
        <v>-5</v>
      </c>
      <c r="M20" s="357">
        <f>GAP_test!E18</f>
        <v>-1.7142857142857144</v>
      </c>
      <c r="N20" s="358">
        <f>GAP_test!H18</f>
        <v>0.27342527296497388</v>
      </c>
      <c r="O20" s="334"/>
      <c r="P20" s="334"/>
      <c r="Q20" s="334"/>
      <c r="R20" s="334"/>
      <c r="S20" s="334"/>
      <c r="T20" s="334"/>
      <c r="U20" s="334"/>
      <c r="V20" s="334"/>
      <c r="W20" s="334"/>
    </row>
    <row r="21" spans="1:23">
      <c r="A21" s="334"/>
      <c r="B21" s="338" t="str">
        <f t="shared" si="0"/>
        <v>WAIT</v>
      </c>
      <c r="C21" s="338" t="str">
        <f>$U$11</f>
        <v>SELL</v>
      </c>
      <c r="D21" s="340" t="str">
        <f>[2]!WAITi</f>
        <v>N\A</v>
      </c>
      <c r="E21" s="340" t="str">
        <f>[3]!WAITi</f>
        <v>N\A</v>
      </c>
      <c r="F21" s="350" t="str">
        <f>[4]!WAITi</f>
        <v>N\A</v>
      </c>
      <c r="G21" s="351" t="str">
        <f>[5]!WAITi</f>
        <v>N\A</v>
      </c>
      <c r="H21" s="352">
        <f>Strength28!G35</f>
        <v>2.1428571428571428</v>
      </c>
      <c r="I21" s="357">
        <f>GAP_test!G19</f>
        <v>3.7142857142857144</v>
      </c>
      <c r="J21" s="357">
        <f>Strength28!H35*10</f>
        <v>11.428571428571427</v>
      </c>
      <c r="K21" s="356">
        <f>GAP_test!C19</f>
        <v>0.73645320197043651</v>
      </c>
      <c r="L21" s="357">
        <f>GAP_test!D19</f>
        <v>3</v>
      </c>
      <c r="M21" s="357">
        <f>GAP_test!E19</f>
        <v>1.1428571428571428</v>
      </c>
      <c r="N21" s="358">
        <f>GAP_test!H19</f>
        <v>16.826301522207537</v>
      </c>
      <c r="O21" s="334"/>
      <c r="P21" s="334"/>
      <c r="Q21" s="334"/>
      <c r="R21" s="334"/>
      <c r="S21" s="334"/>
      <c r="T21" s="334"/>
      <c r="U21" s="334"/>
      <c r="V21" s="334"/>
      <c r="W21" s="334"/>
    </row>
    <row r="22" spans="1:23">
      <c r="A22" s="334"/>
      <c r="B22" s="338" t="str">
        <f t="shared" si="0"/>
        <v>WAIT</v>
      </c>
      <c r="C22" s="338" t="str">
        <f>$T$11</f>
        <v>WAIT</v>
      </c>
      <c r="D22" s="340" t="str">
        <f>[2]!WAITi</f>
        <v>N\A</v>
      </c>
      <c r="E22" s="340" t="str">
        <f>[3]!WAITi</f>
        <v>N\A</v>
      </c>
      <c r="F22" s="350" t="str">
        <f>[4]!WAITi</f>
        <v>N\A</v>
      </c>
      <c r="G22" s="351" t="str">
        <f>[5]!WAITi</f>
        <v>N\A</v>
      </c>
      <c r="H22" s="352">
        <f>Strength28!G36</f>
        <v>5.1428571428571432</v>
      </c>
      <c r="I22" s="357">
        <f>GAP_test!G20</f>
        <v>0.85714285714285632</v>
      </c>
      <c r="J22" s="357">
        <f>Strength28!H36*10</f>
        <v>-18.571428571428577</v>
      </c>
      <c r="K22" s="356">
        <f>GAP_test!C20</f>
        <v>0.30094339622641691</v>
      </c>
      <c r="L22" s="357">
        <f>GAP_test!D20</f>
        <v>-3</v>
      </c>
      <c r="M22" s="357">
        <f>GAP_test!E20</f>
        <v>-1.8571428571428577</v>
      </c>
      <c r="N22" s="358">
        <f>GAP_test!H20</f>
        <v>-14.64667613848799</v>
      </c>
      <c r="O22" s="334"/>
      <c r="P22" s="334"/>
      <c r="Q22" s="334"/>
      <c r="R22" s="334"/>
      <c r="S22" s="334"/>
      <c r="T22" s="334"/>
      <c r="U22" s="334"/>
      <c r="V22" s="334"/>
      <c r="W22" s="334"/>
    </row>
    <row r="23" spans="1:23" ht="15.75" thickBot="1">
      <c r="A23" s="334"/>
      <c r="B23" s="338" t="str">
        <f t="shared" si="0"/>
        <v>WAIT</v>
      </c>
      <c r="C23" s="338" t="str">
        <f>$X$11</f>
        <v>BUY</v>
      </c>
      <c r="D23" s="340" t="str">
        <f>[2]!WAITi</f>
        <v>N\A</v>
      </c>
      <c r="E23" s="340" t="str">
        <f>[3]!WAITi</f>
        <v>N\A</v>
      </c>
      <c r="F23" s="350" t="str">
        <f>[4]!WAITi</f>
        <v>N\A</v>
      </c>
      <c r="G23" s="351" t="str">
        <f>[5]!WAITi</f>
        <v>N\A</v>
      </c>
      <c r="H23" s="352">
        <f>Strength28!G37</f>
        <v>8.2857142857142865</v>
      </c>
      <c r="I23" s="357">
        <f>GAP_test!G21</f>
        <v>-2.4285714285714293</v>
      </c>
      <c r="J23" s="357">
        <f>Strength28!H37*10</f>
        <v>-50.000000000000007</v>
      </c>
      <c r="K23" s="356">
        <f>GAP_test!C21</f>
        <v>1.6066838046263798E-2</v>
      </c>
      <c r="L23" s="357">
        <f>GAP_test!D21</f>
        <v>-9</v>
      </c>
      <c r="M23" s="357">
        <f>GAP_test!E21</f>
        <v>-5.0000000000000009</v>
      </c>
      <c r="N23" s="358">
        <f>GAP_test!H21</f>
        <v>-7.6366204101682476</v>
      </c>
      <c r="O23" s="334"/>
      <c r="P23" s="334"/>
      <c r="Q23" s="334"/>
      <c r="R23" s="334"/>
      <c r="S23" s="334"/>
      <c r="T23" s="334"/>
      <c r="U23" s="334"/>
      <c r="V23" s="334"/>
      <c r="W23" s="334"/>
    </row>
    <row r="24" spans="1:23">
      <c r="A24" s="334"/>
      <c r="B24" s="338" t="str">
        <f t="shared" si="0"/>
        <v>WAIT</v>
      </c>
      <c r="C24" s="339" t="str">
        <f>$S$11</f>
        <v>SELL</v>
      </c>
      <c r="D24" s="340" t="str">
        <f>[2]!WAITi</f>
        <v>N\A</v>
      </c>
      <c r="E24" s="340" t="str">
        <f>[3]!WAITi</f>
        <v>N\A</v>
      </c>
      <c r="F24" s="353" t="str">
        <f>[4]!WAITi</f>
        <v>N\A</v>
      </c>
      <c r="G24" s="351" t="str">
        <f>[5]!WAITi</f>
        <v>N\A</v>
      </c>
      <c r="H24" s="352">
        <f>Strength28!G38</f>
        <v>2.7142857142857144</v>
      </c>
      <c r="I24" s="357">
        <f>GAP_test!G22</f>
        <v>2.9999999999999996</v>
      </c>
      <c r="J24" s="357">
        <f>Strength28!H38*10</f>
        <v>5.7142857142857117</v>
      </c>
      <c r="K24" s="356">
        <f>GAP_test!C22</f>
        <v>0.5605633802816814</v>
      </c>
      <c r="L24" s="357">
        <f>GAP_test!D22</f>
        <v>1</v>
      </c>
      <c r="M24" s="357">
        <f>GAP_test!E22</f>
        <v>0.57142857142857117</v>
      </c>
      <c r="N24" s="358">
        <f>GAP_test!H22</f>
        <v>1.7823860449125142</v>
      </c>
      <c r="O24" s="334"/>
      <c r="P24" s="334"/>
      <c r="Q24" s="334"/>
      <c r="R24" s="334"/>
      <c r="S24" s="334"/>
      <c r="T24" s="334"/>
      <c r="U24" s="334"/>
      <c r="V24" s="334"/>
      <c r="W24" s="334"/>
    </row>
    <row r="25" spans="1:23">
      <c r="A25" s="334"/>
      <c r="B25" s="338" t="str">
        <f t="shared" ref="B25:B30" si="1">$U$11</f>
        <v>SELL</v>
      </c>
      <c r="C25" s="338" t="str">
        <f>$W$11</f>
        <v>WAIT</v>
      </c>
      <c r="D25" s="340" t="str">
        <f>[2]!WAITi</f>
        <v>N\A</v>
      </c>
      <c r="E25" s="340" t="str">
        <f>[3]!WAITi</f>
        <v>N\A</v>
      </c>
      <c r="F25" s="350" t="str">
        <f>[4]!WAITi</f>
        <v>N\A</v>
      </c>
      <c r="G25" s="351" t="str">
        <f>[5]!WAITi</f>
        <v>N\A</v>
      </c>
      <c r="H25" s="352">
        <f>Strength28!G39</f>
        <v>6.4285714285714288</v>
      </c>
      <c r="I25" s="357">
        <f>GAP_test!G23</f>
        <v>-3.5714285714285721</v>
      </c>
      <c r="J25" s="357">
        <f>Strength28!H39*10</f>
        <v>-42.857142857142861</v>
      </c>
      <c r="K25" s="356">
        <f>GAP_test!C23</f>
        <v>5.0903119868642113E-2</v>
      </c>
      <c r="L25" s="357">
        <f>GAP_test!D23</f>
        <v>-7</v>
      </c>
      <c r="M25" s="357">
        <f>GAP_test!E23</f>
        <v>-4.2857142857142865</v>
      </c>
      <c r="N25" s="358">
        <f>GAP_test!H23</f>
        <v>-17.807456084446262</v>
      </c>
      <c r="O25" s="334"/>
      <c r="P25" s="334"/>
      <c r="Q25" s="334"/>
      <c r="R25" s="334"/>
      <c r="S25" s="334"/>
      <c r="T25" s="334"/>
      <c r="U25" s="334"/>
      <c r="V25" s="334"/>
      <c r="W25" s="334"/>
    </row>
    <row r="26" spans="1:23">
      <c r="A26" s="334"/>
      <c r="B26" s="338" t="str">
        <f t="shared" si="1"/>
        <v>SELL</v>
      </c>
      <c r="C26" s="338" t="str">
        <f>$Y$11</f>
        <v>WAIT</v>
      </c>
      <c r="D26" s="340" t="str">
        <f>[2]!WAITi</f>
        <v>N\A</v>
      </c>
      <c r="E26" s="340" t="str">
        <f>[3]!WAITi</f>
        <v>N\A</v>
      </c>
      <c r="F26" s="350" t="str">
        <f>[4]!WAITi</f>
        <v>N\A</v>
      </c>
      <c r="G26" s="351" t="str">
        <f>[5]!WAITi</f>
        <v>N\A</v>
      </c>
      <c r="H26" s="352">
        <f>Strength28!G40</f>
        <v>3</v>
      </c>
      <c r="I26" s="357">
        <f>GAP_test!G24</f>
        <v>-3.5714285714285716</v>
      </c>
      <c r="J26" s="357">
        <f>Strength28!H40*10</f>
        <v>-8.571428571428573</v>
      </c>
      <c r="K26" s="356">
        <f>GAP_test!C24</f>
        <v>0.36329233680227785</v>
      </c>
      <c r="L26" s="357">
        <f>GAP_test!D24</f>
        <v>-3</v>
      </c>
      <c r="M26" s="357">
        <f>GAP_test!E24</f>
        <v>-0.85714285714285721</v>
      </c>
      <c r="N26" s="358">
        <f>GAP_test!H24</f>
        <v>-14.82008044860997</v>
      </c>
      <c r="O26" s="334"/>
      <c r="P26" s="334"/>
      <c r="Q26" s="334"/>
      <c r="R26" s="334"/>
      <c r="S26" s="334"/>
      <c r="T26" s="334"/>
      <c r="U26" s="334"/>
      <c r="V26" s="334"/>
      <c r="W26" s="334"/>
    </row>
    <row r="27" spans="1:23">
      <c r="A27" s="334"/>
      <c r="B27" s="338" t="str">
        <f t="shared" si="1"/>
        <v>SELL</v>
      </c>
      <c r="C27" s="338" t="str">
        <f>$Z$11</f>
        <v>WAIT</v>
      </c>
      <c r="D27" s="340" t="str">
        <f>[2]!WAITi</f>
        <v>N\A</v>
      </c>
      <c r="E27" s="340" t="str">
        <f>[3]!WAITi</f>
        <v>N\A</v>
      </c>
      <c r="F27" s="350" t="str">
        <f>[4]!WAITi</f>
        <v>N\A</v>
      </c>
      <c r="G27" s="351" t="str">
        <f>[5]!WAITi</f>
        <v>N\A</v>
      </c>
      <c r="H27" s="352">
        <f>Strength28!G41</f>
        <v>5</v>
      </c>
      <c r="I27" s="357">
        <f>GAP_test!G25</f>
        <v>-5.7142857142857144</v>
      </c>
      <c r="J27" s="357">
        <f>Strength28!H41*10</f>
        <v>-28.571428571428573</v>
      </c>
      <c r="K27" s="356">
        <f>GAP_test!C25</f>
        <v>0.21743929359823538</v>
      </c>
      <c r="L27" s="357">
        <f>GAP_test!D25</f>
        <v>-5</v>
      </c>
      <c r="M27" s="357">
        <f>GAP_test!E25</f>
        <v>-2.8571428571428572</v>
      </c>
      <c r="N27" s="358">
        <f>GAP_test!H25</f>
        <v>-14.166401737932507</v>
      </c>
      <c r="O27" s="334"/>
      <c r="P27" s="334"/>
      <c r="Q27" s="334"/>
      <c r="R27" s="334"/>
      <c r="S27" s="334"/>
      <c r="T27" s="334"/>
      <c r="U27" s="334"/>
      <c r="V27" s="334"/>
      <c r="W27" s="334"/>
    </row>
    <row r="28" spans="1:23">
      <c r="A28" s="334"/>
      <c r="B28" s="338" t="str">
        <f t="shared" si="1"/>
        <v>SELL</v>
      </c>
      <c r="C28" s="338" t="str">
        <f>$T$11</f>
        <v>WAIT</v>
      </c>
      <c r="D28" s="340" t="str">
        <f>[2]!WAITi</f>
        <v>N\A</v>
      </c>
      <c r="E28" s="340" t="str">
        <f>[3]!WAITi</f>
        <v>N\A</v>
      </c>
      <c r="F28" s="350" t="str">
        <f>[4]!WAITi</f>
        <v>N\A</v>
      </c>
      <c r="G28" s="351" t="str">
        <f>[5]!WAITi</f>
        <v>N\A</v>
      </c>
      <c r="H28" s="352">
        <f>Strength28!G42</f>
        <v>5.1428571428571432</v>
      </c>
      <c r="I28" s="357">
        <f>GAP_test!G26</f>
        <v>-2.8571428571428581</v>
      </c>
      <c r="J28" s="357">
        <f>Strength28!H42*10</f>
        <v>-30.000000000000004</v>
      </c>
      <c r="K28" s="356">
        <f>GAP_test!C26</f>
        <v>0.11397557666214676</v>
      </c>
      <c r="L28" s="357">
        <f>GAP_test!D26</f>
        <v>-5</v>
      </c>
      <c r="M28" s="357">
        <f>GAP_test!E26</f>
        <v>-3.0000000000000004</v>
      </c>
      <c r="N28" s="358">
        <f>GAP_test!H26</f>
        <v>-26.933257297797478</v>
      </c>
      <c r="O28" s="334"/>
      <c r="P28" s="334"/>
      <c r="Q28" s="334"/>
      <c r="R28" s="334"/>
      <c r="S28" s="334"/>
      <c r="T28" s="334"/>
      <c r="U28" s="334"/>
      <c r="V28" s="334"/>
      <c r="W28" s="334"/>
    </row>
    <row r="29" spans="1:23" ht="15.75" thickBot="1">
      <c r="A29" s="334"/>
      <c r="B29" s="338" t="str">
        <f t="shared" si="1"/>
        <v>SELL</v>
      </c>
      <c r="C29" s="338" t="str">
        <f>$X$11</f>
        <v>BUY</v>
      </c>
      <c r="D29" s="340" t="str">
        <f>[2]!WAITi</f>
        <v>N\A</v>
      </c>
      <c r="E29" s="340" t="str">
        <f>[3]!WAITi</f>
        <v>N\A</v>
      </c>
      <c r="F29" s="350" t="str">
        <f>[4]!WAITi</f>
        <v>N\A</v>
      </c>
      <c r="G29" s="351" t="str">
        <f>[5]!WAITi</f>
        <v>N\A</v>
      </c>
      <c r="H29" s="352">
        <f>Strength28!G43</f>
        <v>8.2857142857142865</v>
      </c>
      <c r="I29" s="357">
        <f>GAP_test!G27</f>
        <v>-6.1428571428571441</v>
      </c>
      <c r="J29" s="357">
        <f>Strength28!H43*10</f>
        <v>-61.428571428571445</v>
      </c>
      <c r="K29" s="356">
        <f>GAP_test!C27</f>
        <v>8.2593593207257468E-2</v>
      </c>
      <c r="L29" s="357">
        <f>GAP_test!D27</f>
        <v>-7</v>
      </c>
      <c r="M29" s="357">
        <f>GAP_test!E27</f>
        <v>-6.1428571428571441</v>
      </c>
      <c r="N29" s="358">
        <f>GAP_test!H27</f>
        <v>-22.798224691283476</v>
      </c>
      <c r="O29" s="334"/>
      <c r="P29" s="334"/>
      <c r="Q29" s="334"/>
      <c r="R29" s="334"/>
      <c r="S29" s="334"/>
      <c r="T29" s="334"/>
      <c r="U29" s="334"/>
      <c r="V29" s="334"/>
      <c r="W29" s="334"/>
    </row>
    <row r="30" spans="1:23">
      <c r="A30" s="334"/>
      <c r="B30" s="338" t="str">
        <f t="shared" si="1"/>
        <v>SELL</v>
      </c>
      <c r="C30" s="339" t="str">
        <f>$S$11</f>
        <v>SELL</v>
      </c>
      <c r="D30" s="340" t="str">
        <f>[2]!WAITi</f>
        <v>N\A</v>
      </c>
      <c r="E30" s="340" t="str">
        <f>[3]!WAITi</f>
        <v>N\A</v>
      </c>
      <c r="F30" s="350" t="str">
        <f>[4]!WAITi</f>
        <v>N\A</v>
      </c>
      <c r="G30" s="351" t="str">
        <f>[5]!WAITi</f>
        <v>N\A</v>
      </c>
      <c r="H30" s="352">
        <f>Strength28!G44</f>
        <v>2.7142857142857144</v>
      </c>
      <c r="I30" s="357">
        <f>GAP_test!G28</f>
        <v>-0.71428571428571486</v>
      </c>
      <c r="J30" s="357">
        <f>Strength28!H44*10</f>
        <v>-5.7142857142857162</v>
      </c>
      <c r="K30" s="356">
        <f>GAP_test!C28</f>
        <v>0.32916145181477824</v>
      </c>
      <c r="L30" s="357">
        <f>GAP_test!D28</f>
        <v>-3</v>
      </c>
      <c r="M30" s="357">
        <f>GAP_test!E28</f>
        <v>-0.57142857142857162</v>
      </c>
      <c r="N30" s="358">
        <f>GAP_test!H28</f>
        <v>-12.875321378592119</v>
      </c>
      <c r="O30" s="334"/>
      <c r="P30" s="334"/>
      <c r="Q30" s="334"/>
      <c r="R30" s="334"/>
      <c r="S30" s="334"/>
      <c r="T30" s="334"/>
      <c r="U30" s="334"/>
      <c r="V30" s="334"/>
      <c r="W30" s="334"/>
    </row>
    <row r="31" spans="1:23">
      <c r="A31" s="334"/>
      <c r="B31" s="338" t="str">
        <f>$X$11</f>
        <v>BUY</v>
      </c>
      <c r="C31" s="338" t="str">
        <f>$Y$11</f>
        <v>WAIT</v>
      </c>
      <c r="D31" s="340" t="str">
        <f>[2]!WAITi</f>
        <v>N\A</v>
      </c>
      <c r="E31" s="340" t="str">
        <f>[3]!WAITi</f>
        <v>N\A</v>
      </c>
      <c r="F31" s="350" t="str">
        <f>[4]!WAITi</f>
        <v>N\A</v>
      </c>
      <c r="G31" s="351" t="str">
        <f>[5]!WAITi</f>
        <v>N\A</v>
      </c>
      <c r="H31" s="352">
        <f>Strength28!G45</f>
        <v>3</v>
      </c>
      <c r="I31" s="357">
        <f>GAP_test!G29</f>
        <v>2.5714285714285721</v>
      </c>
      <c r="J31" s="357">
        <f>Strength28!H45*10</f>
        <v>52.857142857142861</v>
      </c>
      <c r="K31" s="356">
        <f>GAP_test!C29</f>
        <v>0.96923076923076124</v>
      </c>
      <c r="L31" s="357">
        <f>GAP_test!D29</f>
        <v>7</v>
      </c>
      <c r="M31" s="357">
        <f>GAP_test!E29</f>
        <v>5.2857142857142865</v>
      </c>
      <c r="N31" s="358">
        <f>GAP_test!H29</f>
        <v>7.7599649977001652</v>
      </c>
      <c r="O31" s="334"/>
      <c r="P31" s="334"/>
      <c r="Q31" s="334"/>
      <c r="R31" s="334"/>
      <c r="S31" s="334"/>
      <c r="T31" s="334"/>
      <c r="U31" s="334"/>
      <c r="V31" s="334"/>
      <c r="W31" s="334"/>
    </row>
    <row r="32" spans="1:23" ht="15.75">
      <c r="A32" s="334"/>
      <c r="B32" s="338" t="str">
        <f>$X$11</f>
        <v>BUY</v>
      </c>
      <c r="C32" s="338" t="str">
        <f>$Z$11</f>
        <v>WAIT</v>
      </c>
      <c r="D32" s="340">
        <f>$X$12</f>
        <v>5</v>
      </c>
      <c r="E32" s="340">
        <f>$Z$12</f>
        <v>3</v>
      </c>
      <c r="F32" s="350" t="str">
        <f>Strength28!E46</f>
        <v>NZDCHF</v>
      </c>
      <c r="G32" s="351">
        <f>Strength28!F46</f>
        <v>8.2857142857142865</v>
      </c>
      <c r="H32" s="352">
        <f>Strength28!G46</f>
        <v>5</v>
      </c>
      <c r="I32" s="357">
        <f>GAP_test!G30</f>
        <v>0.42857142857142927</v>
      </c>
      <c r="J32" s="357">
        <f>Strength28!H46*10</f>
        <v>32.857142857142861</v>
      </c>
      <c r="K32" s="356">
        <f>GAP_test!C30</f>
        <v>0.97630331753554733</v>
      </c>
      <c r="L32" s="357">
        <f>GAP_test!D30</f>
        <v>9</v>
      </c>
      <c r="M32" s="357">
        <f>GAP_test!E30</f>
        <v>3.2857142857142865</v>
      </c>
      <c r="N32" s="358">
        <f>GAP_test!H30</f>
        <v>8.5971017971257933</v>
      </c>
      <c r="O32" s="334"/>
      <c r="P32" s="334"/>
      <c r="Q32" s="363"/>
      <c r="R32" s="334" t="s">
        <v>301</v>
      </c>
      <c r="S32" s="364"/>
      <c r="T32" s="363"/>
      <c r="U32" s="334"/>
      <c r="V32" s="334"/>
      <c r="W32" s="334"/>
    </row>
    <row r="33" spans="1:26" ht="15.75" thickBot="1">
      <c r="A33" s="334"/>
      <c r="B33" s="338" t="str">
        <f>$X$11</f>
        <v>BUY</v>
      </c>
      <c r="C33" s="338" t="str">
        <f>$T$11</f>
        <v>WAIT</v>
      </c>
      <c r="D33" s="340">
        <f>$X$12</f>
        <v>5</v>
      </c>
      <c r="E33" s="340">
        <f>$T$12</f>
        <v>-2</v>
      </c>
      <c r="F33" s="350" t="str">
        <f>Strength28!E47</f>
        <v>NZDJPY</v>
      </c>
      <c r="G33" s="351">
        <f>Strength28!F47</f>
        <v>8.2857142857142865</v>
      </c>
      <c r="H33" s="352">
        <f>Strength28!G47</f>
        <v>5.1428571428571432</v>
      </c>
      <c r="I33" s="357">
        <f>GAP_test!G31</f>
        <v>3.2857142857142856</v>
      </c>
      <c r="J33" s="357">
        <f>Strength28!H47*10</f>
        <v>31.428571428571431</v>
      </c>
      <c r="K33" s="356">
        <f>GAP_test!C31</f>
        <v>0.90518191841234974</v>
      </c>
      <c r="L33" s="357">
        <f>GAP_test!D31</f>
        <v>7</v>
      </c>
      <c r="M33" s="357">
        <f>GAP_test!E31</f>
        <v>3.1428571428571432</v>
      </c>
      <c r="N33" s="358">
        <f>GAP_test!H31</f>
        <v>-7.5569635676860081</v>
      </c>
      <c r="O33" s="334"/>
      <c r="P33" s="334"/>
      <c r="Q33" s="334"/>
      <c r="R33" s="334"/>
      <c r="S33" s="334"/>
      <c r="T33" s="334"/>
      <c r="U33" s="334"/>
      <c r="V33" s="334"/>
      <c r="W33" s="334"/>
    </row>
    <row r="34" spans="1:26" ht="15.75" thickBot="1">
      <c r="A34" s="334"/>
      <c r="B34" s="338" t="str">
        <f>$X$11</f>
        <v>BUY</v>
      </c>
      <c r="C34" s="339" t="str">
        <f>$S$11</f>
        <v>SELL</v>
      </c>
      <c r="D34" s="340">
        <f>$X$12</f>
        <v>5</v>
      </c>
      <c r="E34" s="340">
        <f>$S$12</f>
        <v>-5</v>
      </c>
      <c r="F34" s="350" t="str">
        <f>Strength28!E48</f>
        <v>NZDUSD</v>
      </c>
      <c r="G34" s="351">
        <f>Strength28!F48</f>
        <v>8.2857142857142865</v>
      </c>
      <c r="H34" s="352">
        <f>Strength28!G48</f>
        <v>2.7142857142857144</v>
      </c>
      <c r="I34" s="357">
        <f>GAP_test!G32</f>
        <v>5.4285714285714288</v>
      </c>
      <c r="J34" s="357">
        <f>Strength28!H48*10</f>
        <v>55.714285714285722</v>
      </c>
      <c r="K34" s="356">
        <f>GAP_test!C32</f>
        <v>0.97934386391251493</v>
      </c>
      <c r="L34" s="357">
        <f>GAP_test!D32</f>
        <v>9</v>
      </c>
      <c r="M34" s="357">
        <f>GAP_test!E32</f>
        <v>5.5714285714285721</v>
      </c>
      <c r="N34" s="358">
        <f>GAP_test!H32</f>
        <v>10.222582547169814</v>
      </c>
      <c r="O34" s="334"/>
      <c r="P34" s="334"/>
      <c r="Q34" s="334"/>
      <c r="R34" s="334"/>
      <c r="S34" s="359" t="s">
        <v>197</v>
      </c>
      <c r="T34" s="334"/>
      <c r="U34" s="334"/>
      <c r="V34" s="334"/>
      <c r="W34" s="334"/>
    </row>
    <row r="35" spans="1:26" ht="15.75" thickBot="1">
      <c r="A35" s="334"/>
      <c r="B35" s="339" t="str">
        <f>$S$11</f>
        <v>SELL</v>
      </c>
      <c r="C35" s="338" t="str">
        <f>$Y$11</f>
        <v>WAIT</v>
      </c>
      <c r="D35" s="340">
        <f>$S$12</f>
        <v>-5</v>
      </c>
      <c r="E35" s="340">
        <f>$Y$12</f>
        <v>2</v>
      </c>
      <c r="F35" s="350" t="str">
        <f>Strength28!E49</f>
        <v>USDCAD</v>
      </c>
      <c r="G35" s="351">
        <f>Strength28!F49</f>
        <v>2.7142857142857144</v>
      </c>
      <c r="H35" s="352">
        <f>Strength28!G49</f>
        <v>3</v>
      </c>
      <c r="I35" s="357">
        <f>GAP_test!G33</f>
        <v>-2.8571428571428568</v>
      </c>
      <c r="J35" s="357">
        <f>Strength28!H49*10</f>
        <v>-2.8571428571428559</v>
      </c>
      <c r="K35" s="356">
        <f>GAP_test!C33</f>
        <v>0.48051948051949828</v>
      </c>
      <c r="L35" s="357">
        <f>GAP_test!D33</f>
        <v>-1</v>
      </c>
      <c r="M35" s="357">
        <f>GAP_test!E33</f>
        <v>-0.28571428571428559</v>
      </c>
      <c r="N35" s="358">
        <f>GAP_test!H33</f>
        <v>-2.2337567450320783</v>
      </c>
      <c r="O35" s="334"/>
      <c r="P35" s="334"/>
      <c r="Q35" s="334"/>
      <c r="R35" s="334"/>
      <c r="S35" s="359">
        <v>0.02</v>
      </c>
      <c r="T35" s="334"/>
      <c r="U35" s="334"/>
      <c r="V35" s="334"/>
      <c r="W35" s="334"/>
    </row>
    <row r="36" spans="1:26" ht="15.75" thickBot="1">
      <c r="A36" s="334"/>
      <c r="B36" s="339" t="str">
        <f>$S$11</f>
        <v>SELL</v>
      </c>
      <c r="C36" s="338" t="str">
        <f>$Z$11</f>
        <v>WAIT</v>
      </c>
      <c r="D36" s="340">
        <f>$S$12</f>
        <v>-5</v>
      </c>
      <c r="E36" s="340">
        <f>$Z$12</f>
        <v>3</v>
      </c>
      <c r="F36" s="350" t="str">
        <f>Strength28!E50</f>
        <v>USDCHF</v>
      </c>
      <c r="G36" s="351">
        <f>Strength28!F50</f>
        <v>2.7142857142857144</v>
      </c>
      <c r="H36" s="352">
        <f>Strength28!G50</f>
        <v>5</v>
      </c>
      <c r="I36" s="357">
        <f>GAP_test!G34</f>
        <v>-5</v>
      </c>
      <c r="J36" s="357">
        <f>Strength28!H50*10</f>
        <v>-22.857142857142854</v>
      </c>
      <c r="K36" s="356">
        <f>GAP_test!C34</f>
        <v>0.14826498422711976</v>
      </c>
      <c r="L36" s="357">
        <f>GAP_test!D34</f>
        <v>-5</v>
      </c>
      <c r="M36" s="357">
        <f>GAP_test!E34</f>
        <v>-2.2857142857142856</v>
      </c>
      <c r="N36" s="358">
        <f>GAP_test!H34</f>
        <v>-1.477531748616095</v>
      </c>
      <c r="O36" s="334"/>
      <c r="P36" s="334"/>
      <c r="Q36" s="334"/>
      <c r="R36" s="334"/>
      <c r="S36" s="334"/>
      <c r="T36" s="334"/>
      <c r="U36" s="334"/>
      <c r="V36" s="334"/>
      <c r="W36" s="334"/>
    </row>
    <row r="37" spans="1:26" ht="15.75" thickBot="1">
      <c r="A37" s="334"/>
      <c r="B37" s="339" t="str">
        <f>$S$11</f>
        <v>SELL</v>
      </c>
      <c r="C37" s="338" t="str">
        <f>$T$11</f>
        <v>WAIT</v>
      </c>
      <c r="D37" s="340">
        <f>$S$12</f>
        <v>-5</v>
      </c>
      <c r="E37" s="340">
        <f>$T$12</f>
        <v>-2</v>
      </c>
      <c r="F37" s="354" t="str">
        <f>Strength28!E51</f>
        <v>USDJPY</v>
      </c>
      <c r="G37" s="355">
        <f>Strength28!F51</f>
        <v>2.7142857142857144</v>
      </c>
      <c r="H37" s="345">
        <f>Strength28!G51</f>
        <v>5.1428571428571432</v>
      </c>
      <c r="I37" s="346"/>
      <c r="J37" s="334"/>
      <c r="K37" s="334"/>
      <c r="L37" s="334"/>
      <c r="M37" s="334"/>
      <c r="N37" s="334"/>
      <c r="O37" s="334"/>
      <c r="P37" s="334"/>
      <c r="Q37" s="334"/>
      <c r="R37" s="334"/>
      <c r="S37" s="334"/>
      <c r="T37" s="334"/>
      <c r="U37" s="334"/>
      <c r="V37" s="334"/>
      <c r="W37" s="334"/>
    </row>
    <row r="38" spans="1:26" ht="15.75" thickBot="1">
      <c r="A38" s="334"/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45" t="s">
        <v>125</v>
      </c>
      <c r="S38" s="335" t="str">
        <f>Strength28!N25</f>
        <v>USD</v>
      </c>
      <c r="T38" s="336" t="str">
        <f>Strength28!O25</f>
        <v>JPY</v>
      </c>
      <c r="U38" s="337" t="str">
        <f>Strength28!P25</f>
        <v>GBP</v>
      </c>
      <c r="V38" s="336" t="str">
        <f>Strength28!Q25</f>
        <v>EUR</v>
      </c>
      <c r="W38" s="337" t="str">
        <f>Strength28!R25</f>
        <v>AUD</v>
      </c>
      <c r="X38" s="336" t="str">
        <f>Strength28!S25</f>
        <v>NZD</v>
      </c>
      <c r="Y38" s="341" t="str">
        <f>Strength28!T25</f>
        <v>CAD</v>
      </c>
      <c r="Z38" s="342" t="str">
        <f>Strength28!U25</f>
        <v>CHF</v>
      </c>
    </row>
    <row r="39" spans="1:26" ht="15.75" thickBot="1">
      <c r="A39" s="334"/>
      <c r="B39" s="334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45" t="s">
        <v>286</v>
      </c>
      <c r="S39" s="94">
        <f>CRS!W2</f>
        <v>2.7142857142857144</v>
      </c>
      <c r="T39" s="95">
        <f>CRS!W5</f>
        <v>5.1428571428571432</v>
      </c>
      <c r="U39" s="96">
        <f>CRS!W4</f>
        <v>2.1428571428571428</v>
      </c>
      <c r="V39" s="95">
        <f>CRS!W3</f>
        <v>3.2857142857142856</v>
      </c>
      <c r="W39" s="96">
        <f>CRS!W7</f>
        <v>6.4285714285714288</v>
      </c>
      <c r="X39" s="95">
        <f>CRS!W9</f>
        <v>8.2857142857142865</v>
      </c>
      <c r="Y39" s="96">
        <f>CRS!W8</f>
        <v>3</v>
      </c>
      <c r="Z39" s="97">
        <f>CRS!W6</f>
        <v>5</v>
      </c>
    </row>
    <row r="40" spans="1:26" ht="15.75" thickBot="1">
      <c r="A40" s="334"/>
      <c r="B40" s="334"/>
      <c r="C40" s="334"/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45" t="s">
        <v>296</v>
      </c>
      <c r="S40" s="94">
        <f>CRS!V2</f>
        <v>2.7142857142857144</v>
      </c>
      <c r="T40" s="95">
        <f>CRS!V5</f>
        <v>5.1428571428571432</v>
      </c>
      <c r="U40" s="96">
        <f>CRS!V4</f>
        <v>2.1428571428571428</v>
      </c>
      <c r="V40" s="95">
        <f>CRS!V3</f>
        <v>3.2857142857142856</v>
      </c>
      <c r="W40" s="96">
        <f>CRS!V7</f>
        <v>6.4285714285714288</v>
      </c>
      <c r="X40" s="95">
        <f>CRS!V9</f>
        <v>8.2857142857142865</v>
      </c>
      <c r="Y40" s="96">
        <f>CRS!V8</f>
        <v>3</v>
      </c>
      <c r="Z40" s="97">
        <f>CRS!V6</f>
        <v>5</v>
      </c>
    </row>
    <row r="41" spans="1:26" ht="15.75" thickBot="1">
      <c r="A41" s="334"/>
      <c r="B41" s="334"/>
      <c r="C41" s="334"/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45" t="s">
        <v>297</v>
      </c>
      <c r="S41" s="94">
        <f>CRS!U2</f>
        <v>-2.1428571428571423</v>
      </c>
      <c r="T41" s="95">
        <f>CRS!U5</f>
        <v>-0.14285714285714235</v>
      </c>
      <c r="U41" s="96">
        <f>CRS!U4</f>
        <v>-2.8571428571428572</v>
      </c>
      <c r="V41" s="95">
        <f>CRS!U3</f>
        <v>0.28571428571428559</v>
      </c>
      <c r="W41" s="96">
        <f>CRS!U7</f>
        <v>-0.14285714285714235</v>
      </c>
      <c r="X41" s="95">
        <f>CRS!U9</f>
        <v>2.2857142857142865</v>
      </c>
      <c r="Y41" s="96">
        <f>CRS!U8</f>
        <v>0.57142857142857162</v>
      </c>
      <c r="Z41" s="97">
        <f>CRS!U6</f>
        <v>2.1428571428571428</v>
      </c>
    </row>
    <row r="42" spans="1:26" ht="15.75" thickBot="1">
      <c r="A42" s="334"/>
      <c r="B42" s="334"/>
      <c r="C42" s="334"/>
      <c r="D42" s="334"/>
      <c r="E42" s="334"/>
      <c r="F42" s="334"/>
      <c r="G42" s="334"/>
      <c r="H42" s="334"/>
      <c r="I42" s="334"/>
      <c r="J42" s="334"/>
      <c r="K42" s="334"/>
      <c r="L42" s="334"/>
      <c r="M42" s="334"/>
      <c r="N42" s="334"/>
      <c r="O42" s="334"/>
      <c r="P42" s="334"/>
      <c r="Q42" s="334"/>
      <c r="R42" s="345" t="s">
        <v>298</v>
      </c>
      <c r="S42" s="94">
        <f>CRS!T2</f>
        <v>-3.5714285714285712</v>
      </c>
      <c r="T42" s="95">
        <f>CRS!T5</f>
        <v>1.5714285714285716</v>
      </c>
      <c r="U42" s="96">
        <f>CRS!T4</f>
        <v>-2.0000000000000004</v>
      </c>
      <c r="V42" s="95">
        <f>CRS!T3</f>
        <v>-0.57142857142857162</v>
      </c>
      <c r="W42" s="96">
        <f>CRS!T7</f>
        <v>1.5714285714285721</v>
      </c>
      <c r="X42" s="95">
        <f>CRS!T9</f>
        <v>4.5714285714285721</v>
      </c>
      <c r="Y42" s="96">
        <f>CRS!T8</f>
        <v>-1.4285714285714288</v>
      </c>
      <c r="Z42" s="97">
        <f>CRS!T6</f>
        <v>-0.14285714285714324</v>
      </c>
    </row>
    <row r="43" spans="1:26" ht="15.75" thickBot="1">
      <c r="A43" s="334"/>
      <c r="B43" s="334"/>
      <c r="C43" s="334"/>
      <c r="D43" s="334"/>
      <c r="E43" s="334"/>
      <c r="F43" s="334"/>
      <c r="G43" s="334"/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45" t="s">
        <v>281</v>
      </c>
      <c r="S43" s="94">
        <f>CRS!S2</f>
        <v>-3.5714285714285712</v>
      </c>
      <c r="T43" s="95">
        <f>CRS!S5</f>
        <v>1.5714285714285716</v>
      </c>
      <c r="U43" s="96">
        <f>CRS!S4</f>
        <v>-2.0000000000000004</v>
      </c>
      <c r="V43" s="95">
        <f>CRS!S3</f>
        <v>-0.57142857142857162</v>
      </c>
      <c r="W43" s="96">
        <f>CRS!S7</f>
        <v>1.5714285714285721</v>
      </c>
      <c r="X43" s="95">
        <f>CRS!S9</f>
        <v>4.5714285714285721</v>
      </c>
      <c r="Y43" s="96">
        <f>CRS!S8</f>
        <v>-1.4285714285714288</v>
      </c>
      <c r="Z43" s="97">
        <f>CRS!S6</f>
        <v>-0.14285714285714324</v>
      </c>
    </row>
    <row r="44" spans="1:26">
      <c r="A44" s="334"/>
      <c r="B44" s="334"/>
      <c r="C44" s="334"/>
      <c r="D44" s="334"/>
      <c r="E44" s="334"/>
      <c r="F44" s="334"/>
      <c r="G44" s="334"/>
      <c r="H44" s="334"/>
      <c r="I44" s="334"/>
      <c r="J44" s="334"/>
      <c r="K44" s="334"/>
      <c r="L44" s="334"/>
      <c r="M44" s="334"/>
      <c r="N44" s="334"/>
      <c r="O44" s="334"/>
      <c r="P44" s="334"/>
      <c r="Q44" s="334"/>
      <c r="R44" s="334"/>
      <c r="S44" s="334"/>
      <c r="T44" s="334"/>
      <c r="U44" s="334"/>
      <c r="V44" s="334"/>
      <c r="W44" s="334"/>
    </row>
    <row r="45" spans="1:26">
      <c r="A45" s="334"/>
      <c r="B45" s="334"/>
      <c r="C45" s="334"/>
      <c r="D45" s="334"/>
      <c r="E45" s="334"/>
      <c r="F45" s="334"/>
      <c r="G45" s="334"/>
      <c r="H45" s="334"/>
      <c r="I45" s="334"/>
      <c r="J45" s="334"/>
      <c r="K45" s="334"/>
      <c r="L45" s="334"/>
      <c r="M45" s="334"/>
      <c r="N45" s="334"/>
      <c r="O45" s="334"/>
      <c r="P45" s="334"/>
      <c r="Q45" s="334"/>
      <c r="R45" s="334"/>
      <c r="S45" s="334"/>
      <c r="T45" s="334"/>
      <c r="U45" s="334"/>
      <c r="V45" s="334"/>
      <c r="W45" s="334"/>
    </row>
    <row r="46" spans="1:26">
      <c r="A46" s="334"/>
      <c r="B46" s="334"/>
      <c r="C46" s="334"/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4"/>
      <c r="O46" s="334"/>
      <c r="P46" s="334"/>
      <c r="Q46" s="334"/>
      <c r="R46" s="334"/>
      <c r="S46" s="334"/>
      <c r="T46" s="334"/>
      <c r="U46" s="334"/>
      <c r="V46" s="334"/>
      <c r="W46" s="334"/>
    </row>
    <row r="47" spans="1:26">
      <c r="A47" s="334"/>
      <c r="B47" s="334"/>
      <c r="C47" s="334"/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4"/>
      <c r="O47" s="334"/>
      <c r="P47" s="334"/>
      <c r="Q47" s="334"/>
      <c r="R47" s="334"/>
      <c r="S47" s="334"/>
      <c r="T47" s="334"/>
      <c r="U47" s="334"/>
      <c r="V47" s="334"/>
      <c r="W47" s="334"/>
    </row>
    <row r="48" spans="1:26">
      <c r="A48" s="334"/>
      <c r="B48" s="334"/>
      <c r="C48" s="334"/>
      <c r="D48" s="334"/>
      <c r="E48" s="334"/>
      <c r="F48" s="334"/>
      <c r="G48" s="334"/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4"/>
      <c r="T48" s="334"/>
      <c r="U48" s="334"/>
      <c r="V48" s="334"/>
      <c r="W48" s="334"/>
    </row>
    <row r="49" spans="1:23">
      <c r="A49" s="334"/>
      <c r="B49" s="334"/>
      <c r="C49" s="334"/>
      <c r="D49" s="334"/>
      <c r="E49" s="334"/>
      <c r="F49" s="334"/>
      <c r="G49" s="334"/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334"/>
    </row>
    <row r="50" spans="1:23">
      <c r="A50" s="334"/>
      <c r="B50" s="334"/>
      <c r="C50" s="334"/>
      <c r="D50" s="334"/>
      <c r="E50" s="334"/>
      <c r="F50" s="334"/>
      <c r="G50" s="334"/>
      <c r="H50" s="334"/>
      <c r="I50" s="334"/>
      <c r="J50" s="334"/>
      <c r="K50" s="334"/>
      <c r="L50" s="334"/>
      <c r="M50" s="334"/>
      <c r="N50" s="334"/>
      <c r="O50" s="334"/>
      <c r="P50" s="334"/>
      <c r="Q50" s="334"/>
      <c r="R50" s="334"/>
      <c r="S50" s="334"/>
      <c r="T50" s="334"/>
      <c r="U50" s="334"/>
      <c r="V50" s="334"/>
      <c r="W50" s="334"/>
    </row>
    <row r="51" spans="1:23">
      <c r="A51" s="334"/>
      <c r="B51" s="334"/>
      <c r="C51" s="334"/>
      <c r="D51" s="334"/>
      <c r="E51" s="334"/>
      <c r="F51" s="334"/>
      <c r="G51" s="334"/>
      <c r="H51" s="334"/>
      <c r="I51" s="334"/>
      <c r="J51" s="334"/>
      <c r="K51" s="334"/>
      <c r="L51" s="334"/>
      <c r="M51" s="334"/>
      <c r="N51" s="334"/>
      <c r="O51" s="334"/>
      <c r="P51" s="334"/>
      <c r="Q51" s="334"/>
      <c r="R51" s="334"/>
      <c r="S51" s="334"/>
      <c r="T51" s="334"/>
      <c r="U51" s="334"/>
      <c r="V51" s="334"/>
      <c r="W51" s="334"/>
    </row>
  </sheetData>
  <conditionalFormatting sqref="S9:X9">
    <cfRule type="iconSet" priority="604">
      <iconSet iconSet="3Arrows">
        <cfvo type="percent" val="0"/>
        <cfvo type="percent" val="33"/>
        <cfvo type="percent" val="67"/>
      </iconSet>
    </cfRule>
    <cfRule type="iconSet" priority="809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496" priority="810" operator="between">
      <formula>6.00001</formula>
      <formula>10</formula>
    </cfRule>
    <cfRule type="cellIs" dxfId="495" priority="811" operator="between">
      <formula>5.000001</formula>
      <formula>6</formula>
    </cfRule>
    <cfRule type="cellIs" dxfId="494" priority="812" operator="between">
      <formula>4.000001</formula>
      <formula>5</formula>
    </cfRule>
    <cfRule type="cellIs" dxfId="493" priority="813" operator="between">
      <formula>3.0000001</formula>
      <formula>4</formula>
    </cfRule>
    <cfRule type="cellIs" dxfId="492" priority="814" operator="between">
      <formula>2.000001</formula>
      <formula>3</formula>
    </cfRule>
    <cfRule type="cellIs" dxfId="491" priority="815" operator="between">
      <formula>0</formula>
      <formula>2</formula>
    </cfRule>
  </conditionalFormatting>
  <conditionalFormatting sqref="S10:X10">
    <cfRule type="iconSet" priority="605">
      <iconSet iconSet="3Arrows">
        <cfvo type="percent" val="0"/>
        <cfvo type="percent" val="33"/>
        <cfvo type="percent" val="67"/>
      </iconSet>
    </cfRule>
    <cfRule type="iconSet" priority="820">
      <iconSet iconSet="4Arrows">
        <cfvo type="percent" val="0"/>
        <cfvo type="percent" val="25"/>
        <cfvo type="percent" val="50"/>
        <cfvo type="percent" val="75"/>
      </iconSet>
    </cfRule>
    <cfRule type="cellIs" dxfId="490" priority="821" operator="between">
      <formula>6</formula>
      <formula>7</formula>
    </cfRule>
    <cfRule type="cellIs" dxfId="489" priority="822" operator="equal">
      <formula>5</formula>
    </cfRule>
    <cfRule type="cellIs" dxfId="488" priority="823" operator="equal">
      <formula>4</formula>
    </cfRule>
    <cfRule type="cellIs" dxfId="487" priority="824" operator="between">
      <formula>-1</formula>
      <formula>3</formula>
    </cfRule>
    <cfRule type="cellIs" dxfId="486" priority="825" operator="equal">
      <formula>-2</formula>
    </cfRule>
    <cfRule type="cellIs" dxfId="485" priority="826" operator="equal">
      <formula>-3</formula>
    </cfRule>
    <cfRule type="cellIs" dxfId="484" priority="827" operator="equal">
      <formula>-4</formula>
    </cfRule>
    <cfRule type="cellIs" dxfId="483" priority="828" operator="equal">
      <formula>-5</formula>
    </cfRule>
    <cfRule type="cellIs" dxfId="482" priority="829" operator="between">
      <formula>-6</formula>
      <formula>-7</formula>
    </cfRule>
  </conditionalFormatting>
  <conditionalFormatting sqref="S11 Z11">
    <cfRule type="containsText" dxfId="481" priority="635" operator="containsText" text="WAIT">
      <formula>NOT(ISERROR(SEARCH("WAIT",S11)))</formula>
    </cfRule>
    <cfRule type="containsText" dxfId="480" priority="636" operator="containsText" text="SELL">
      <formula>NOT(ISERROR(SEARCH("SELL",S11)))</formula>
    </cfRule>
    <cfRule type="containsText" dxfId="479" priority="637" operator="containsText" text="BUY">
      <formula>NOT(ISERROR(SEARCH("BUY",S11)))</formula>
    </cfRule>
  </conditionalFormatting>
  <conditionalFormatting sqref="T11">
    <cfRule type="containsText" dxfId="478" priority="632" operator="containsText" text="WAIT">
      <formula>NOT(ISERROR(SEARCH("WAIT",T11)))</formula>
    </cfRule>
    <cfRule type="containsText" dxfId="477" priority="633" operator="containsText" text="SELL">
      <formula>NOT(ISERROR(SEARCH("SELL",T11)))</formula>
    </cfRule>
    <cfRule type="containsText" dxfId="476" priority="634" operator="containsText" text="BUY">
      <formula>NOT(ISERROR(SEARCH("BUY",T11)))</formula>
    </cfRule>
  </conditionalFormatting>
  <conditionalFormatting sqref="U11">
    <cfRule type="containsText" dxfId="475" priority="629" operator="containsText" text="WAIT">
      <formula>NOT(ISERROR(SEARCH("WAIT",U11)))</formula>
    </cfRule>
    <cfRule type="containsText" dxfId="474" priority="630" operator="containsText" text="SELL">
      <formula>NOT(ISERROR(SEARCH("SELL",U11)))</formula>
    </cfRule>
    <cfRule type="containsText" dxfId="473" priority="631" operator="containsText" text="BUY">
      <formula>NOT(ISERROR(SEARCH("BUY",U11)))</formula>
    </cfRule>
  </conditionalFormatting>
  <conditionalFormatting sqref="V11">
    <cfRule type="containsText" dxfId="472" priority="626" operator="containsText" text="WAIT">
      <formula>NOT(ISERROR(SEARCH("WAIT",V11)))</formula>
    </cfRule>
    <cfRule type="containsText" dxfId="471" priority="627" operator="containsText" text="SELL">
      <formula>NOT(ISERROR(SEARCH("SELL",V11)))</formula>
    </cfRule>
    <cfRule type="containsText" dxfId="470" priority="628" operator="containsText" text="BUY">
      <formula>NOT(ISERROR(SEARCH("BUY",V11)))</formula>
    </cfRule>
  </conditionalFormatting>
  <conditionalFormatting sqref="W11">
    <cfRule type="containsText" dxfId="469" priority="623" operator="containsText" text="WAIT">
      <formula>NOT(ISERROR(SEARCH("WAIT",W11)))</formula>
    </cfRule>
    <cfRule type="containsText" dxfId="468" priority="624" operator="containsText" text="SELL">
      <formula>NOT(ISERROR(SEARCH("SELL",W11)))</formula>
    </cfRule>
    <cfRule type="containsText" dxfId="467" priority="625" operator="containsText" text="BUY">
      <formula>NOT(ISERROR(SEARCH("BUY",W11)))</formula>
    </cfRule>
  </conditionalFormatting>
  <conditionalFormatting sqref="X11">
    <cfRule type="containsText" dxfId="466" priority="620" operator="containsText" text="WAIT">
      <formula>NOT(ISERROR(SEARCH("WAIT",X11)))</formula>
    </cfRule>
    <cfRule type="containsText" dxfId="465" priority="621" operator="containsText" text="SELL">
      <formula>NOT(ISERROR(SEARCH("SELL",X11)))</formula>
    </cfRule>
    <cfRule type="containsText" dxfId="464" priority="622" operator="containsText" text="BUY">
      <formula>NOT(ISERROR(SEARCH("BUY",X11)))</formula>
    </cfRule>
  </conditionalFormatting>
  <conditionalFormatting sqref="S11:X11">
    <cfRule type="colorScale" priority="608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S12:X12">
    <cfRule type="iconSet" priority="574">
      <iconSet iconSet="3Arrows">
        <cfvo type="percent" val="0"/>
        <cfvo type="percent" val="33"/>
        <cfvo type="percent" val="67"/>
      </iconSet>
    </cfRule>
    <cfRule type="colorScale" priority="57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Y9:Z9">
    <cfRule type="iconSet" priority="564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463" priority="568" operator="between">
      <formula>6.00001</formula>
      <formula>10</formula>
    </cfRule>
    <cfRule type="cellIs" dxfId="462" priority="569" operator="between">
      <formula>5.000001</formula>
      <formula>6</formula>
    </cfRule>
    <cfRule type="cellIs" dxfId="461" priority="570" operator="between">
      <formula>4.000001</formula>
      <formula>5</formula>
    </cfRule>
    <cfRule type="cellIs" dxfId="460" priority="571" operator="between">
      <formula>3.0000001</formula>
      <formula>4</formula>
    </cfRule>
    <cfRule type="cellIs" dxfId="459" priority="572" operator="between">
      <formula>2.000001</formula>
      <formula>3</formula>
    </cfRule>
    <cfRule type="cellIs" dxfId="458" priority="573" operator="between">
      <formula>0</formula>
      <formula>2</formula>
    </cfRule>
  </conditionalFormatting>
  <conditionalFormatting sqref="Y10:Z10">
    <cfRule type="iconSet" priority="553">
      <iconSet iconSet="4Arrows">
        <cfvo type="percent" val="0"/>
        <cfvo type="percent" val="25"/>
        <cfvo type="percent" val="50"/>
        <cfvo type="percent" val="75"/>
      </iconSet>
    </cfRule>
    <cfRule type="cellIs" dxfId="457" priority="554" operator="between">
      <formula>6</formula>
      <formula>7</formula>
    </cfRule>
    <cfRule type="cellIs" dxfId="456" priority="555" operator="equal">
      <formula>5</formula>
    </cfRule>
    <cfRule type="cellIs" dxfId="455" priority="556" operator="equal">
      <formula>4</formula>
    </cfRule>
    <cfRule type="cellIs" dxfId="454" priority="557" operator="between">
      <formula>-1</formula>
      <formula>3</formula>
    </cfRule>
    <cfRule type="cellIs" dxfId="453" priority="558" operator="equal">
      <formula>-2</formula>
    </cfRule>
    <cfRule type="cellIs" dxfId="452" priority="559" operator="equal">
      <formula>-3</formula>
    </cfRule>
    <cfRule type="cellIs" dxfId="451" priority="560" operator="equal">
      <formula>-4</formula>
    </cfRule>
    <cfRule type="cellIs" dxfId="450" priority="561" operator="equal">
      <formula>-5</formula>
    </cfRule>
    <cfRule type="cellIs" dxfId="449" priority="562" operator="between">
      <formula>-6</formula>
      <formula>-7</formula>
    </cfRule>
  </conditionalFormatting>
  <conditionalFormatting sqref="Y11">
    <cfRule type="containsText" dxfId="448" priority="548" operator="containsText" text="WAIT">
      <formula>NOT(ISERROR(SEARCH("WAIT",Y11)))</formula>
    </cfRule>
    <cfRule type="containsText" dxfId="447" priority="549" operator="containsText" text="SELL">
      <formula>NOT(ISERROR(SEARCH("SELL",Y11)))</formula>
    </cfRule>
    <cfRule type="containsText" dxfId="446" priority="550" operator="containsText" text="BUY">
      <formula>NOT(ISERROR(SEARCH("BUY",Y11)))</formula>
    </cfRule>
  </conditionalFormatting>
  <conditionalFormatting sqref="S12:Z12">
    <cfRule type="iconSet" priority="542">
      <iconSet>
        <cfvo type="percent" val="0"/>
        <cfvo type="percent" val="33"/>
        <cfvo type="percent" val="67"/>
      </iconSet>
    </cfRule>
    <cfRule type="colorScale" priority="544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G10:G37">
    <cfRule type="expression" dxfId="445" priority="541" stopIfTrue="1">
      <formula>IF(AND(G10&gt;=6.1,H10&lt;=2),1)</formula>
    </cfRule>
  </conditionalFormatting>
  <conditionalFormatting sqref="H10:H37">
    <cfRule type="expression" dxfId="444" priority="540" stopIfTrue="1">
      <formula>IF(AND(G10&lt;=2,H10&gt;=6.1),1)</formula>
    </cfRule>
  </conditionalFormatting>
  <conditionalFormatting sqref="G11">
    <cfRule type="expression" dxfId="443" priority="539" stopIfTrue="1">
      <formula>IF(AND(G11&gt;=6.1,H11&lt;=2),1)</formula>
    </cfRule>
  </conditionalFormatting>
  <conditionalFormatting sqref="H11">
    <cfRule type="expression" dxfId="442" priority="538" stopIfTrue="1">
      <formula>IF(AND(G11&lt;=2,H11&gt;=6.1),1)</formula>
    </cfRule>
  </conditionalFormatting>
  <conditionalFormatting sqref="G29">
    <cfRule type="expression" dxfId="441" priority="537" stopIfTrue="1">
      <formula>IF(AND(G29&gt;=6.1,H29&lt;=2),1)</formula>
    </cfRule>
  </conditionalFormatting>
  <conditionalFormatting sqref="H29">
    <cfRule type="expression" dxfId="440" priority="536" stopIfTrue="1">
      <formula>IF(AND(G29&lt;=2,H29&gt;=6.1),1)</formula>
    </cfRule>
  </conditionalFormatting>
  <conditionalFormatting sqref="G31:G32">
    <cfRule type="expression" dxfId="439" priority="535" stopIfTrue="1">
      <formula>IF(AND(G31&gt;=6.1,H31&lt;=2),1)</formula>
    </cfRule>
  </conditionalFormatting>
  <conditionalFormatting sqref="H31:H32">
    <cfRule type="expression" dxfId="438" priority="534" stopIfTrue="1">
      <formula>IF(AND(G31&lt;=2,H31&gt;=6.1),1)</formula>
    </cfRule>
  </conditionalFormatting>
  <conditionalFormatting sqref="D10">
    <cfRule type="iconSet" priority="528">
      <iconSet iconSet="3Arrows">
        <cfvo type="percent" val="0"/>
        <cfvo type="percent" val="33"/>
        <cfvo type="percent" val="67"/>
      </iconSet>
    </cfRule>
    <cfRule type="colorScale" priority="52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0">
    <cfRule type="iconSet" priority="526">
      <iconSet>
        <cfvo type="percent" val="0"/>
        <cfvo type="percent" val="33"/>
        <cfvo type="percent" val="67"/>
      </iconSet>
    </cfRule>
    <cfRule type="colorScale" priority="52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1">
    <cfRule type="iconSet" priority="524">
      <iconSet iconSet="3Arrows">
        <cfvo type="percent" val="0"/>
        <cfvo type="percent" val="33"/>
        <cfvo type="percent" val="67"/>
      </iconSet>
    </cfRule>
    <cfRule type="colorScale" priority="52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1">
    <cfRule type="iconSet" priority="522">
      <iconSet>
        <cfvo type="percent" val="0"/>
        <cfvo type="percent" val="33"/>
        <cfvo type="percent" val="67"/>
      </iconSet>
    </cfRule>
    <cfRule type="colorScale" priority="52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2">
    <cfRule type="iconSet" priority="520">
      <iconSet iconSet="3Arrows">
        <cfvo type="percent" val="0"/>
        <cfvo type="percent" val="33"/>
        <cfvo type="percent" val="67"/>
      </iconSet>
    </cfRule>
    <cfRule type="colorScale" priority="52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2">
    <cfRule type="iconSet" priority="518">
      <iconSet>
        <cfvo type="percent" val="0"/>
        <cfvo type="percent" val="33"/>
        <cfvo type="percent" val="67"/>
      </iconSet>
    </cfRule>
    <cfRule type="colorScale" priority="51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3">
    <cfRule type="iconSet" priority="516">
      <iconSet iconSet="3Arrows">
        <cfvo type="percent" val="0"/>
        <cfvo type="percent" val="33"/>
        <cfvo type="percent" val="67"/>
      </iconSet>
    </cfRule>
    <cfRule type="colorScale" priority="51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3">
    <cfRule type="iconSet" priority="514">
      <iconSet>
        <cfvo type="percent" val="0"/>
        <cfvo type="percent" val="33"/>
        <cfvo type="percent" val="67"/>
      </iconSet>
    </cfRule>
    <cfRule type="colorScale" priority="51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4">
    <cfRule type="iconSet" priority="512">
      <iconSet iconSet="3Arrows">
        <cfvo type="percent" val="0"/>
        <cfvo type="percent" val="33"/>
        <cfvo type="percent" val="67"/>
      </iconSet>
    </cfRule>
    <cfRule type="colorScale" priority="51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4">
    <cfRule type="iconSet" priority="510">
      <iconSet>
        <cfvo type="percent" val="0"/>
        <cfvo type="percent" val="33"/>
        <cfvo type="percent" val="67"/>
      </iconSet>
    </cfRule>
    <cfRule type="colorScale" priority="51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8">
    <cfRule type="iconSet" priority="508">
      <iconSet iconSet="3Arrows">
        <cfvo type="percent" val="0"/>
        <cfvo type="percent" val="33"/>
        <cfvo type="percent" val="67"/>
      </iconSet>
    </cfRule>
    <cfRule type="colorScale" priority="50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8">
    <cfRule type="iconSet" priority="506">
      <iconSet>
        <cfvo type="percent" val="0"/>
        <cfvo type="percent" val="33"/>
        <cfvo type="percent" val="67"/>
      </iconSet>
    </cfRule>
    <cfRule type="colorScale" priority="50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5">
    <cfRule type="iconSet" priority="504">
      <iconSet iconSet="3Arrows">
        <cfvo type="percent" val="0"/>
        <cfvo type="percent" val="33"/>
        <cfvo type="percent" val="67"/>
      </iconSet>
    </cfRule>
    <cfRule type="colorScale" priority="50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5">
    <cfRule type="iconSet" priority="502">
      <iconSet>
        <cfvo type="percent" val="0"/>
        <cfvo type="percent" val="33"/>
        <cfvo type="percent" val="67"/>
      </iconSet>
    </cfRule>
    <cfRule type="colorScale" priority="50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0">
    <cfRule type="iconSet" priority="500">
      <iconSet>
        <cfvo type="percent" val="0"/>
        <cfvo type="percent" val="33"/>
        <cfvo type="percent" val="67"/>
      </iconSet>
    </cfRule>
    <cfRule type="colorScale" priority="50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9">
    <cfRule type="iconSet" priority="498">
      <iconSet>
        <cfvo type="percent" val="0"/>
        <cfvo type="percent" val="33"/>
        <cfvo type="percent" val="67"/>
      </iconSet>
    </cfRule>
    <cfRule type="colorScale" priority="49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6">
    <cfRule type="iconSet" priority="496">
      <iconSet>
        <cfvo type="percent" val="0"/>
        <cfvo type="percent" val="33"/>
        <cfvo type="percent" val="67"/>
      </iconSet>
    </cfRule>
    <cfRule type="colorScale" priority="49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5">
    <cfRule type="iconSet" priority="494">
      <iconSet>
        <cfvo type="percent" val="0"/>
        <cfvo type="percent" val="33"/>
        <cfvo type="percent" val="67"/>
      </iconSet>
    </cfRule>
    <cfRule type="colorScale" priority="49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1">
    <cfRule type="iconSet" priority="492">
      <iconSet>
        <cfvo type="percent" val="0"/>
        <cfvo type="percent" val="33"/>
        <cfvo type="percent" val="67"/>
      </iconSet>
    </cfRule>
    <cfRule type="colorScale" priority="49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5">
    <cfRule type="iconSet" priority="490">
      <iconSet>
        <cfvo type="percent" val="0"/>
        <cfvo type="percent" val="33"/>
        <cfvo type="percent" val="67"/>
      </iconSet>
    </cfRule>
    <cfRule type="colorScale" priority="49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0">
    <cfRule type="iconSet" priority="488">
      <iconSet>
        <cfvo type="percent" val="0"/>
        <cfvo type="percent" val="33"/>
        <cfvo type="percent" val="67"/>
      </iconSet>
    </cfRule>
    <cfRule type="colorScale" priority="48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7">
    <cfRule type="iconSet" priority="486">
      <iconSet>
        <cfvo type="percent" val="0"/>
        <cfvo type="percent" val="33"/>
        <cfvo type="percent" val="67"/>
      </iconSet>
    </cfRule>
    <cfRule type="colorScale" priority="48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2">
    <cfRule type="iconSet" priority="484">
      <iconSet>
        <cfvo type="percent" val="0"/>
        <cfvo type="percent" val="33"/>
        <cfvo type="percent" val="67"/>
      </iconSet>
    </cfRule>
    <cfRule type="colorScale" priority="48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5">
    <cfRule type="iconSet" priority="482">
      <iconSet>
        <cfvo type="percent" val="0"/>
        <cfvo type="percent" val="33"/>
        <cfvo type="percent" val="67"/>
      </iconSet>
    </cfRule>
    <cfRule type="colorScale" priority="48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6">
    <cfRule type="iconSet" priority="480">
      <iconSet>
        <cfvo type="percent" val="0"/>
        <cfvo type="percent" val="33"/>
        <cfvo type="percent" val="67"/>
      </iconSet>
    </cfRule>
    <cfRule type="colorScale" priority="48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7">
    <cfRule type="iconSet" priority="478">
      <iconSet>
        <cfvo type="percent" val="0"/>
        <cfvo type="percent" val="33"/>
        <cfvo type="percent" val="67"/>
      </iconSet>
    </cfRule>
    <cfRule type="colorScale" priority="47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2">
    <cfRule type="iconSet" priority="476">
      <iconSet iconSet="3Arrows">
        <cfvo type="percent" val="0"/>
        <cfvo type="percent" val="33"/>
        <cfvo type="percent" val="67"/>
      </iconSet>
    </cfRule>
    <cfRule type="colorScale" priority="47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2">
    <cfRule type="iconSet" priority="474">
      <iconSet>
        <cfvo type="percent" val="0"/>
        <cfvo type="percent" val="33"/>
        <cfvo type="percent" val="67"/>
      </iconSet>
    </cfRule>
    <cfRule type="colorScale" priority="47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6">
    <cfRule type="iconSet" priority="472">
      <iconSet iconSet="3Arrows">
        <cfvo type="percent" val="0"/>
        <cfvo type="percent" val="33"/>
        <cfvo type="percent" val="67"/>
      </iconSet>
    </cfRule>
    <cfRule type="colorScale" priority="47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6">
    <cfRule type="iconSet" priority="470">
      <iconSet>
        <cfvo type="percent" val="0"/>
        <cfvo type="percent" val="33"/>
        <cfvo type="percent" val="67"/>
      </iconSet>
    </cfRule>
    <cfRule type="colorScale" priority="47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7">
    <cfRule type="iconSet" priority="468">
      <iconSet iconSet="3Arrows">
        <cfvo type="percent" val="0"/>
        <cfvo type="percent" val="33"/>
        <cfvo type="percent" val="67"/>
      </iconSet>
    </cfRule>
    <cfRule type="colorScale" priority="46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7">
    <cfRule type="iconSet" priority="466">
      <iconSet>
        <cfvo type="percent" val="0"/>
        <cfvo type="percent" val="33"/>
        <cfvo type="percent" val="67"/>
      </iconSet>
    </cfRule>
    <cfRule type="colorScale" priority="46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2">
    <cfRule type="iconSet" priority="464">
      <iconSet iconSet="3Arrows">
        <cfvo type="percent" val="0"/>
        <cfvo type="percent" val="33"/>
        <cfvo type="percent" val="67"/>
      </iconSet>
    </cfRule>
    <cfRule type="colorScale" priority="46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2">
    <cfRule type="iconSet" priority="462">
      <iconSet>
        <cfvo type="percent" val="0"/>
        <cfvo type="percent" val="33"/>
        <cfvo type="percent" val="67"/>
      </iconSet>
    </cfRule>
    <cfRule type="colorScale" priority="46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8">
    <cfRule type="iconSet" priority="460">
      <iconSet iconSet="3Arrows">
        <cfvo type="percent" val="0"/>
        <cfvo type="percent" val="33"/>
        <cfvo type="percent" val="67"/>
      </iconSet>
    </cfRule>
    <cfRule type="colorScale" priority="46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8">
    <cfRule type="iconSet" priority="458">
      <iconSet>
        <cfvo type="percent" val="0"/>
        <cfvo type="percent" val="33"/>
        <cfvo type="percent" val="67"/>
      </iconSet>
    </cfRule>
    <cfRule type="colorScale" priority="45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3">
    <cfRule type="iconSet" priority="456">
      <iconSet iconSet="3Arrows">
        <cfvo type="percent" val="0"/>
        <cfvo type="percent" val="33"/>
        <cfvo type="percent" val="67"/>
      </iconSet>
    </cfRule>
    <cfRule type="colorScale" priority="45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3">
    <cfRule type="iconSet" priority="454">
      <iconSet>
        <cfvo type="percent" val="0"/>
        <cfvo type="percent" val="33"/>
        <cfvo type="percent" val="67"/>
      </iconSet>
    </cfRule>
    <cfRule type="colorScale" priority="45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7">
    <cfRule type="iconSet" priority="452">
      <iconSet iconSet="3Arrows">
        <cfvo type="percent" val="0"/>
        <cfvo type="percent" val="33"/>
        <cfvo type="percent" val="67"/>
      </iconSet>
    </cfRule>
    <cfRule type="colorScale" priority="45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7">
    <cfRule type="iconSet" priority="450">
      <iconSet>
        <cfvo type="percent" val="0"/>
        <cfvo type="percent" val="33"/>
        <cfvo type="percent" val="67"/>
      </iconSet>
    </cfRule>
    <cfRule type="colorScale" priority="45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6">
    <cfRule type="iconSet" priority="448">
      <iconSet>
        <cfvo type="percent" val="0"/>
        <cfvo type="percent" val="33"/>
        <cfvo type="percent" val="67"/>
      </iconSet>
    </cfRule>
    <cfRule type="colorScale" priority="44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3">
    <cfRule type="iconSet" priority="446">
      <iconSet iconSet="3Arrows">
        <cfvo type="percent" val="0"/>
        <cfvo type="percent" val="33"/>
        <cfvo type="percent" val="67"/>
      </iconSet>
    </cfRule>
    <cfRule type="colorScale" priority="44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3">
    <cfRule type="iconSet" priority="444">
      <iconSet>
        <cfvo type="percent" val="0"/>
        <cfvo type="percent" val="33"/>
        <cfvo type="percent" val="67"/>
      </iconSet>
    </cfRule>
    <cfRule type="colorScale" priority="44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3">
    <cfRule type="iconSet" priority="442">
      <iconSet iconSet="3Arrows">
        <cfvo type="percent" val="0"/>
        <cfvo type="percent" val="33"/>
        <cfvo type="percent" val="67"/>
      </iconSet>
    </cfRule>
    <cfRule type="colorScale" priority="44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3">
    <cfRule type="iconSet" priority="440">
      <iconSet>
        <cfvo type="percent" val="0"/>
        <cfvo type="percent" val="33"/>
        <cfvo type="percent" val="67"/>
      </iconSet>
    </cfRule>
    <cfRule type="colorScale" priority="44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9">
    <cfRule type="iconSet" priority="438">
      <iconSet iconSet="3Arrows">
        <cfvo type="percent" val="0"/>
        <cfvo type="percent" val="33"/>
        <cfvo type="percent" val="67"/>
      </iconSet>
    </cfRule>
    <cfRule type="colorScale" priority="43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9">
    <cfRule type="iconSet" priority="436">
      <iconSet>
        <cfvo type="percent" val="0"/>
        <cfvo type="percent" val="33"/>
        <cfvo type="percent" val="67"/>
      </iconSet>
    </cfRule>
    <cfRule type="colorScale" priority="43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4">
    <cfRule type="iconSet" priority="434">
      <iconSet iconSet="3Arrows">
        <cfvo type="percent" val="0"/>
        <cfvo type="percent" val="33"/>
        <cfvo type="percent" val="67"/>
      </iconSet>
    </cfRule>
    <cfRule type="colorScale" priority="43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4">
    <cfRule type="iconSet" priority="432">
      <iconSet>
        <cfvo type="percent" val="0"/>
        <cfvo type="percent" val="33"/>
        <cfvo type="percent" val="67"/>
      </iconSet>
    </cfRule>
    <cfRule type="colorScale" priority="43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3">
    <cfRule type="iconSet" priority="430">
      <iconSet iconSet="3Arrows">
        <cfvo type="percent" val="0"/>
        <cfvo type="percent" val="33"/>
        <cfvo type="percent" val="67"/>
      </iconSet>
    </cfRule>
    <cfRule type="colorScale" priority="43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3">
    <cfRule type="iconSet" priority="428">
      <iconSet>
        <cfvo type="percent" val="0"/>
        <cfvo type="percent" val="33"/>
        <cfvo type="percent" val="67"/>
      </iconSet>
    </cfRule>
    <cfRule type="colorScale" priority="42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2">
    <cfRule type="iconSet" priority="426">
      <iconSet iconSet="3Arrows">
        <cfvo type="percent" val="0"/>
        <cfvo type="percent" val="33"/>
        <cfvo type="percent" val="67"/>
      </iconSet>
    </cfRule>
    <cfRule type="colorScale" priority="42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2">
    <cfRule type="iconSet" priority="424">
      <iconSet>
        <cfvo type="percent" val="0"/>
        <cfvo type="percent" val="33"/>
        <cfvo type="percent" val="67"/>
      </iconSet>
    </cfRule>
    <cfRule type="colorScale" priority="42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1">
    <cfRule type="iconSet" priority="422">
      <iconSet iconSet="3Arrows">
        <cfvo type="percent" val="0"/>
        <cfvo type="percent" val="33"/>
        <cfvo type="percent" val="67"/>
      </iconSet>
    </cfRule>
    <cfRule type="colorScale" priority="42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1">
    <cfRule type="iconSet" priority="420">
      <iconSet>
        <cfvo type="percent" val="0"/>
        <cfvo type="percent" val="33"/>
        <cfvo type="percent" val="67"/>
      </iconSet>
    </cfRule>
    <cfRule type="colorScale" priority="42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1">
    <cfRule type="iconSet" priority="418">
      <iconSet>
        <cfvo type="percent" val="0"/>
        <cfvo type="percent" val="33"/>
        <cfvo type="percent" val="67"/>
      </iconSet>
    </cfRule>
    <cfRule type="colorScale" priority="41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8">
    <cfRule type="iconSet" priority="416">
      <iconSet iconSet="3Arrows">
        <cfvo type="percent" val="0"/>
        <cfvo type="percent" val="33"/>
        <cfvo type="percent" val="67"/>
      </iconSet>
    </cfRule>
    <cfRule type="colorScale" priority="41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8">
    <cfRule type="iconSet" priority="414">
      <iconSet>
        <cfvo type="percent" val="0"/>
        <cfvo type="percent" val="33"/>
        <cfvo type="percent" val="67"/>
      </iconSet>
    </cfRule>
    <cfRule type="colorScale" priority="41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9">
    <cfRule type="iconSet" priority="412">
      <iconSet iconSet="3Arrows">
        <cfvo type="percent" val="0"/>
        <cfvo type="percent" val="33"/>
        <cfvo type="percent" val="67"/>
      </iconSet>
    </cfRule>
    <cfRule type="colorScale" priority="41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19">
    <cfRule type="iconSet" priority="410">
      <iconSet>
        <cfvo type="percent" val="0"/>
        <cfvo type="percent" val="33"/>
        <cfvo type="percent" val="67"/>
      </iconSet>
    </cfRule>
    <cfRule type="colorScale" priority="41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0">
    <cfRule type="iconSet" priority="408">
      <iconSet iconSet="3Arrows">
        <cfvo type="percent" val="0"/>
        <cfvo type="percent" val="33"/>
        <cfvo type="percent" val="67"/>
      </iconSet>
    </cfRule>
    <cfRule type="colorScale" priority="40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0">
    <cfRule type="iconSet" priority="406">
      <iconSet>
        <cfvo type="percent" val="0"/>
        <cfvo type="percent" val="33"/>
        <cfvo type="percent" val="67"/>
      </iconSet>
    </cfRule>
    <cfRule type="colorScale" priority="40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1">
    <cfRule type="iconSet" priority="404">
      <iconSet iconSet="3Arrows">
        <cfvo type="percent" val="0"/>
        <cfvo type="percent" val="33"/>
        <cfvo type="percent" val="67"/>
      </iconSet>
    </cfRule>
    <cfRule type="colorScale" priority="40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1">
    <cfRule type="iconSet" priority="402">
      <iconSet>
        <cfvo type="percent" val="0"/>
        <cfvo type="percent" val="33"/>
        <cfvo type="percent" val="67"/>
      </iconSet>
    </cfRule>
    <cfRule type="colorScale" priority="40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2">
    <cfRule type="iconSet" priority="400">
      <iconSet iconSet="3Arrows">
        <cfvo type="percent" val="0"/>
        <cfvo type="percent" val="33"/>
        <cfvo type="percent" val="67"/>
      </iconSet>
    </cfRule>
    <cfRule type="colorScale" priority="40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2">
    <cfRule type="iconSet" priority="398">
      <iconSet>
        <cfvo type="percent" val="0"/>
        <cfvo type="percent" val="33"/>
        <cfvo type="percent" val="67"/>
      </iconSet>
    </cfRule>
    <cfRule type="colorScale" priority="39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3">
    <cfRule type="iconSet" priority="396">
      <iconSet iconSet="3Arrows">
        <cfvo type="percent" val="0"/>
        <cfvo type="percent" val="33"/>
        <cfvo type="percent" val="67"/>
      </iconSet>
    </cfRule>
    <cfRule type="colorScale" priority="39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3">
    <cfRule type="iconSet" priority="394">
      <iconSet>
        <cfvo type="percent" val="0"/>
        <cfvo type="percent" val="33"/>
        <cfvo type="percent" val="67"/>
      </iconSet>
    </cfRule>
    <cfRule type="colorScale" priority="39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4">
    <cfRule type="iconSet" priority="392">
      <iconSet iconSet="3Arrows">
        <cfvo type="percent" val="0"/>
        <cfvo type="percent" val="33"/>
        <cfvo type="percent" val="67"/>
      </iconSet>
    </cfRule>
    <cfRule type="colorScale" priority="39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4">
    <cfRule type="iconSet" priority="390">
      <iconSet>
        <cfvo type="percent" val="0"/>
        <cfvo type="percent" val="33"/>
        <cfvo type="percent" val="67"/>
      </iconSet>
    </cfRule>
    <cfRule type="colorScale" priority="39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4">
    <cfRule type="iconSet" priority="388">
      <iconSet iconSet="3Arrows">
        <cfvo type="percent" val="0"/>
        <cfvo type="percent" val="33"/>
        <cfvo type="percent" val="67"/>
      </iconSet>
    </cfRule>
    <cfRule type="colorScale" priority="38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4">
    <cfRule type="iconSet" priority="386">
      <iconSet>
        <cfvo type="percent" val="0"/>
        <cfvo type="percent" val="33"/>
        <cfvo type="percent" val="67"/>
      </iconSet>
    </cfRule>
    <cfRule type="colorScale" priority="38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4">
    <cfRule type="iconSet" priority="384">
      <iconSet iconSet="3Arrows">
        <cfvo type="percent" val="0"/>
        <cfvo type="percent" val="33"/>
        <cfvo type="percent" val="67"/>
      </iconSet>
    </cfRule>
    <cfRule type="colorScale" priority="38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4">
    <cfRule type="iconSet" priority="382">
      <iconSet>
        <cfvo type="percent" val="0"/>
        <cfvo type="percent" val="33"/>
        <cfvo type="percent" val="67"/>
      </iconSet>
    </cfRule>
    <cfRule type="colorScale" priority="38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0">
    <cfRule type="iconSet" priority="380">
      <iconSet iconSet="3Arrows">
        <cfvo type="percent" val="0"/>
        <cfvo type="percent" val="33"/>
        <cfvo type="percent" val="67"/>
      </iconSet>
    </cfRule>
    <cfRule type="colorScale" priority="38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0">
    <cfRule type="iconSet" priority="378">
      <iconSet>
        <cfvo type="percent" val="0"/>
        <cfvo type="percent" val="33"/>
        <cfvo type="percent" val="67"/>
      </iconSet>
    </cfRule>
    <cfRule type="colorScale" priority="37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4">
    <cfRule type="iconSet" priority="376">
      <iconSet iconSet="3Arrows">
        <cfvo type="percent" val="0"/>
        <cfvo type="percent" val="33"/>
        <cfvo type="percent" val="67"/>
      </iconSet>
    </cfRule>
    <cfRule type="colorScale" priority="37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34">
    <cfRule type="iconSet" priority="374">
      <iconSet>
        <cfvo type="percent" val="0"/>
        <cfvo type="percent" val="33"/>
        <cfvo type="percent" val="67"/>
      </iconSet>
    </cfRule>
    <cfRule type="colorScale" priority="37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5">
    <cfRule type="iconSet" priority="372">
      <iconSet iconSet="3Arrows">
        <cfvo type="percent" val="0"/>
        <cfvo type="percent" val="33"/>
        <cfvo type="percent" val="67"/>
      </iconSet>
    </cfRule>
    <cfRule type="colorScale" priority="37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5">
    <cfRule type="iconSet" priority="370">
      <iconSet>
        <cfvo type="percent" val="0"/>
        <cfvo type="percent" val="33"/>
        <cfvo type="percent" val="67"/>
      </iconSet>
    </cfRule>
    <cfRule type="colorScale" priority="37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6">
    <cfRule type="iconSet" priority="368">
      <iconSet iconSet="3Arrows">
        <cfvo type="percent" val="0"/>
        <cfvo type="percent" val="33"/>
        <cfvo type="percent" val="67"/>
      </iconSet>
    </cfRule>
    <cfRule type="colorScale" priority="36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6">
    <cfRule type="iconSet" priority="366">
      <iconSet>
        <cfvo type="percent" val="0"/>
        <cfvo type="percent" val="33"/>
        <cfvo type="percent" val="67"/>
      </iconSet>
    </cfRule>
    <cfRule type="colorScale" priority="36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7">
    <cfRule type="iconSet" priority="364">
      <iconSet iconSet="3Arrows">
        <cfvo type="percent" val="0"/>
        <cfvo type="percent" val="33"/>
        <cfvo type="percent" val="67"/>
      </iconSet>
    </cfRule>
    <cfRule type="colorScale" priority="36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7">
    <cfRule type="iconSet" priority="362">
      <iconSet>
        <cfvo type="percent" val="0"/>
        <cfvo type="percent" val="33"/>
        <cfvo type="percent" val="67"/>
      </iconSet>
    </cfRule>
    <cfRule type="colorScale" priority="36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1">
    <cfRule type="iconSet" priority="360">
      <iconSet iconSet="3Arrows">
        <cfvo type="percent" val="0"/>
        <cfvo type="percent" val="33"/>
        <cfvo type="percent" val="67"/>
      </iconSet>
    </cfRule>
    <cfRule type="colorScale" priority="36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21">
    <cfRule type="iconSet" priority="358">
      <iconSet>
        <cfvo type="percent" val="0"/>
        <cfvo type="percent" val="33"/>
        <cfvo type="percent" val="67"/>
      </iconSet>
    </cfRule>
    <cfRule type="colorScale" priority="35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5">
    <cfRule type="iconSet" priority="356">
      <iconSet iconSet="3Arrows">
        <cfvo type="percent" val="0"/>
        <cfvo type="percent" val="33"/>
        <cfvo type="percent" val="67"/>
      </iconSet>
    </cfRule>
    <cfRule type="colorScale" priority="35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5">
    <cfRule type="iconSet" priority="354">
      <iconSet>
        <cfvo type="percent" val="0"/>
        <cfvo type="percent" val="33"/>
        <cfvo type="percent" val="67"/>
      </iconSet>
    </cfRule>
    <cfRule type="colorScale" priority="35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6">
    <cfRule type="iconSet" priority="352">
      <iconSet iconSet="3Arrows">
        <cfvo type="percent" val="0"/>
        <cfvo type="percent" val="33"/>
        <cfvo type="percent" val="67"/>
      </iconSet>
    </cfRule>
    <cfRule type="colorScale" priority="35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6">
    <cfRule type="iconSet" priority="350">
      <iconSet>
        <cfvo type="percent" val="0"/>
        <cfvo type="percent" val="33"/>
        <cfvo type="percent" val="67"/>
      </iconSet>
    </cfRule>
    <cfRule type="colorScale" priority="35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7">
    <cfRule type="iconSet" priority="348">
      <iconSet iconSet="3Arrows">
        <cfvo type="percent" val="0"/>
        <cfvo type="percent" val="33"/>
        <cfvo type="percent" val="67"/>
      </iconSet>
    </cfRule>
    <cfRule type="colorScale" priority="34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7">
    <cfRule type="iconSet" priority="346">
      <iconSet>
        <cfvo type="percent" val="0"/>
        <cfvo type="percent" val="33"/>
        <cfvo type="percent" val="67"/>
      </iconSet>
    </cfRule>
    <cfRule type="colorScale" priority="34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8">
    <cfRule type="iconSet" priority="344">
      <iconSet iconSet="3Arrows">
        <cfvo type="percent" val="0"/>
        <cfvo type="percent" val="33"/>
        <cfvo type="percent" val="67"/>
      </iconSet>
    </cfRule>
    <cfRule type="colorScale" priority="34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8">
    <cfRule type="iconSet" priority="342">
      <iconSet>
        <cfvo type="percent" val="0"/>
        <cfvo type="percent" val="33"/>
        <cfvo type="percent" val="67"/>
      </iconSet>
    </cfRule>
    <cfRule type="colorScale" priority="34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9">
    <cfRule type="iconSet" priority="340">
      <iconSet iconSet="3Arrows">
        <cfvo type="percent" val="0"/>
        <cfvo type="percent" val="33"/>
        <cfvo type="percent" val="67"/>
      </iconSet>
    </cfRule>
    <cfRule type="colorScale" priority="34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29">
    <cfRule type="iconSet" priority="338">
      <iconSet>
        <cfvo type="percent" val="0"/>
        <cfvo type="percent" val="33"/>
        <cfvo type="percent" val="67"/>
      </iconSet>
    </cfRule>
    <cfRule type="colorScale" priority="33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0">
    <cfRule type="iconSet" priority="336">
      <iconSet iconSet="3Arrows">
        <cfvo type="percent" val="0"/>
        <cfvo type="percent" val="33"/>
        <cfvo type="percent" val="67"/>
      </iconSet>
    </cfRule>
    <cfRule type="colorScale" priority="33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D30">
    <cfRule type="iconSet" priority="334">
      <iconSet>
        <cfvo type="percent" val="0"/>
        <cfvo type="percent" val="33"/>
        <cfvo type="percent" val="67"/>
      </iconSet>
    </cfRule>
    <cfRule type="colorScale" priority="33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E10:E37">
    <cfRule type="iconSet" priority="114">
      <iconSet>
        <cfvo type="percent" val="0"/>
        <cfvo type="percent" val="33"/>
        <cfvo type="percent" val="67"/>
      </iconSet>
    </cfRule>
    <cfRule type="colorScale" priority="331">
      <colorScale>
        <cfvo type="min" val="0"/>
        <cfvo type="percentile" val="50"/>
        <cfvo type="max" val="0"/>
        <color rgb="FFFF0000"/>
        <color rgb="FFFFEB84"/>
        <color rgb="FF00B050"/>
      </colorScale>
    </cfRule>
    <cfRule type="colorScale" priority="333">
      <colorScale>
        <cfvo type="min" val="0"/>
        <cfvo type="percentile" val="50"/>
        <cfvo type="max" val="0"/>
        <color rgb="FFFF0000"/>
        <color theme="0" tint="-0.34998626667073579"/>
        <color rgb="FF00B050"/>
      </colorScale>
    </cfRule>
  </conditionalFormatting>
  <conditionalFormatting sqref="D10:D37">
    <cfRule type="iconSet" priority="115">
      <iconSet>
        <cfvo type="percent" val="0"/>
        <cfvo type="percent" val="33"/>
        <cfvo type="percent" val="67"/>
      </iconSet>
    </cfRule>
    <cfRule type="colorScale" priority="330">
      <colorScale>
        <cfvo type="min" val="0"/>
        <cfvo type="percentile" val="50"/>
        <cfvo type="max" val="0"/>
        <color rgb="FFFF0000"/>
        <color rgb="FFFFEB84"/>
        <color rgb="FF00B050"/>
      </colorScale>
    </cfRule>
    <cfRule type="colorScale" priority="332">
      <colorScale>
        <cfvo type="min" val="0"/>
        <cfvo type="percentile" val="50"/>
        <cfvo type="max" val="0"/>
        <color rgb="FFFF0000"/>
        <color theme="0" tint="-0.34998626667073579"/>
        <color rgb="FF00B050"/>
      </colorScale>
    </cfRule>
  </conditionalFormatting>
  <conditionalFormatting sqref="B10">
    <cfRule type="containsText" dxfId="437" priority="327" operator="containsText" text="WAIT">
      <formula>NOT(ISERROR(SEARCH("WAIT",B10)))</formula>
    </cfRule>
    <cfRule type="containsText" dxfId="436" priority="328" operator="containsText" text="SELL">
      <formula>NOT(ISERROR(SEARCH("SELL",B10)))</formula>
    </cfRule>
    <cfRule type="containsText" dxfId="435" priority="329" operator="containsText" text="BUY">
      <formula>NOT(ISERROR(SEARCH("BUY",B10)))</formula>
    </cfRule>
  </conditionalFormatting>
  <conditionalFormatting sqref="B10">
    <cfRule type="colorScale" priority="326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11">
    <cfRule type="containsText" dxfId="434" priority="323" operator="containsText" text="WAIT">
      <formula>NOT(ISERROR(SEARCH("WAIT",B11)))</formula>
    </cfRule>
    <cfRule type="containsText" dxfId="433" priority="324" operator="containsText" text="SELL">
      <formula>NOT(ISERROR(SEARCH("SELL",B11)))</formula>
    </cfRule>
    <cfRule type="containsText" dxfId="432" priority="325" operator="containsText" text="BUY">
      <formula>NOT(ISERROR(SEARCH("BUY",B11)))</formula>
    </cfRule>
  </conditionalFormatting>
  <conditionalFormatting sqref="B11">
    <cfRule type="colorScale" priority="322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12">
    <cfRule type="containsText" dxfId="431" priority="319" operator="containsText" text="WAIT">
      <formula>NOT(ISERROR(SEARCH("WAIT",B12)))</formula>
    </cfRule>
    <cfRule type="containsText" dxfId="430" priority="320" operator="containsText" text="SELL">
      <formula>NOT(ISERROR(SEARCH("SELL",B12)))</formula>
    </cfRule>
    <cfRule type="containsText" dxfId="429" priority="321" operator="containsText" text="BUY">
      <formula>NOT(ISERROR(SEARCH("BUY",B12)))</formula>
    </cfRule>
  </conditionalFormatting>
  <conditionalFormatting sqref="B12">
    <cfRule type="colorScale" priority="318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13">
    <cfRule type="containsText" dxfId="428" priority="315" operator="containsText" text="WAIT">
      <formula>NOT(ISERROR(SEARCH("WAIT",B13)))</formula>
    </cfRule>
    <cfRule type="containsText" dxfId="427" priority="316" operator="containsText" text="SELL">
      <formula>NOT(ISERROR(SEARCH("SELL",B13)))</formula>
    </cfRule>
    <cfRule type="containsText" dxfId="426" priority="317" operator="containsText" text="BUY">
      <formula>NOT(ISERROR(SEARCH("BUY",B13)))</formula>
    </cfRule>
  </conditionalFormatting>
  <conditionalFormatting sqref="B13">
    <cfRule type="colorScale" priority="314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14">
    <cfRule type="containsText" dxfId="425" priority="311" operator="containsText" text="WAIT">
      <formula>NOT(ISERROR(SEARCH("WAIT",B14)))</formula>
    </cfRule>
    <cfRule type="containsText" dxfId="424" priority="312" operator="containsText" text="SELL">
      <formula>NOT(ISERROR(SEARCH("SELL",B14)))</formula>
    </cfRule>
    <cfRule type="containsText" dxfId="423" priority="313" operator="containsText" text="BUY">
      <formula>NOT(ISERROR(SEARCH("BUY",B14)))</formula>
    </cfRule>
  </conditionalFormatting>
  <conditionalFormatting sqref="B14">
    <cfRule type="colorScale" priority="310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18">
    <cfRule type="containsText" dxfId="422" priority="307" operator="containsText" text="WAIT">
      <formula>NOT(ISERROR(SEARCH("WAIT",C18)))</formula>
    </cfRule>
    <cfRule type="containsText" dxfId="421" priority="308" operator="containsText" text="SELL">
      <formula>NOT(ISERROR(SEARCH("SELL",C18)))</formula>
    </cfRule>
    <cfRule type="containsText" dxfId="420" priority="309" operator="containsText" text="BUY">
      <formula>NOT(ISERROR(SEARCH("BUY",C18)))</formula>
    </cfRule>
  </conditionalFormatting>
  <conditionalFormatting sqref="C18">
    <cfRule type="colorScale" priority="306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25">
    <cfRule type="containsText" dxfId="419" priority="303" operator="containsText" text="WAIT">
      <formula>NOT(ISERROR(SEARCH("WAIT",C25)))</formula>
    </cfRule>
    <cfRule type="containsText" dxfId="418" priority="304" operator="containsText" text="SELL">
      <formula>NOT(ISERROR(SEARCH("SELL",C25)))</formula>
    </cfRule>
    <cfRule type="containsText" dxfId="417" priority="305" operator="containsText" text="BUY">
      <formula>NOT(ISERROR(SEARCH("BUY",C25)))</formula>
    </cfRule>
  </conditionalFormatting>
  <conditionalFormatting sqref="C25">
    <cfRule type="colorScale" priority="302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10">
    <cfRule type="containsText" dxfId="416" priority="299" operator="containsText" text="WAIT">
      <formula>NOT(ISERROR(SEARCH("WAIT",C10)))</formula>
    </cfRule>
    <cfRule type="containsText" dxfId="415" priority="300" operator="containsText" text="SELL">
      <formula>NOT(ISERROR(SEARCH("SELL",C10)))</formula>
    </cfRule>
    <cfRule type="containsText" dxfId="414" priority="301" operator="containsText" text="BUY">
      <formula>NOT(ISERROR(SEARCH("BUY",C10)))</formula>
    </cfRule>
  </conditionalFormatting>
  <conditionalFormatting sqref="B15">
    <cfRule type="containsText" dxfId="413" priority="296" operator="containsText" text="WAIT">
      <formula>NOT(ISERROR(SEARCH("WAIT",B15)))</formula>
    </cfRule>
    <cfRule type="containsText" dxfId="412" priority="297" operator="containsText" text="SELL">
      <formula>NOT(ISERROR(SEARCH("SELL",B15)))</formula>
    </cfRule>
    <cfRule type="containsText" dxfId="411" priority="298" operator="containsText" text="BUY">
      <formula>NOT(ISERROR(SEARCH("BUY",B15)))</formula>
    </cfRule>
  </conditionalFormatting>
  <conditionalFormatting sqref="B16">
    <cfRule type="containsText" dxfId="410" priority="293" operator="containsText" text="WAIT">
      <formula>NOT(ISERROR(SEARCH("WAIT",B16)))</formula>
    </cfRule>
    <cfRule type="containsText" dxfId="409" priority="294" operator="containsText" text="SELL">
      <formula>NOT(ISERROR(SEARCH("SELL",B16)))</formula>
    </cfRule>
    <cfRule type="containsText" dxfId="408" priority="295" operator="containsText" text="BUY">
      <formula>NOT(ISERROR(SEARCH("BUY",B16)))</formula>
    </cfRule>
  </conditionalFormatting>
  <conditionalFormatting sqref="C19">
    <cfRule type="containsText" dxfId="407" priority="290" operator="containsText" text="WAIT">
      <formula>NOT(ISERROR(SEARCH("WAIT",C19)))</formula>
    </cfRule>
    <cfRule type="containsText" dxfId="406" priority="291" operator="containsText" text="SELL">
      <formula>NOT(ISERROR(SEARCH("SELL",C19)))</formula>
    </cfRule>
    <cfRule type="containsText" dxfId="405" priority="292" operator="containsText" text="BUY">
      <formula>NOT(ISERROR(SEARCH("BUY",C19)))</formula>
    </cfRule>
  </conditionalFormatting>
  <conditionalFormatting sqref="C26">
    <cfRule type="containsText" dxfId="404" priority="287" operator="containsText" text="WAIT">
      <formula>NOT(ISERROR(SEARCH("WAIT",C26)))</formula>
    </cfRule>
    <cfRule type="containsText" dxfId="403" priority="288" operator="containsText" text="SELL">
      <formula>NOT(ISERROR(SEARCH("SELL",C26)))</formula>
    </cfRule>
    <cfRule type="containsText" dxfId="402" priority="289" operator="containsText" text="BUY">
      <formula>NOT(ISERROR(SEARCH("BUY",C26)))</formula>
    </cfRule>
  </conditionalFormatting>
  <conditionalFormatting sqref="C31">
    <cfRule type="containsText" dxfId="401" priority="284" operator="containsText" text="WAIT">
      <formula>NOT(ISERROR(SEARCH("WAIT",C31)))</formula>
    </cfRule>
    <cfRule type="containsText" dxfId="400" priority="285" operator="containsText" text="SELL">
      <formula>NOT(ISERROR(SEARCH("SELL",C31)))</formula>
    </cfRule>
    <cfRule type="containsText" dxfId="399" priority="286" operator="containsText" text="BUY">
      <formula>NOT(ISERROR(SEARCH("BUY",C31)))</formula>
    </cfRule>
  </conditionalFormatting>
  <conditionalFormatting sqref="C35">
    <cfRule type="containsText" dxfId="398" priority="281" operator="containsText" text="WAIT">
      <formula>NOT(ISERROR(SEARCH("WAIT",C35)))</formula>
    </cfRule>
    <cfRule type="containsText" dxfId="397" priority="282" operator="containsText" text="SELL">
      <formula>NOT(ISERROR(SEARCH("SELL",C35)))</formula>
    </cfRule>
    <cfRule type="containsText" dxfId="396" priority="283" operator="containsText" text="BUY">
      <formula>NOT(ISERROR(SEARCH("BUY",C35)))</formula>
    </cfRule>
  </conditionalFormatting>
  <conditionalFormatting sqref="C11">
    <cfRule type="containsText" dxfId="395" priority="278" operator="containsText" text="WAIT">
      <formula>NOT(ISERROR(SEARCH("WAIT",C11)))</formula>
    </cfRule>
    <cfRule type="containsText" dxfId="394" priority="279" operator="containsText" text="SELL">
      <formula>NOT(ISERROR(SEARCH("SELL",C11)))</formula>
    </cfRule>
    <cfRule type="containsText" dxfId="393" priority="280" operator="containsText" text="BUY">
      <formula>NOT(ISERROR(SEARCH("BUY",C11)))</formula>
    </cfRule>
  </conditionalFormatting>
  <conditionalFormatting sqref="C15">
    <cfRule type="containsText" dxfId="392" priority="275" operator="containsText" text="WAIT">
      <formula>NOT(ISERROR(SEARCH("WAIT",C15)))</formula>
    </cfRule>
    <cfRule type="containsText" dxfId="391" priority="276" operator="containsText" text="SELL">
      <formula>NOT(ISERROR(SEARCH("SELL",C15)))</formula>
    </cfRule>
    <cfRule type="containsText" dxfId="390" priority="277" operator="containsText" text="BUY">
      <formula>NOT(ISERROR(SEARCH("BUY",C15)))</formula>
    </cfRule>
  </conditionalFormatting>
  <conditionalFormatting sqref="C20">
    <cfRule type="containsText" dxfId="389" priority="272" operator="containsText" text="WAIT">
      <formula>NOT(ISERROR(SEARCH("WAIT",C20)))</formula>
    </cfRule>
    <cfRule type="containsText" dxfId="388" priority="273" operator="containsText" text="SELL">
      <formula>NOT(ISERROR(SEARCH("SELL",C20)))</formula>
    </cfRule>
    <cfRule type="containsText" dxfId="387" priority="274" operator="containsText" text="BUY">
      <formula>NOT(ISERROR(SEARCH("BUY",C20)))</formula>
    </cfRule>
  </conditionalFormatting>
  <conditionalFormatting sqref="C27">
    <cfRule type="containsText" dxfId="386" priority="269" operator="containsText" text="WAIT">
      <formula>NOT(ISERROR(SEARCH("WAIT",C27)))</formula>
    </cfRule>
    <cfRule type="containsText" dxfId="385" priority="270" operator="containsText" text="SELL">
      <formula>NOT(ISERROR(SEARCH("SELL",C27)))</formula>
    </cfRule>
    <cfRule type="containsText" dxfId="384" priority="271" operator="containsText" text="BUY">
      <formula>NOT(ISERROR(SEARCH("BUY",C27)))</formula>
    </cfRule>
  </conditionalFormatting>
  <conditionalFormatting sqref="C32">
    <cfRule type="containsText" dxfId="383" priority="266" operator="containsText" text="WAIT">
      <formula>NOT(ISERROR(SEARCH("WAIT",C32)))</formula>
    </cfRule>
    <cfRule type="containsText" dxfId="382" priority="267" operator="containsText" text="SELL">
      <formula>NOT(ISERROR(SEARCH("SELL",C32)))</formula>
    </cfRule>
    <cfRule type="containsText" dxfId="381" priority="268" operator="containsText" text="BUY">
      <formula>NOT(ISERROR(SEARCH("BUY",C32)))</formula>
    </cfRule>
  </conditionalFormatting>
  <conditionalFormatting sqref="C36">
    <cfRule type="containsText" dxfId="380" priority="263" operator="containsText" text="WAIT">
      <formula>NOT(ISERROR(SEARCH("WAIT",C36)))</formula>
    </cfRule>
    <cfRule type="containsText" dxfId="379" priority="264" operator="containsText" text="SELL">
      <formula>NOT(ISERROR(SEARCH("SELL",C36)))</formula>
    </cfRule>
    <cfRule type="containsText" dxfId="378" priority="265" operator="containsText" text="BUY">
      <formula>NOT(ISERROR(SEARCH("BUY",C36)))</formula>
    </cfRule>
  </conditionalFormatting>
  <conditionalFormatting sqref="C12">
    <cfRule type="containsText" dxfId="377" priority="260" operator="containsText" text="WAIT">
      <formula>NOT(ISERROR(SEARCH("WAIT",C12)))</formula>
    </cfRule>
    <cfRule type="containsText" dxfId="376" priority="261" operator="containsText" text="SELL">
      <formula>NOT(ISERROR(SEARCH("SELL",C12)))</formula>
    </cfRule>
    <cfRule type="containsText" dxfId="375" priority="262" operator="containsText" text="BUY">
      <formula>NOT(ISERROR(SEARCH("BUY",C12)))</formula>
    </cfRule>
  </conditionalFormatting>
  <conditionalFormatting sqref="C12">
    <cfRule type="colorScale" priority="25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16">
    <cfRule type="containsText" dxfId="374" priority="256" operator="containsText" text="WAIT">
      <formula>NOT(ISERROR(SEARCH("WAIT",C16)))</formula>
    </cfRule>
    <cfRule type="containsText" dxfId="373" priority="257" operator="containsText" text="SELL">
      <formula>NOT(ISERROR(SEARCH("SELL",C16)))</formula>
    </cfRule>
    <cfRule type="containsText" dxfId="372" priority="258" operator="containsText" text="BUY">
      <formula>NOT(ISERROR(SEARCH("BUY",C16)))</formula>
    </cfRule>
  </conditionalFormatting>
  <conditionalFormatting sqref="C16">
    <cfRule type="colorScale" priority="25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17">
    <cfRule type="containsText" dxfId="371" priority="252" operator="containsText" text="WAIT">
      <formula>NOT(ISERROR(SEARCH("WAIT",C17)))</formula>
    </cfRule>
    <cfRule type="containsText" dxfId="370" priority="253" operator="containsText" text="SELL">
      <formula>NOT(ISERROR(SEARCH("SELL",C17)))</formula>
    </cfRule>
    <cfRule type="containsText" dxfId="369" priority="254" operator="containsText" text="BUY">
      <formula>NOT(ISERROR(SEARCH("BUY",C17)))</formula>
    </cfRule>
  </conditionalFormatting>
  <conditionalFormatting sqref="C17">
    <cfRule type="colorScale" priority="25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22">
    <cfRule type="containsText" dxfId="368" priority="248" operator="containsText" text="WAIT">
      <formula>NOT(ISERROR(SEARCH("WAIT",C22)))</formula>
    </cfRule>
    <cfRule type="containsText" dxfId="367" priority="249" operator="containsText" text="SELL">
      <formula>NOT(ISERROR(SEARCH("SELL",C22)))</formula>
    </cfRule>
    <cfRule type="containsText" dxfId="366" priority="250" operator="containsText" text="BUY">
      <formula>NOT(ISERROR(SEARCH("BUY",C22)))</formula>
    </cfRule>
  </conditionalFormatting>
  <conditionalFormatting sqref="C22">
    <cfRule type="colorScale" priority="24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28">
    <cfRule type="containsText" dxfId="365" priority="244" operator="containsText" text="WAIT">
      <formula>NOT(ISERROR(SEARCH("WAIT",C28)))</formula>
    </cfRule>
    <cfRule type="containsText" dxfId="364" priority="245" operator="containsText" text="SELL">
      <formula>NOT(ISERROR(SEARCH("SELL",C28)))</formula>
    </cfRule>
    <cfRule type="containsText" dxfId="363" priority="246" operator="containsText" text="BUY">
      <formula>NOT(ISERROR(SEARCH("BUY",C28)))</formula>
    </cfRule>
  </conditionalFormatting>
  <conditionalFormatting sqref="C28">
    <cfRule type="colorScale" priority="24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33">
    <cfRule type="containsText" dxfId="362" priority="240" operator="containsText" text="WAIT">
      <formula>NOT(ISERROR(SEARCH("WAIT",C33)))</formula>
    </cfRule>
    <cfRule type="containsText" dxfId="361" priority="241" operator="containsText" text="SELL">
      <formula>NOT(ISERROR(SEARCH("SELL",C33)))</formula>
    </cfRule>
    <cfRule type="containsText" dxfId="360" priority="242" operator="containsText" text="BUY">
      <formula>NOT(ISERROR(SEARCH("BUY",C33)))</formula>
    </cfRule>
  </conditionalFormatting>
  <conditionalFormatting sqref="C33">
    <cfRule type="colorScale" priority="23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37">
    <cfRule type="containsText" dxfId="359" priority="236" operator="containsText" text="WAIT">
      <formula>NOT(ISERROR(SEARCH("WAIT",C37)))</formula>
    </cfRule>
    <cfRule type="containsText" dxfId="358" priority="237" operator="containsText" text="SELL">
      <formula>NOT(ISERROR(SEARCH("SELL",C37)))</formula>
    </cfRule>
    <cfRule type="containsText" dxfId="357" priority="238" operator="containsText" text="BUY">
      <formula>NOT(ISERROR(SEARCH("BUY",C37)))</formula>
    </cfRule>
  </conditionalFormatting>
  <conditionalFormatting sqref="C37">
    <cfRule type="colorScale" priority="23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13">
    <cfRule type="containsText" dxfId="356" priority="232" operator="containsText" text="WAIT">
      <formula>NOT(ISERROR(SEARCH("WAIT",C13)))</formula>
    </cfRule>
    <cfRule type="containsText" dxfId="355" priority="233" operator="containsText" text="SELL">
      <formula>NOT(ISERROR(SEARCH("SELL",C13)))</formula>
    </cfRule>
    <cfRule type="containsText" dxfId="354" priority="234" operator="containsText" text="BUY">
      <formula>NOT(ISERROR(SEARCH("BUY",C13)))</formula>
    </cfRule>
  </conditionalFormatting>
  <conditionalFormatting sqref="C13">
    <cfRule type="colorScale" priority="23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34">
    <cfRule type="containsText" dxfId="353" priority="228" operator="containsText" text="WAIT">
      <formula>NOT(ISERROR(SEARCH("WAIT",B34)))</formula>
    </cfRule>
    <cfRule type="containsText" dxfId="352" priority="229" operator="containsText" text="SELL">
      <formula>NOT(ISERROR(SEARCH("SELL",B34)))</formula>
    </cfRule>
    <cfRule type="containsText" dxfId="351" priority="230" operator="containsText" text="BUY">
      <formula>NOT(ISERROR(SEARCH("BUY",B34)))</formula>
    </cfRule>
  </conditionalFormatting>
  <conditionalFormatting sqref="B34">
    <cfRule type="colorScale" priority="22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33">
    <cfRule type="containsText" dxfId="350" priority="224" operator="containsText" text="WAIT">
      <formula>NOT(ISERROR(SEARCH("WAIT",B33)))</formula>
    </cfRule>
    <cfRule type="containsText" dxfId="349" priority="225" operator="containsText" text="SELL">
      <formula>NOT(ISERROR(SEARCH("SELL",B33)))</formula>
    </cfRule>
    <cfRule type="containsText" dxfId="348" priority="226" operator="containsText" text="BUY">
      <formula>NOT(ISERROR(SEARCH("BUY",B33)))</formula>
    </cfRule>
  </conditionalFormatting>
  <conditionalFormatting sqref="B33">
    <cfRule type="colorScale" priority="22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32">
    <cfRule type="containsText" dxfId="347" priority="220" operator="containsText" text="WAIT">
      <formula>NOT(ISERROR(SEARCH("WAIT",B32)))</formula>
    </cfRule>
    <cfRule type="containsText" dxfId="346" priority="221" operator="containsText" text="SELL">
      <formula>NOT(ISERROR(SEARCH("SELL",B32)))</formula>
    </cfRule>
    <cfRule type="containsText" dxfId="345" priority="222" operator="containsText" text="BUY">
      <formula>NOT(ISERROR(SEARCH("BUY",B32)))</formula>
    </cfRule>
  </conditionalFormatting>
  <conditionalFormatting sqref="B32">
    <cfRule type="colorScale" priority="21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31">
    <cfRule type="containsText" dxfId="344" priority="216" operator="containsText" text="WAIT">
      <formula>NOT(ISERROR(SEARCH("WAIT",B31)))</formula>
    </cfRule>
    <cfRule type="containsText" dxfId="343" priority="217" operator="containsText" text="SELL">
      <formula>NOT(ISERROR(SEARCH("SELL",B31)))</formula>
    </cfRule>
    <cfRule type="containsText" dxfId="342" priority="218" operator="containsText" text="BUY">
      <formula>NOT(ISERROR(SEARCH("BUY",B31)))</formula>
    </cfRule>
  </conditionalFormatting>
  <conditionalFormatting sqref="B31">
    <cfRule type="colorScale" priority="21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29">
    <cfRule type="containsText" dxfId="341" priority="212" operator="containsText" text="WAIT">
      <formula>NOT(ISERROR(SEARCH("WAIT",C29)))</formula>
    </cfRule>
    <cfRule type="containsText" dxfId="340" priority="213" operator="containsText" text="SELL">
      <formula>NOT(ISERROR(SEARCH("SELL",C29)))</formula>
    </cfRule>
    <cfRule type="containsText" dxfId="339" priority="214" operator="containsText" text="BUY">
      <formula>NOT(ISERROR(SEARCH("BUY",C29)))</formula>
    </cfRule>
  </conditionalFormatting>
  <conditionalFormatting sqref="C29">
    <cfRule type="colorScale" priority="21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23">
    <cfRule type="containsText" dxfId="338" priority="208" operator="containsText" text="WAIT">
      <formula>NOT(ISERROR(SEARCH("WAIT",C23)))</formula>
    </cfRule>
    <cfRule type="containsText" dxfId="337" priority="209" operator="containsText" text="SELL">
      <formula>NOT(ISERROR(SEARCH("SELL",C23)))</formula>
    </cfRule>
    <cfRule type="containsText" dxfId="336" priority="210" operator="containsText" text="BUY">
      <formula>NOT(ISERROR(SEARCH("BUY",C23)))</formula>
    </cfRule>
  </conditionalFormatting>
  <conditionalFormatting sqref="C23">
    <cfRule type="colorScale" priority="20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34">
    <cfRule type="containsText" dxfId="335" priority="204" operator="containsText" text="WAIT">
      <formula>NOT(ISERROR(SEARCH("WAIT",C34)))</formula>
    </cfRule>
    <cfRule type="containsText" dxfId="334" priority="205" operator="containsText" text="SELL">
      <formula>NOT(ISERROR(SEARCH("SELL",C34)))</formula>
    </cfRule>
    <cfRule type="containsText" dxfId="333" priority="206" operator="containsText" text="BUY">
      <formula>NOT(ISERROR(SEARCH("BUY",C34)))</formula>
    </cfRule>
  </conditionalFormatting>
  <conditionalFormatting sqref="C34">
    <cfRule type="colorScale" priority="20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35">
    <cfRule type="containsText" dxfId="332" priority="200" operator="containsText" text="WAIT">
      <formula>NOT(ISERROR(SEARCH("WAIT",B35)))</formula>
    </cfRule>
    <cfRule type="containsText" dxfId="331" priority="201" operator="containsText" text="SELL">
      <formula>NOT(ISERROR(SEARCH("SELL",B35)))</formula>
    </cfRule>
    <cfRule type="containsText" dxfId="330" priority="202" operator="containsText" text="BUY">
      <formula>NOT(ISERROR(SEARCH("BUY",B35)))</formula>
    </cfRule>
  </conditionalFormatting>
  <conditionalFormatting sqref="B35">
    <cfRule type="colorScale" priority="19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36">
    <cfRule type="containsText" dxfId="329" priority="196" operator="containsText" text="WAIT">
      <formula>NOT(ISERROR(SEARCH("WAIT",B36)))</formula>
    </cfRule>
    <cfRule type="containsText" dxfId="328" priority="197" operator="containsText" text="SELL">
      <formula>NOT(ISERROR(SEARCH("SELL",B36)))</formula>
    </cfRule>
    <cfRule type="containsText" dxfId="327" priority="198" operator="containsText" text="BUY">
      <formula>NOT(ISERROR(SEARCH("BUY",B36)))</formula>
    </cfRule>
  </conditionalFormatting>
  <conditionalFormatting sqref="B36">
    <cfRule type="colorScale" priority="195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37">
    <cfRule type="containsText" dxfId="326" priority="192" operator="containsText" text="WAIT">
      <formula>NOT(ISERROR(SEARCH("WAIT",B37)))</formula>
    </cfRule>
    <cfRule type="containsText" dxfId="325" priority="193" operator="containsText" text="SELL">
      <formula>NOT(ISERROR(SEARCH("SELL",B37)))</formula>
    </cfRule>
    <cfRule type="containsText" dxfId="324" priority="194" operator="containsText" text="BUY">
      <formula>NOT(ISERROR(SEARCH("BUY",B37)))</formula>
    </cfRule>
  </conditionalFormatting>
  <conditionalFormatting sqref="B37">
    <cfRule type="colorScale" priority="191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30">
    <cfRule type="containsText" dxfId="323" priority="188" operator="containsText" text="WAIT">
      <formula>NOT(ISERROR(SEARCH("WAIT",C30)))</formula>
    </cfRule>
    <cfRule type="containsText" dxfId="322" priority="189" operator="containsText" text="SELL">
      <formula>NOT(ISERROR(SEARCH("SELL",C30)))</formula>
    </cfRule>
    <cfRule type="containsText" dxfId="321" priority="190" operator="containsText" text="BUY">
      <formula>NOT(ISERROR(SEARCH("BUY",C30)))</formula>
    </cfRule>
  </conditionalFormatting>
  <conditionalFormatting sqref="C30">
    <cfRule type="colorScale" priority="187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24">
    <cfRule type="containsText" dxfId="320" priority="184" operator="containsText" text="WAIT">
      <formula>NOT(ISERROR(SEARCH("WAIT",C24)))</formula>
    </cfRule>
    <cfRule type="containsText" dxfId="319" priority="185" operator="containsText" text="SELL">
      <formula>NOT(ISERROR(SEARCH("SELL",C24)))</formula>
    </cfRule>
    <cfRule type="containsText" dxfId="318" priority="186" operator="containsText" text="BUY">
      <formula>NOT(ISERROR(SEARCH("BUY",C24)))</formula>
    </cfRule>
  </conditionalFormatting>
  <conditionalFormatting sqref="C24">
    <cfRule type="colorScale" priority="183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C14">
    <cfRule type="containsText" dxfId="317" priority="180" operator="containsText" text="WAIT">
      <formula>NOT(ISERROR(SEARCH("WAIT",C14)))</formula>
    </cfRule>
    <cfRule type="containsText" dxfId="316" priority="181" operator="containsText" text="SELL">
      <formula>NOT(ISERROR(SEARCH("SELL",C14)))</formula>
    </cfRule>
    <cfRule type="containsText" dxfId="315" priority="182" operator="containsText" text="BUY">
      <formula>NOT(ISERROR(SEARCH("BUY",C14)))</formula>
    </cfRule>
  </conditionalFormatting>
  <conditionalFormatting sqref="C14">
    <cfRule type="colorScale" priority="179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17">
    <cfRule type="containsText" dxfId="314" priority="176" operator="containsText" text="WAIT">
      <formula>NOT(ISERROR(SEARCH("WAIT",B17)))</formula>
    </cfRule>
    <cfRule type="containsText" dxfId="313" priority="177" operator="containsText" text="SELL">
      <formula>NOT(ISERROR(SEARCH("SELL",B17)))</formula>
    </cfRule>
    <cfRule type="containsText" dxfId="312" priority="178" operator="containsText" text="BUY">
      <formula>NOT(ISERROR(SEARCH("BUY",B17)))</formula>
    </cfRule>
  </conditionalFormatting>
  <conditionalFormatting sqref="C21">
    <cfRule type="containsText" dxfId="311" priority="173" operator="containsText" text="WAIT">
      <formula>NOT(ISERROR(SEARCH("WAIT",C21)))</formula>
    </cfRule>
    <cfRule type="containsText" dxfId="310" priority="174" operator="containsText" text="SELL">
      <formula>NOT(ISERROR(SEARCH("SELL",C21)))</formula>
    </cfRule>
    <cfRule type="containsText" dxfId="309" priority="175" operator="containsText" text="BUY">
      <formula>NOT(ISERROR(SEARCH("BUY",C21)))</formula>
    </cfRule>
  </conditionalFormatting>
  <conditionalFormatting sqref="C21">
    <cfRule type="colorScale" priority="172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30">
    <cfRule type="containsText" dxfId="308" priority="169" operator="containsText" text="WAIT">
      <formula>NOT(ISERROR(SEARCH("WAIT",B30)))</formula>
    </cfRule>
    <cfRule type="containsText" dxfId="307" priority="170" operator="containsText" text="SELL">
      <formula>NOT(ISERROR(SEARCH("SELL",B30)))</formula>
    </cfRule>
    <cfRule type="containsText" dxfId="306" priority="171" operator="containsText" text="BUY">
      <formula>NOT(ISERROR(SEARCH("BUY",B30)))</formula>
    </cfRule>
  </conditionalFormatting>
  <conditionalFormatting sqref="B30">
    <cfRule type="colorScale" priority="168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29">
    <cfRule type="containsText" dxfId="305" priority="165" operator="containsText" text="WAIT">
      <formula>NOT(ISERROR(SEARCH("WAIT",B29)))</formula>
    </cfRule>
    <cfRule type="containsText" dxfId="304" priority="166" operator="containsText" text="SELL">
      <formula>NOT(ISERROR(SEARCH("SELL",B29)))</formula>
    </cfRule>
    <cfRule type="containsText" dxfId="303" priority="167" operator="containsText" text="BUY">
      <formula>NOT(ISERROR(SEARCH("BUY",B29)))</formula>
    </cfRule>
  </conditionalFormatting>
  <conditionalFormatting sqref="B29">
    <cfRule type="colorScale" priority="164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28">
    <cfRule type="containsText" dxfId="302" priority="161" operator="containsText" text="WAIT">
      <formula>NOT(ISERROR(SEARCH("WAIT",B28)))</formula>
    </cfRule>
    <cfRule type="containsText" dxfId="301" priority="162" operator="containsText" text="SELL">
      <formula>NOT(ISERROR(SEARCH("SELL",B28)))</formula>
    </cfRule>
    <cfRule type="containsText" dxfId="300" priority="163" operator="containsText" text="BUY">
      <formula>NOT(ISERROR(SEARCH("BUY",B28)))</formula>
    </cfRule>
  </conditionalFormatting>
  <conditionalFormatting sqref="B28">
    <cfRule type="colorScale" priority="160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27">
    <cfRule type="containsText" dxfId="299" priority="157" operator="containsText" text="WAIT">
      <formula>NOT(ISERROR(SEARCH("WAIT",B27)))</formula>
    </cfRule>
    <cfRule type="containsText" dxfId="298" priority="158" operator="containsText" text="SELL">
      <formula>NOT(ISERROR(SEARCH("SELL",B27)))</formula>
    </cfRule>
    <cfRule type="containsText" dxfId="297" priority="159" operator="containsText" text="BUY">
      <formula>NOT(ISERROR(SEARCH("BUY",B27)))</formula>
    </cfRule>
  </conditionalFormatting>
  <conditionalFormatting sqref="B27">
    <cfRule type="colorScale" priority="156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26">
    <cfRule type="containsText" dxfId="296" priority="153" operator="containsText" text="WAIT">
      <formula>NOT(ISERROR(SEARCH("WAIT",B26)))</formula>
    </cfRule>
    <cfRule type="containsText" dxfId="295" priority="154" operator="containsText" text="SELL">
      <formula>NOT(ISERROR(SEARCH("SELL",B26)))</formula>
    </cfRule>
    <cfRule type="containsText" dxfId="294" priority="155" operator="containsText" text="BUY">
      <formula>NOT(ISERROR(SEARCH("BUY",B26)))</formula>
    </cfRule>
  </conditionalFormatting>
  <conditionalFormatting sqref="B26">
    <cfRule type="colorScale" priority="152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25">
    <cfRule type="containsText" dxfId="293" priority="149" operator="containsText" text="WAIT">
      <formula>NOT(ISERROR(SEARCH("WAIT",B25)))</formula>
    </cfRule>
    <cfRule type="containsText" dxfId="292" priority="150" operator="containsText" text="SELL">
      <formula>NOT(ISERROR(SEARCH("SELL",B25)))</formula>
    </cfRule>
    <cfRule type="containsText" dxfId="291" priority="151" operator="containsText" text="BUY">
      <formula>NOT(ISERROR(SEARCH("BUY",B25)))</formula>
    </cfRule>
  </conditionalFormatting>
  <conditionalFormatting sqref="B25">
    <cfRule type="colorScale" priority="148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18">
    <cfRule type="containsText" dxfId="290" priority="145" operator="containsText" text="WAIT">
      <formula>NOT(ISERROR(SEARCH("WAIT",B18)))</formula>
    </cfRule>
    <cfRule type="containsText" dxfId="289" priority="146" operator="containsText" text="SELL">
      <formula>NOT(ISERROR(SEARCH("SELL",B18)))</formula>
    </cfRule>
    <cfRule type="containsText" dxfId="288" priority="147" operator="containsText" text="BUY">
      <formula>NOT(ISERROR(SEARCH("BUY",B18)))</formula>
    </cfRule>
  </conditionalFormatting>
  <conditionalFormatting sqref="B18">
    <cfRule type="colorScale" priority="144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19">
    <cfRule type="containsText" dxfId="287" priority="141" operator="containsText" text="WAIT">
      <formula>NOT(ISERROR(SEARCH("WAIT",B19)))</formula>
    </cfRule>
    <cfRule type="containsText" dxfId="286" priority="142" operator="containsText" text="SELL">
      <formula>NOT(ISERROR(SEARCH("SELL",B19)))</formula>
    </cfRule>
    <cfRule type="containsText" dxfId="285" priority="143" operator="containsText" text="BUY">
      <formula>NOT(ISERROR(SEARCH("BUY",B19)))</formula>
    </cfRule>
  </conditionalFormatting>
  <conditionalFormatting sqref="B19">
    <cfRule type="colorScale" priority="140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20">
    <cfRule type="containsText" dxfId="284" priority="137" operator="containsText" text="WAIT">
      <formula>NOT(ISERROR(SEARCH("WAIT",B20)))</formula>
    </cfRule>
    <cfRule type="containsText" dxfId="283" priority="138" operator="containsText" text="SELL">
      <formula>NOT(ISERROR(SEARCH("SELL",B20)))</formula>
    </cfRule>
    <cfRule type="containsText" dxfId="282" priority="139" operator="containsText" text="BUY">
      <formula>NOT(ISERROR(SEARCH("BUY",B20)))</formula>
    </cfRule>
  </conditionalFormatting>
  <conditionalFormatting sqref="B20">
    <cfRule type="colorScale" priority="136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21">
    <cfRule type="containsText" dxfId="281" priority="133" operator="containsText" text="WAIT">
      <formula>NOT(ISERROR(SEARCH("WAIT",B21)))</formula>
    </cfRule>
    <cfRule type="containsText" dxfId="280" priority="134" operator="containsText" text="SELL">
      <formula>NOT(ISERROR(SEARCH("SELL",B21)))</formula>
    </cfRule>
    <cfRule type="containsText" dxfId="279" priority="135" operator="containsText" text="BUY">
      <formula>NOT(ISERROR(SEARCH("BUY",B21)))</formula>
    </cfRule>
  </conditionalFormatting>
  <conditionalFormatting sqref="B21">
    <cfRule type="colorScale" priority="132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22">
    <cfRule type="containsText" dxfId="278" priority="129" operator="containsText" text="WAIT">
      <formula>NOT(ISERROR(SEARCH("WAIT",B22)))</formula>
    </cfRule>
    <cfRule type="containsText" dxfId="277" priority="130" operator="containsText" text="SELL">
      <formula>NOT(ISERROR(SEARCH("SELL",B22)))</formula>
    </cfRule>
    <cfRule type="containsText" dxfId="276" priority="131" operator="containsText" text="BUY">
      <formula>NOT(ISERROR(SEARCH("BUY",B22)))</formula>
    </cfRule>
  </conditionalFormatting>
  <conditionalFormatting sqref="B22">
    <cfRule type="colorScale" priority="128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23">
    <cfRule type="containsText" dxfId="275" priority="125" operator="containsText" text="WAIT">
      <formula>NOT(ISERROR(SEARCH("WAIT",B23)))</formula>
    </cfRule>
    <cfRule type="containsText" dxfId="274" priority="126" operator="containsText" text="SELL">
      <formula>NOT(ISERROR(SEARCH("SELL",B23)))</formula>
    </cfRule>
    <cfRule type="containsText" dxfId="273" priority="127" operator="containsText" text="BUY">
      <formula>NOT(ISERROR(SEARCH("BUY",B23)))</formula>
    </cfRule>
  </conditionalFormatting>
  <conditionalFormatting sqref="B23">
    <cfRule type="colorScale" priority="124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B24">
    <cfRule type="containsText" dxfId="272" priority="121" operator="containsText" text="WAIT">
      <formula>NOT(ISERROR(SEARCH("WAIT",B24)))</formula>
    </cfRule>
    <cfRule type="containsText" dxfId="271" priority="122" operator="containsText" text="SELL">
      <formula>NOT(ISERROR(SEARCH("SELL",B24)))</formula>
    </cfRule>
    <cfRule type="containsText" dxfId="270" priority="123" operator="containsText" text="BUY">
      <formula>NOT(ISERROR(SEARCH("BUY",B24)))</formula>
    </cfRule>
  </conditionalFormatting>
  <conditionalFormatting sqref="B24">
    <cfRule type="colorScale" priority="120">
      <colorScale>
        <cfvo type="min" val="0"/>
        <cfvo type="percentile" val="50"/>
        <cfvo type="max" val="0"/>
        <color rgb="FFC00000"/>
        <color rgb="FFFFEB84"/>
        <color rgb="FF00B050"/>
      </colorScale>
    </cfRule>
  </conditionalFormatting>
  <conditionalFormatting sqref="K10:K37">
    <cfRule type="iconSet" priority="107">
      <iconSet iconSet="4Arrows">
        <cfvo type="percent" val="0"/>
        <cfvo type="percent" val="25"/>
        <cfvo type="percent" val="50"/>
        <cfvo type="percent" val="75"/>
      </iconSet>
    </cfRule>
    <cfRule type="iconSet" priority="108">
      <iconSet iconSet="3Arrows">
        <cfvo type="percent" val="0"/>
        <cfvo type="formula" val="$N$48"/>
        <cfvo type="formula" val="$M$48"/>
      </iconSet>
    </cfRule>
    <cfRule type="colorScale" priority="117">
      <colorScale>
        <cfvo type="min" val="0"/>
        <cfvo type="percentile" val="50"/>
        <cfvo type="max" val="0"/>
        <color rgb="FFFF0000"/>
        <color rgb="FFFFEB84"/>
        <color rgb="FF00B050"/>
      </colorScale>
    </cfRule>
    <cfRule type="colorScale" priority="118">
      <colorScale>
        <cfvo type="formula" val="$N$48"/>
        <cfvo type="formula" val="0"/>
        <cfvo type="formula" val="$M$48"/>
        <color rgb="FFFF0000"/>
        <color rgb="FFFFEB84"/>
        <color rgb="FF0070C0"/>
      </colorScale>
    </cfRule>
  </conditionalFormatting>
  <conditionalFormatting sqref="L10:L37">
    <cfRule type="iconSet" priority="106">
      <iconSet iconSet="4Arrows">
        <cfvo type="percent" val="0"/>
        <cfvo type="percent" val="25"/>
        <cfvo type="percent" val="50"/>
        <cfvo type="percent" val="75"/>
      </iconSet>
    </cfRule>
    <cfRule type="colorScale" priority="109">
      <colorScale>
        <cfvo type="min" val="0"/>
        <cfvo type="percentile" val="50"/>
        <cfvo type="max" val="0"/>
        <color rgb="FFFF0000"/>
        <color rgb="FFFFEB84"/>
        <color rgb="FF00B050"/>
      </colorScale>
    </cfRule>
    <cfRule type="iconSet" priority="110">
      <iconSet iconSet="3Arrows">
        <cfvo type="percent" val="0"/>
        <cfvo type="formula" val="-$V$47+0.01"/>
        <cfvo type="formula" val="$V$47"/>
      </iconSet>
    </cfRule>
    <cfRule type="colorScale" priority="111">
      <colorScale>
        <cfvo type="formula" val="-$V$47+0.01"/>
        <cfvo type="num" val="0"/>
        <cfvo type="formula" val="$V$47"/>
        <color rgb="FFFF0000"/>
        <color rgb="FFFFEB84"/>
        <color rgb="FF0070C0"/>
      </colorScale>
    </cfRule>
  </conditionalFormatting>
  <conditionalFormatting sqref="M10:M37">
    <cfRule type="iconSet" priority="102">
      <iconSet iconSet="4Arrows">
        <cfvo type="percent" val="0"/>
        <cfvo type="percent" val="25"/>
        <cfvo type="percent" val="50"/>
        <cfvo type="percent" val="75"/>
      </iconSet>
    </cfRule>
    <cfRule type="colorScale" priority="103">
      <colorScale>
        <cfvo type="min" val="0"/>
        <cfvo type="percentile" val="50"/>
        <cfvo type="max" val="0"/>
        <color rgb="FFFF0000"/>
        <color rgb="FFFFEB84"/>
        <color rgb="FF00B050"/>
      </colorScale>
    </cfRule>
    <cfRule type="iconSet" priority="104">
      <iconSet iconSet="3Arrows">
        <cfvo type="percent" val="0"/>
        <cfvo type="formula" val="-$V$45+0.01"/>
        <cfvo type="formula" val="$V$45"/>
      </iconSet>
    </cfRule>
    <cfRule type="colorScale" priority="105">
      <colorScale>
        <cfvo type="formula" val="-$V$45+0.01"/>
        <cfvo type="formula" val="0"/>
        <cfvo type="formula" val="$V$45"/>
        <color rgb="FFFF0000"/>
        <color rgb="FFFFEB84"/>
        <color rgb="FF0070C0"/>
      </colorScale>
    </cfRule>
  </conditionalFormatting>
  <conditionalFormatting sqref="N10:N37">
    <cfRule type="iconSet" priority="96">
      <iconSet iconSet="4Arrows">
        <cfvo type="percent" val="0"/>
        <cfvo type="percent" val="25"/>
        <cfvo type="percent" val="50"/>
        <cfvo type="percent" val="75"/>
      </iconSet>
    </cfRule>
    <cfRule type="colorScale" priority="97">
      <colorScale>
        <cfvo type="min" val="0"/>
        <cfvo type="percentile" val="50"/>
        <cfvo type="max" val="0"/>
        <color rgb="FFFF0000"/>
        <color rgb="FFFFEB84"/>
        <color rgb="FF00B050"/>
      </colorScale>
    </cfRule>
    <cfRule type="iconSet" priority="100">
      <iconSet iconSet="3Arrows">
        <cfvo type="percent" val="0"/>
        <cfvo type="formula" val="$N$45"/>
        <cfvo type="formula" val="$M$45"/>
      </iconSet>
    </cfRule>
    <cfRule type="colorScale" priority="101">
      <colorScale>
        <cfvo type="formula" val="$N$45"/>
        <cfvo type="formula" val="0"/>
        <cfvo type="formula" val="$M$45"/>
        <color rgb="FFFF0000"/>
        <color rgb="FFFFEB84"/>
        <color rgb="FF0070C0"/>
      </colorScale>
    </cfRule>
  </conditionalFormatting>
  <conditionalFormatting sqref="N10:N37">
    <cfRule type="iconSet" priority="98">
      <iconSet iconSet="3Arrows">
        <cfvo type="percent" val="0"/>
        <cfvo type="num" val="-0.25"/>
        <cfvo type="num" val="0.25"/>
      </iconSet>
    </cfRule>
    <cfRule type="colorScale" priority="99">
      <colorScale>
        <cfvo type="min" val="0"/>
        <cfvo type="max" val="0"/>
        <color rgb="FFFF0000"/>
        <color rgb="FF0070C0"/>
      </colorScale>
    </cfRule>
  </conditionalFormatting>
  <conditionalFormatting sqref="J10:J37">
    <cfRule type="colorScale" priority="93">
      <colorScale>
        <cfvo type="min" val="0"/>
        <cfvo type="percentile" val="50"/>
        <cfvo type="max" val="0"/>
        <color rgb="FFFF0000"/>
        <color rgb="FFFFEB84"/>
        <color rgb="FF00B050"/>
      </colorScale>
    </cfRule>
    <cfRule type="colorScale" priority="95">
      <colorScale>
        <cfvo type="formula" val="-$V$45+0.01"/>
        <cfvo type="formula" val="0"/>
        <cfvo type="formula" val="$V$45"/>
        <color rgb="FFFF0000"/>
        <color rgb="FFFFEB84"/>
        <color rgb="FF0070C0"/>
      </colorScale>
    </cfRule>
  </conditionalFormatting>
  <conditionalFormatting sqref="I10:I37">
    <cfRule type="iconSet" priority="88">
      <iconSet iconSet="4Arrows">
        <cfvo type="percent" val="0"/>
        <cfvo type="percent" val="25"/>
        <cfvo type="percent" val="50"/>
        <cfvo type="percent" val="75"/>
      </iconSet>
    </cfRule>
    <cfRule type="colorScale" priority="89">
      <colorScale>
        <cfvo type="min" val="0"/>
        <cfvo type="percentile" val="50"/>
        <cfvo type="max" val="0"/>
        <color rgb="FFFF0000"/>
        <color rgb="FFFFEB84"/>
        <color rgb="FF00B050"/>
      </colorScale>
    </cfRule>
    <cfRule type="iconSet" priority="90">
      <iconSet iconSet="3Arrows">
        <cfvo type="percent" val="0"/>
        <cfvo type="formula" val="-$V$45+0.01"/>
        <cfvo type="formula" val="$V$45"/>
      </iconSet>
    </cfRule>
    <cfRule type="colorScale" priority="91">
      <colorScale>
        <cfvo type="formula" val="-$V$45+0.01"/>
        <cfvo type="formula" val="0"/>
        <cfvo type="formula" val="$V$45"/>
        <color rgb="FFFF0000"/>
        <color rgb="FFFFEB84"/>
        <color rgb="FF0070C0"/>
      </colorScale>
    </cfRule>
  </conditionalFormatting>
  <conditionalFormatting sqref="S13:Z13">
    <cfRule type="colorScale" priority="8">
      <colorScale>
        <cfvo type="min" val="0"/>
        <cfvo type="percentile" val="50"/>
        <cfvo type="max" val="0"/>
        <color rgb="FFFF0000"/>
        <color rgb="FFFFEB84"/>
        <color rgb="FF0070C0"/>
      </colorScale>
    </cfRule>
  </conditionalFormatting>
  <conditionalFormatting sqref="S42:Z42">
    <cfRule type="colorScale" priority="6">
      <colorScale>
        <cfvo type="min" val="0"/>
        <cfvo type="percentile" val="50"/>
        <cfvo type="max" val="0"/>
        <color rgb="FFFF0000"/>
        <color rgb="FFFFEB84"/>
        <color rgb="FF0070C0"/>
      </colorScale>
    </cfRule>
  </conditionalFormatting>
  <conditionalFormatting sqref="S39:Z39">
    <cfRule type="colorScale" priority="5">
      <colorScale>
        <cfvo type="min" val="0"/>
        <cfvo type="percentile" val="50"/>
        <cfvo type="max" val="0"/>
        <color rgb="FFFF0000"/>
        <color rgb="FFFFEB84"/>
        <color rgb="FF0070C0"/>
      </colorScale>
    </cfRule>
  </conditionalFormatting>
  <conditionalFormatting sqref="S40:Z40">
    <cfRule type="colorScale" priority="4">
      <colorScale>
        <cfvo type="min" val="0"/>
        <cfvo type="percentile" val="50"/>
        <cfvo type="max" val="0"/>
        <color rgb="FFFF0000"/>
        <color rgb="FFFFEB84"/>
        <color rgb="FF0070C0"/>
      </colorScale>
    </cfRule>
  </conditionalFormatting>
  <conditionalFormatting sqref="S41:Z41">
    <cfRule type="colorScale" priority="3">
      <colorScale>
        <cfvo type="min" val="0"/>
        <cfvo type="percentile" val="50"/>
        <cfvo type="max" val="0"/>
        <color rgb="FFFF0000"/>
        <color rgb="FFFFEB84"/>
        <color rgb="FF0070C0"/>
      </colorScale>
    </cfRule>
  </conditionalFormatting>
  <conditionalFormatting sqref="S43:Z43">
    <cfRule type="colorScale" priority="1">
      <colorScale>
        <cfvo type="min" val="0"/>
        <cfvo type="percentile" val="50"/>
        <cfvo type="max" val="0"/>
        <color rgb="FFFF0000"/>
        <color rgb="FFFFEB84"/>
        <color rgb="FF0070C0"/>
      </colorScale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4"/>
  <dimension ref="A1:I52"/>
  <sheetViews>
    <sheetView showRowColHeaders="0" workbookViewId="0">
      <selection activeCell="B10" sqref="B10"/>
    </sheetView>
  </sheetViews>
  <sheetFormatPr defaultRowHeight="15"/>
  <cols>
    <col min="1" max="1" width="15.5703125" bestFit="1" customWidth="1"/>
    <col min="2" max="2" width="23.85546875" bestFit="1" customWidth="1"/>
    <col min="3" max="3" width="18.85546875" bestFit="1" customWidth="1"/>
    <col min="4" max="4" width="12.7109375" bestFit="1" customWidth="1"/>
    <col min="5" max="5" width="10.42578125" bestFit="1" customWidth="1"/>
    <col min="6" max="6" width="9.7109375" bestFit="1" customWidth="1"/>
    <col min="7" max="7" width="15.5703125" bestFit="1" customWidth="1"/>
    <col min="8" max="8" width="14" bestFit="1" customWidth="1"/>
    <col min="9" max="9" width="15.42578125" bestFit="1" customWidth="1"/>
  </cols>
  <sheetData>
    <row r="1" spans="1:9">
      <c r="A1" t="s">
        <v>213</v>
      </c>
      <c r="B1" t="s">
        <v>214</v>
      </c>
      <c r="C1" t="s">
        <v>215</v>
      </c>
      <c r="D1" t="s">
        <v>216</v>
      </c>
      <c r="E1" t="s">
        <v>217</v>
      </c>
      <c r="F1" t="s">
        <v>218</v>
      </c>
      <c r="G1" t="s">
        <v>219</v>
      </c>
      <c r="H1" t="s">
        <v>220</v>
      </c>
      <c r="I1" t="s">
        <v>221</v>
      </c>
    </row>
    <row r="2" spans="1:9">
      <c r="A2" t="s">
        <v>259</v>
      </c>
      <c r="B2" t="s">
        <v>225</v>
      </c>
      <c r="C2">
        <v>5678765</v>
      </c>
      <c r="D2" t="s">
        <v>25</v>
      </c>
      <c r="E2" t="s">
        <v>199</v>
      </c>
      <c r="F2">
        <v>0.01</v>
      </c>
      <c r="G2">
        <v>0.70659000000000005</v>
      </c>
      <c r="H2">
        <v>0.71131</v>
      </c>
      <c r="I2">
        <v>0.70540999999999998</v>
      </c>
    </row>
    <row r="3" spans="1:9">
      <c r="A3" t="s">
        <v>263</v>
      </c>
      <c r="B3" t="s">
        <v>258</v>
      </c>
      <c r="C3">
        <v>9991</v>
      </c>
      <c r="D3" t="s">
        <v>25</v>
      </c>
      <c r="E3" t="s">
        <v>199</v>
      </c>
      <c r="F3">
        <v>0.02</v>
      </c>
      <c r="G3">
        <v>0.70694999999999997</v>
      </c>
      <c r="H3">
        <v>0</v>
      </c>
      <c r="I3">
        <v>0</v>
      </c>
    </row>
    <row r="4" spans="1:9">
      <c r="A4" t="s">
        <v>223</v>
      </c>
      <c r="B4" t="s">
        <v>195</v>
      </c>
      <c r="C4">
        <v>9998</v>
      </c>
      <c r="D4" t="s">
        <v>12</v>
      </c>
      <c r="E4" t="s">
        <v>194</v>
      </c>
      <c r="F4">
        <v>0.01</v>
      </c>
      <c r="G4">
        <v>88.796000000000006</v>
      </c>
      <c r="H4">
        <v>0</v>
      </c>
      <c r="I4">
        <v>0</v>
      </c>
    </row>
    <row r="5" spans="1:9">
      <c r="A5" t="s">
        <v>253</v>
      </c>
      <c r="B5" t="s">
        <v>251</v>
      </c>
      <c r="C5">
        <v>9991</v>
      </c>
      <c r="D5" t="s">
        <v>12</v>
      </c>
      <c r="E5" t="s">
        <v>199</v>
      </c>
      <c r="F5">
        <v>0.02</v>
      </c>
      <c r="G5">
        <v>87.207999999999998</v>
      </c>
      <c r="H5">
        <v>0</v>
      </c>
      <c r="I5">
        <v>0</v>
      </c>
    </row>
    <row r="6" spans="1:9">
      <c r="A6" t="s">
        <v>256</v>
      </c>
      <c r="B6" t="s">
        <v>255</v>
      </c>
      <c r="C6">
        <v>9991</v>
      </c>
      <c r="D6" t="s">
        <v>12</v>
      </c>
      <c r="E6" t="s">
        <v>199</v>
      </c>
      <c r="F6">
        <v>0.02</v>
      </c>
      <c r="G6">
        <v>87.263999999999996</v>
      </c>
      <c r="H6">
        <v>0</v>
      </c>
      <c r="I6">
        <v>0</v>
      </c>
    </row>
    <row r="7" spans="1:9">
      <c r="A7" t="s">
        <v>263</v>
      </c>
      <c r="B7" t="s">
        <v>257</v>
      </c>
      <c r="C7">
        <v>9991</v>
      </c>
      <c r="D7" t="s">
        <v>12</v>
      </c>
      <c r="E7" t="s">
        <v>199</v>
      </c>
      <c r="F7">
        <v>0.02</v>
      </c>
      <c r="G7">
        <v>86.861000000000004</v>
      </c>
      <c r="H7">
        <v>0</v>
      </c>
      <c r="I7">
        <v>0</v>
      </c>
    </row>
    <row r="8" spans="1:9">
      <c r="A8" t="s">
        <v>271</v>
      </c>
      <c r="B8" t="s">
        <v>270</v>
      </c>
      <c r="C8">
        <v>9991</v>
      </c>
      <c r="D8" t="s">
        <v>12</v>
      </c>
      <c r="E8" t="s">
        <v>199</v>
      </c>
      <c r="F8">
        <v>0.02</v>
      </c>
      <c r="G8">
        <v>86.888000000000005</v>
      </c>
      <c r="H8">
        <v>0</v>
      </c>
      <c r="I8">
        <v>0</v>
      </c>
    </row>
    <row r="9" spans="1:9">
      <c r="A9" t="s">
        <v>243</v>
      </c>
      <c r="B9" t="s">
        <v>206</v>
      </c>
      <c r="C9">
        <v>9991</v>
      </c>
      <c r="D9" t="s">
        <v>22</v>
      </c>
      <c r="E9" t="s">
        <v>199</v>
      </c>
      <c r="F9">
        <v>0.02</v>
      </c>
      <c r="G9">
        <v>1.0752999999999999</v>
      </c>
      <c r="H9">
        <v>0</v>
      </c>
      <c r="I9">
        <v>0</v>
      </c>
    </row>
    <row r="10" spans="1:9">
      <c r="A10" t="s">
        <v>246</v>
      </c>
      <c r="B10" t="s">
        <v>210</v>
      </c>
      <c r="C10">
        <v>9991</v>
      </c>
      <c r="D10" t="s">
        <v>22</v>
      </c>
      <c r="E10" t="s">
        <v>199</v>
      </c>
      <c r="F10">
        <v>0.02</v>
      </c>
      <c r="G10">
        <v>1.0749200000000001</v>
      </c>
      <c r="H10">
        <v>0</v>
      </c>
      <c r="I10">
        <v>0</v>
      </c>
    </row>
    <row r="11" spans="1:9">
      <c r="A11" t="s">
        <v>224</v>
      </c>
      <c r="B11" t="s">
        <v>196</v>
      </c>
      <c r="C11">
        <v>9999</v>
      </c>
      <c r="D11" t="s">
        <v>14</v>
      </c>
      <c r="E11" t="s">
        <v>194</v>
      </c>
      <c r="F11">
        <v>0.01</v>
      </c>
      <c r="G11">
        <v>0.73060000000000003</v>
      </c>
      <c r="H11">
        <v>0</v>
      </c>
      <c r="I11">
        <v>0</v>
      </c>
    </row>
    <row r="12" spans="1:9">
      <c r="A12" t="s">
        <v>226</v>
      </c>
      <c r="B12" t="s">
        <v>203</v>
      </c>
      <c r="C12">
        <v>9991</v>
      </c>
      <c r="D12" t="s">
        <v>14</v>
      </c>
      <c r="E12" t="s">
        <v>199</v>
      </c>
      <c r="F12">
        <v>0.02</v>
      </c>
      <c r="G12">
        <v>0.72667000000000004</v>
      </c>
      <c r="H12">
        <v>0</v>
      </c>
      <c r="I12">
        <v>0</v>
      </c>
    </row>
    <row r="13" spans="1:9">
      <c r="A13" t="s">
        <v>245</v>
      </c>
      <c r="B13" t="s">
        <v>208</v>
      </c>
      <c r="C13">
        <v>9991</v>
      </c>
      <c r="D13" t="s">
        <v>14</v>
      </c>
      <c r="E13" t="s">
        <v>199</v>
      </c>
      <c r="F13">
        <v>0.02</v>
      </c>
      <c r="G13">
        <v>0.72629999999999995</v>
      </c>
      <c r="H13">
        <v>0</v>
      </c>
      <c r="I13">
        <v>0</v>
      </c>
    </row>
    <row r="14" spans="1:9">
      <c r="A14" t="s">
        <v>246</v>
      </c>
      <c r="B14" t="s">
        <v>211</v>
      </c>
      <c r="C14">
        <v>9991</v>
      </c>
      <c r="D14" t="s">
        <v>14</v>
      </c>
      <c r="E14" t="s">
        <v>199</v>
      </c>
      <c r="F14">
        <v>0.02</v>
      </c>
      <c r="G14">
        <v>0.72641</v>
      </c>
      <c r="H14">
        <v>0</v>
      </c>
      <c r="I14">
        <v>0</v>
      </c>
    </row>
    <row r="15" spans="1:9">
      <c r="A15" t="s">
        <v>262</v>
      </c>
      <c r="B15" t="s">
        <v>225</v>
      </c>
      <c r="C15">
        <v>5678765</v>
      </c>
      <c r="D15" t="s">
        <v>26</v>
      </c>
      <c r="E15" t="s">
        <v>199</v>
      </c>
      <c r="F15">
        <v>0.01</v>
      </c>
      <c r="G15">
        <v>0.71482000000000001</v>
      </c>
      <c r="H15">
        <v>0.71889999999999998</v>
      </c>
      <c r="I15">
        <v>0.71379999999999999</v>
      </c>
    </row>
    <row r="16" spans="1:9">
      <c r="A16" t="s">
        <v>269</v>
      </c>
      <c r="B16" t="s">
        <v>266</v>
      </c>
      <c r="C16">
        <v>9991</v>
      </c>
      <c r="D16" t="s">
        <v>26</v>
      </c>
      <c r="E16" t="s">
        <v>199</v>
      </c>
      <c r="F16">
        <v>0.02</v>
      </c>
      <c r="G16">
        <v>0.71433999999999997</v>
      </c>
      <c r="H16">
        <v>0</v>
      </c>
      <c r="I16">
        <v>0</v>
      </c>
    </row>
    <row r="17" spans="1:9">
      <c r="A17" t="s">
        <v>261</v>
      </c>
      <c r="B17" t="s">
        <v>225</v>
      </c>
      <c r="C17">
        <v>5678765</v>
      </c>
      <c r="D17" t="s">
        <v>8</v>
      </c>
      <c r="E17" t="s">
        <v>199</v>
      </c>
      <c r="F17">
        <v>0.01</v>
      </c>
      <c r="G17">
        <v>87.832999999999998</v>
      </c>
      <c r="H17">
        <v>88.224999999999994</v>
      </c>
      <c r="I17">
        <v>87.734999999999999</v>
      </c>
    </row>
    <row r="18" spans="1:9">
      <c r="A18" t="s">
        <v>263</v>
      </c>
      <c r="B18" t="s">
        <v>264</v>
      </c>
      <c r="C18">
        <v>9991</v>
      </c>
      <c r="D18" t="s">
        <v>8</v>
      </c>
      <c r="E18" t="s">
        <v>199</v>
      </c>
      <c r="F18">
        <v>0.02</v>
      </c>
      <c r="G18">
        <v>87.801000000000002</v>
      </c>
      <c r="H18">
        <v>0</v>
      </c>
      <c r="I18">
        <v>0</v>
      </c>
    </row>
    <row r="19" spans="1:9">
      <c r="A19" t="s">
        <v>271</v>
      </c>
      <c r="B19" t="s">
        <v>268</v>
      </c>
      <c r="C19">
        <v>9991</v>
      </c>
      <c r="D19" t="s">
        <v>8</v>
      </c>
      <c r="E19" t="s">
        <v>199</v>
      </c>
      <c r="F19">
        <v>0.02</v>
      </c>
      <c r="G19">
        <v>87.787000000000006</v>
      </c>
      <c r="H19">
        <v>0</v>
      </c>
      <c r="I19">
        <v>0</v>
      </c>
    </row>
    <row r="20" spans="1:9">
      <c r="A20" t="s">
        <v>242</v>
      </c>
      <c r="B20" t="s">
        <v>205</v>
      </c>
      <c r="C20">
        <v>9991</v>
      </c>
      <c r="D20" t="s">
        <v>7</v>
      </c>
      <c r="E20" t="s">
        <v>194</v>
      </c>
      <c r="F20">
        <v>0.02</v>
      </c>
      <c r="G20">
        <v>123.151</v>
      </c>
      <c r="H20">
        <v>0</v>
      </c>
      <c r="I20">
        <v>0</v>
      </c>
    </row>
    <row r="21" spans="1:9">
      <c r="A21" t="s">
        <v>267</v>
      </c>
      <c r="B21" t="s">
        <v>265</v>
      </c>
      <c r="C21">
        <v>9991</v>
      </c>
      <c r="D21" t="s">
        <v>0</v>
      </c>
      <c r="E21" t="s">
        <v>194</v>
      </c>
      <c r="F21">
        <v>0.02</v>
      </c>
      <c r="G21">
        <v>1.52786</v>
      </c>
      <c r="H21">
        <v>0</v>
      </c>
      <c r="I21">
        <v>0</v>
      </c>
    </row>
    <row r="22" spans="1:9">
      <c r="A22" t="s">
        <v>248</v>
      </c>
      <c r="B22" t="s">
        <v>225</v>
      </c>
      <c r="C22">
        <v>5678765</v>
      </c>
      <c r="D22" t="s">
        <v>3</v>
      </c>
      <c r="E22" t="s">
        <v>199</v>
      </c>
      <c r="F22">
        <v>0.01</v>
      </c>
      <c r="G22">
        <v>0.72077000000000002</v>
      </c>
      <c r="H22">
        <v>0.72357000000000005</v>
      </c>
      <c r="I22">
        <v>0.72006999999999999</v>
      </c>
    </row>
    <row r="23" spans="1:9">
      <c r="A23" t="s">
        <v>241</v>
      </c>
      <c r="B23" t="s">
        <v>204</v>
      </c>
      <c r="C23">
        <v>9991</v>
      </c>
      <c r="D23" t="s">
        <v>4</v>
      </c>
      <c r="E23" t="s">
        <v>194</v>
      </c>
      <c r="F23">
        <v>0.02</v>
      </c>
      <c r="G23">
        <v>133.17599999999999</v>
      </c>
      <c r="H23">
        <v>0</v>
      </c>
      <c r="I23">
        <v>0</v>
      </c>
    </row>
    <row r="24" spans="1:9">
      <c r="A24" t="s">
        <v>245</v>
      </c>
      <c r="B24" t="s">
        <v>209</v>
      </c>
      <c r="C24">
        <v>9991</v>
      </c>
      <c r="D24" t="s">
        <v>4</v>
      </c>
      <c r="E24" t="s">
        <v>194</v>
      </c>
      <c r="F24">
        <v>0.02</v>
      </c>
      <c r="G24">
        <v>133.33099999999999</v>
      </c>
      <c r="H24">
        <v>0</v>
      </c>
      <c r="I24">
        <v>0</v>
      </c>
    </row>
    <row r="25" spans="1:9">
      <c r="A25" t="s">
        <v>275</v>
      </c>
      <c r="B25" t="s">
        <v>273</v>
      </c>
      <c r="C25">
        <v>9991</v>
      </c>
      <c r="D25" t="s">
        <v>23</v>
      </c>
      <c r="E25" t="s">
        <v>194</v>
      </c>
      <c r="F25">
        <v>0.02</v>
      </c>
      <c r="G25">
        <v>2.1143100000000001</v>
      </c>
      <c r="H25">
        <v>0</v>
      </c>
      <c r="I25">
        <v>0</v>
      </c>
    </row>
    <row r="26" spans="1:9">
      <c r="A26" t="s">
        <v>228</v>
      </c>
      <c r="B26" t="s">
        <v>198</v>
      </c>
      <c r="C26">
        <v>9991</v>
      </c>
      <c r="D26" t="s">
        <v>19</v>
      </c>
      <c r="E26" t="s">
        <v>194</v>
      </c>
      <c r="F26">
        <v>0.02</v>
      </c>
      <c r="G26">
        <v>2.0634600000000001</v>
      </c>
      <c r="H26">
        <v>0</v>
      </c>
      <c r="I26">
        <v>0</v>
      </c>
    </row>
    <row r="27" spans="1:9">
      <c r="A27" t="s">
        <v>229</v>
      </c>
      <c r="B27" t="s">
        <v>200</v>
      </c>
      <c r="C27">
        <v>9991</v>
      </c>
      <c r="D27" t="s">
        <v>20</v>
      </c>
      <c r="E27" t="s">
        <v>199</v>
      </c>
      <c r="F27">
        <v>0.02</v>
      </c>
      <c r="G27">
        <v>1.50013</v>
      </c>
      <c r="H27">
        <v>0</v>
      </c>
      <c r="I27">
        <v>0</v>
      </c>
    </row>
    <row r="28" spans="1:9">
      <c r="A28" t="s">
        <v>230</v>
      </c>
      <c r="B28" t="s">
        <v>222</v>
      </c>
      <c r="C28">
        <v>2147483647</v>
      </c>
      <c r="D28" t="s">
        <v>11</v>
      </c>
      <c r="E28" t="s">
        <v>199</v>
      </c>
      <c r="F28">
        <v>0.05</v>
      </c>
      <c r="G28">
        <v>184.06</v>
      </c>
      <c r="H28">
        <v>0</v>
      </c>
      <c r="I28">
        <v>0</v>
      </c>
    </row>
    <row r="29" spans="1:9">
      <c r="A29" t="s">
        <v>231</v>
      </c>
      <c r="B29" t="s">
        <v>227</v>
      </c>
      <c r="C29">
        <v>7689</v>
      </c>
      <c r="D29" t="s">
        <v>18</v>
      </c>
      <c r="E29" t="s">
        <v>194</v>
      </c>
      <c r="F29">
        <v>0.01</v>
      </c>
      <c r="G29">
        <v>2.28064</v>
      </c>
      <c r="H29">
        <v>0</v>
      </c>
      <c r="I29">
        <v>0</v>
      </c>
    </row>
    <row r="30" spans="1:9">
      <c r="A30" t="s">
        <v>249</v>
      </c>
      <c r="B30" t="s">
        <v>225</v>
      </c>
      <c r="C30">
        <v>5678765</v>
      </c>
      <c r="D30" t="s">
        <v>18</v>
      </c>
      <c r="E30" t="s">
        <v>194</v>
      </c>
      <c r="F30">
        <v>0.01</v>
      </c>
      <c r="G30">
        <v>2.27054</v>
      </c>
      <c r="H30">
        <v>2.2586200000000001</v>
      </c>
      <c r="I30">
        <v>2.27352</v>
      </c>
    </row>
    <row r="31" spans="1:9">
      <c r="A31" t="s">
        <v>232</v>
      </c>
      <c r="B31" t="s">
        <v>233</v>
      </c>
      <c r="C31">
        <v>555432</v>
      </c>
      <c r="D31" t="s">
        <v>21</v>
      </c>
      <c r="E31" t="s">
        <v>199</v>
      </c>
      <c r="F31">
        <v>0.01</v>
      </c>
      <c r="G31">
        <v>0.86899000000000004</v>
      </c>
      <c r="H31">
        <v>0</v>
      </c>
      <c r="I31">
        <v>0.86819000000000002</v>
      </c>
    </row>
    <row r="32" spans="1:9">
      <c r="A32" t="s">
        <v>234</v>
      </c>
      <c r="B32" t="s">
        <v>235</v>
      </c>
      <c r="C32">
        <v>7678765</v>
      </c>
      <c r="D32" t="s">
        <v>21</v>
      </c>
      <c r="E32" t="s">
        <v>199</v>
      </c>
      <c r="F32">
        <v>0.01</v>
      </c>
      <c r="G32">
        <v>0.86853000000000002</v>
      </c>
      <c r="H32">
        <v>0</v>
      </c>
      <c r="I32">
        <v>0.86773</v>
      </c>
    </row>
    <row r="33" spans="1:9">
      <c r="A33" t="s">
        <v>236</v>
      </c>
      <c r="B33" t="s">
        <v>237</v>
      </c>
      <c r="C33">
        <v>7776665</v>
      </c>
      <c r="D33" t="s">
        <v>21</v>
      </c>
      <c r="E33" t="s">
        <v>199</v>
      </c>
      <c r="F33">
        <v>0.01</v>
      </c>
      <c r="G33">
        <v>0.88932</v>
      </c>
      <c r="H33">
        <v>0</v>
      </c>
      <c r="I33">
        <v>0</v>
      </c>
    </row>
    <row r="34" spans="1:9">
      <c r="A34" t="s">
        <v>238</v>
      </c>
      <c r="B34" t="s">
        <v>202</v>
      </c>
      <c r="C34">
        <v>9991</v>
      </c>
      <c r="D34" t="s">
        <v>27</v>
      </c>
      <c r="E34" t="s">
        <v>199</v>
      </c>
      <c r="F34">
        <v>0.02</v>
      </c>
      <c r="G34">
        <v>0.66654000000000002</v>
      </c>
      <c r="H34">
        <v>0</v>
      </c>
      <c r="I34">
        <v>0</v>
      </c>
    </row>
    <row r="35" spans="1:9">
      <c r="A35" t="s">
        <v>250</v>
      </c>
      <c r="B35" t="s">
        <v>225</v>
      </c>
      <c r="C35">
        <v>5678765</v>
      </c>
      <c r="D35" t="s">
        <v>27</v>
      </c>
      <c r="E35" t="s">
        <v>199</v>
      </c>
      <c r="F35">
        <v>0.01</v>
      </c>
      <c r="G35">
        <v>0.65876999999999997</v>
      </c>
      <c r="H35">
        <v>0.66352999999999995</v>
      </c>
      <c r="I35">
        <v>0.65758000000000005</v>
      </c>
    </row>
    <row r="36" spans="1:9">
      <c r="A36" t="s">
        <v>239</v>
      </c>
      <c r="B36" t="s">
        <v>235</v>
      </c>
      <c r="C36">
        <v>7678765</v>
      </c>
      <c r="D36" t="s">
        <v>10</v>
      </c>
      <c r="E36" t="s">
        <v>199</v>
      </c>
      <c r="F36">
        <v>0.01</v>
      </c>
      <c r="G36">
        <v>79.709999999999994</v>
      </c>
      <c r="H36">
        <v>0</v>
      </c>
      <c r="I36">
        <v>79.63</v>
      </c>
    </row>
    <row r="37" spans="1:9">
      <c r="A37" t="s">
        <v>256</v>
      </c>
      <c r="B37" t="s">
        <v>254</v>
      </c>
      <c r="C37">
        <v>9991</v>
      </c>
      <c r="D37" t="s">
        <v>10</v>
      </c>
      <c r="E37" t="s">
        <v>199</v>
      </c>
      <c r="F37">
        <v>0.02</v>
      </c>
      <c r="G37">
        <v>81.341999999999999</v>
      </c>
      <c r="H37">
        <v>0</v>
      </c>
      <c r="I37">
        <v>0</v>
      </c>
    </row>
    <row r="38" spans="1:9">
      <c r="A38" t="s">
        <v>260</v>
      </c>
      <c r="B38" t="s">
        <v>225</v>
      </c>
      <c r="C38">
        <v>5678765</v>
      </c>
      <c r="D38" t="s">
        <v>10</v>
      </c>
      <c r="E38" t="s">
        <v>199</v>
      </c>
      <c r="F38">
        <v>0.01</v>
      </c>
      <c r="G38">
        <v>81.061999999999998</v>
      </c>
      <c r="H38">
        <v>81.522000000000006</v>
      </c>
      <c r="I38">
        <v>80.947000000000003</v>
      </c>
    </row>
    <row r="39" spans="1:9">
      <c r="A39" t="s">
        <v>271</v>
      </c>
      <c r="B39" t="s">
        <v>272</v>
      </c>
      <c r="C39">
        <v>9991</v>
      </c>
      <c r="D39" t="s">
        <v>10</v>
      </c>
      <c r="E39" t="s">
        <v>199</v>
      </c>
      <c r="F39">
        <v>0.02</v>
      </c>
      <c r="G39">
        <v>81.05</v>
      </c>
      <c r="H39">
        <v>0</v>
      </c>
      <c r="I39">
        <v>0</v>
      </c>
    </row>
    <row r="40" spans="1:9">
      <c r="A40" t="s">
        <v>240</v>
      </c>
      <c r="B40" t="s">
        <v>235</v>
      </c>
      <c r="C40">
        <v>7678765</v>
      </c>
      <c r="D40" t="s">
        <v>15</v>
      </c>
      <c r="E40" t="s">
        <v>199</v>
      </c>
      <c r="F40">
        <v>0.01</v>
      </c>
      <c r="G40">
        <v>0.65063000000000004</v>
      </c>
      <c r="H40">
        <v>0</v>
      </c>
      <c r="I40">
        <v>0.64983000000000002</v>
      </c>
    </row>
    <row r="41" spans="1:9">
      <c r="A41" t="s">
        <v>247</v>
      </c>
      <c r="B41" t="s">
        <v>212</v>
      </c>
      <c r="C41">
        <v>9991</v>
      </c>
      <c r="D41" t="s">
        <v>9</v>
      </c>
      <c r="E41" t="s">
        <v>194</v>
      </c>
      <c r="F41">
        <v>0.02</v>
      </c>
      <c r="G41">
        <v>121.843</v>
      </c>
      <c r="H41">
        <v>0</v>
      </c>
      <c r="I41">
        <v>0</v>
      </c>
    </row>
    <row r="42" spans="1:9">
      <c r="A42" t="s">
        <v>277</v>
      </c>
      <c r="B42" t="s">
        <v>225</v>
      </c>
      <c r="C42">
        <v>5678765</v>
      </c>
      <c r="D42" t="s">
        <v>19</v>
      </c>
      <c r="E42" t="s">
        <v>194</v>
      </c>
      <c r="F42">
        <v>0.01</v>
      </c>
      <c r="G42">
        <v>2.0951599999999999</v>
      </c>
      <c r="H42">
        <v>2.08752</v>
      </c>
      <c r="I42">
        <v>2.09707</v>
      </c>
    </row>
    <row r="43" spans="1:9">
      <c r="A43" t="s">
        <v>278</v>
      </c>
      <c r="B43" t="s">
        <v>225</v>
      </c>
      <c r="C43">
        <v>5678765</v>
      </c>
      <c r="D43" t="s">
        <v>12</v>
      </c>
      <c r="E43" t="s">
        <v>199</v>
      </c>
      <c r="F43">
        <v>0.01</v>
      </c>
      <c r="G43">
        <v>86.846000000000004</v>
      </c>
      <c r="H43">
        <v>87.302000000000007</v>
      </c>
      <c r="I43">
        <v>86.731999999999999</v>
      </c>
    </row>
    <row r="44" spans="1:9">
      <c r="A44" t="s">
        <v>279</v>
      </c>
      <c r="B44" t="s">
        <v>274</v>
      </c>
      <c r="C44">
        <v>9991</v>
      </c>
      <c r="D44" t="s">
        <v>12</v>
      </c>
      <c r="E44" t="s">
        <v>199</v>
      </c>
      <c r="F44">
        <v>0.02</v>
      </c>
      <c r="G44">
        <v>86.888000000000005</v>
      </c>
      <c r="H44">
        <v>0</v>
      </c>
      <c r="I44">
        <v>0</v>
      </c>
    </row>
    <row r="45" spans="1:9">
      <c r="A45" t="s">
        <v>280</v>
      </c>
      <c r="B45" t="s">
        <v>276</v>
      </c>
      <c r="C45">
        <v>9991</v>
      </c>
      <c r="D45" t="s">
        <v>23</v>
      </c>
      <c r="E45" t="s">
        <v>194</v>
      </c>
      <c r="F45">
        <v>0.02</v>
      </c>
      <c r="G45">
        <v>2.1172300000000002</v>
      </c>
      <c r="H45">
        <v>0</v>
      </c>
      <c r="I45">
        <v>0</v>
      </c>
    </row>
    <row r="46" spans="1:9">
      <c r="A46" t="s">
        <v>244</v>
      </c>
      <c r="B46" t="s">
        <v>207</v>
      </c>
      <c r="C46">
        <v>9991</v>
      </c>
      <c r="D46" t="s">
        <v>0</v>
      </c>
      <c r="E46" t="s">
        <v>194</v>
      </c>
      <c r="F46">
        <v>0.02</v>
      </c>
      <c r="G46">
        <v>1.50678</v>
      </c>
      <c r="H46">
        <v>0</v>
      </c>
      <c r="I46">
        <v>0</v>
      </c>
    </row>
    <row r="47" spans="1:9">
      <c r="A47" t="s">
        <v>245</v>
      </c>
      <c r="B47" t="s">
        <v>208</v>
      </c>
      <c r="C47">
        <v>9991</v>
      </c>
      <c r="D47" t="s">
        <v>14</v>
      </c>
      <c r="E47" t="s">
        <v>199</v>
      </c>
      <c r="F47">
        <v>0.02</v>
      </c>
      <c r="G47">
        <v>0.72629999999999995</v>
      </c>
      <c r="H47">
        <v>0</v>
      </c>
      <c r="I47">
        <v>0</v>
      </c>
    </row>
    <row r="48" spans="1:9">
      <c r="A48" t="s">
        <v>245</v>
      </c>
      <c r="B48" t="s">
        <v>209</v>
      </c>
      <c r="C48">
        <v>9991</v>
      </c>
      <c r="D48" t="s">
        <v>4</v>
      </c>
      <c r="E48" t="s">
        <v>194</v>
      </c>
      <c r="F48">
        <v>0.02</v>
      </c>
      <c r="G48">
        <v>133.33099999999999</v>
      </c>
      <c r="H48">
        <v>0</v>
      </c>
      <c r="I48">
        <v>0</v>
      </c>
    </row>
    <row r="49" spans="1:9">
      <c r="A49" t="s">
        <v>246</v>
      </c>
      <c r="B49" t="s">
        <v>222</v>
      </c>
      <c r="C49">
        <v>2147483647</v>
      </c>
      <c r="D49" t="s">
        <v>9</v>
      </c>
      <c r="E49" t="s">
        <v>194</v>
      </c>
      <c r="F49">
        <v>0.05</v>
      </c>
      <c r="G49">
        <v>121.85599999999999</v>
      </c>
      <c r="H49">
        <v>121.771</v>
      </c>
      <c r="I49">
        <v>121.89</v>
      </c>
    </row>
    <row r="50" spans="1:9">
      <c r="A50" t="s">
        <v>246</v>
      </c>
      <c r="B50" t="s">
        <v>210</v>
      </c>
      <c r="C50">
        <v>9991</v>
      </c>
      <c r="D50" t="s">
        <v>22</v>
      </c>
      <c r="E50" t="s">
        <v>199</v>
      </c>
      <c r="F50">
        <v>0.02</v>
      </c>
      <c r="G50">
        <v>1.0749200000000001</v>
      </c>
      <c r="H50">
        <v>0</v>
      </c>
      <c r="I50">
        <v>0</v>
      </c>
    </row>
    <row r="51" spans="1:9">
      <c r="A51" t="s">
        <v>246</v>
      </c>
      <c r="B51" t="s">
        <v>211</v>
      </c>
      <c r="C51">
        <v>9991</v>
      </c>
      <c r="D51" t="s">
        <v>14</v>
      </c>
      <c r="E51" t="s">
        <v>199</v>
      </c>
      <c r="F51">
        <v>0.02</v>
      </c>
      <c r="G51">
        <v>0.72641</v>
      </c>
      <c r="H51">
        <v>0</v>
      </c>
      <c r="I51">
        <v>0</v>
      </c>
    </row>
    <row r="52" spans="1:9">
      <c r="A52" t="s">
        <v>247</v>
      </c>
      <c r="B52" t="s">
        <v>212</v>
      </c>
      <c r="C52">
        <v>9991</v>
      </c>
      <c r="D52" t="s">
        <v>9</v>
      </c>
      <c r="E52" t="s">
        <v>194</v>
      </c>
      <c r="F52">
        <v>0.02</v>
      </c>
      <c r="G52">
        <v>121.843</v>
      </c>
      <c r="H52">
        <v>0</v>
      </c>
      <c r="I52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0"/>
  <dimension ref="B1:AM9678"/>
  <sheetViews>
    <sheetView workbookViewId="0">
      <selection activeCell="C1" sqref="C1:C1048576"/>
    </sheetView>
  </sheetViews>
  <sheetFormatPr defaultColWidth="10.7109375" defaultRowHeight="15"/>
  <cols>
    <col min="1" max="1" width="3.85546875" style="4" customWidth="1"/>
    <col min="2" max="2" width="12.7109375" style="3" customWidth="1"/>
    <col min="3" max="8" width="10.7109375" style="4"/>
    <col min="9" max="9" width="13.42578125" style="4" bestFit="1" customWidth="1"/>
    <col min="10" max="30" width="10.7109375" style="4"/>
    <col min="31" max="34" width="3.7109375" style="4" customWidth="1"/>
    <col min="35" max="35" width="8.7109375" style="7" customWidth="1"/>
    <col min="36" max="36" width="8.7109375" style="3" customWidth="1"/>
    <col min="37" max="37" width="5.7109375" style="3" customWidth="1"/>
    <col min="38" max="38" width="12.5703125" style="3" bestFit="1" customWidth="1"/>
    <col min="39" max="39" width="5.7109375" style="9" customWidth="1"/>
    <col min="40" max="16384" width="10.7109375" style="4"/>
  </cols>
  <sheetData>
    <row r="1" spans="2:38" s="4" customFormat="1" ht="12.75" customHeight="1">
      <c r="B1" s="365" t="s">
        <v>302</v>
      </c>
      <c r="C1" s="4" t="s">
        <v>303</v>
      </c>
      <c r="Q1" s="5">
        <f>CORREL(Q5:Q7,R5:R7)</f>
        <v>0.96867498869726409</v>
      </c>
      <c r="R1" s="6">
        <f>CORREL(Q4:Q6, R4:R6)</f>
        <v>0.99993873906461905</v>
      </c>
      <c r="AI1" s="7"/>
      <c r="AJ1" s="3"/>
      <c r="AK1" s="8"/>
      <c r="AL1" s="8"/>
    </row>
    <row r="2" spans="2:38" s="4" customFormat="1" ht="12.75" customHeight="1" thickBot="1">
      <c r="B2" s="3"/>
      <c r="AE2" s="10"/>
      <c r="AI2" s="7"/>
      <c r="AJ2" s="3"/>
      <c r="AK2" s="3"/>
      <c r="AL2" s="3"/>
    </row>
    <row r="3" spans="2:38" s="4" customFormat="1" ht="12.75" customHeight="1" thickBot="1">
      <c r="B3" s="11" t="s">
        <v>37</v>
      </c>
      <c r="C3" s="12" t="s">
        <v>24</v>
      </c>
      <c r="D3" s="13" t="s">
        <v>25</v>
      </c>
      <c r="E3" s="13" t="s">
        <v>12</v>
      </c>
      <c r="F3" s="13" t="s">
        <v>22</v>
      </c>
      <c r="G3" s="13" t="s">
        <v>14</v>
      </c>
      <c r="H3" s="13" t="s">
        <v>26</v>
      </c>
      <c r="I3" s="13" t="s">
        <v>8</v>
      </c>
      <c r="J3" s="13" t="s">
        <v>7</v>
      </c>
      <c r="K3" s="13" t="s">
        <v>0</v>
      </c>
      <c r="L3" s="13" t="s">
        <v>1</v>
      </c>
      <c r="M3" s="13" t="s">
        <v>2</v>
      </c>
      <c r="N3" s="13" t="s">
        <v>3</v>
      </c>
      <c r="O3" s="13" t="s">
        <v>4</v>
      </c>
      <c r="P3" s="13" t="s">
        <v>5</v>
      </c>
      <c r="Q3" s="13" t="s">
        <v>6</v>
      </c>
      <c r="R3" s="13" t="s">
        <v>23</v>
      </c>
      <c r="S3" s="13" t="s">
        <v>19</v>
      </c>
      <c r="T3" s="13" t="s">
        <v>20</v>
      </c>
      <c r="U3" s="13" t="s">
        <v>11</v>
      </c>
      <c r="V3" s="13" t="s">
        <v>18</v>
      </c>
      <c r="W3" s="13" t="s">
        <v>13</v>
      </c>
      <c r="X3" s="13" t="s">
        <v>21</v>
      </c>
      <c r="Y3" s="13" t="s">
        <v>27</v>
      </c>
      <c r="Z3" s="13" t="s">
        <v>10</v>
      </c>
      <c r="AA3" s="13" t="s">
        <v>15</v>
      </c>
      <c r="AB3" s="13" t="s">
        <v>17</v>
      </c>
      <c r="AC3" s="13" t="s">
        <v>16</v>
      </c>
      <c r="AD3" s="14" t="s">
        <v>9</v>
      </c>
      <c r="AE3" s="15"/>
      <c r="AI3" s="7"/>
      <c r="AJ3" s="3"/>
      <c r="AK3" s="3"/>
      <c r="AL3" s="3"/>
    </row>
    <row r="4" spans="2:38" s="4" customFormat="1" ht="12.75" customHeight="1">
      <c r="B4" s="16" t="s">
        <v>38</v>
      </c>
      <c r="C4" s="17">
        <f>[2]!AUDCAD</f>
        <v>0.98784000000000005</v>
      </c>
      <c r="D4" s="17">
        <f>[2]!AUDCHF</f>
        <v>0.74580000000000002</v>
      </c>
      <c r="E4" s="18">
        <f>[2]!AUDJPY</f>
        <v>78.445999999999998</v>
      </c>
      <c r="F4" s="17">
        <f>[2]!AUDNZD</f>
        <v>1.03722</v>
      </c>
      <c r="G4" s="17">
        <f>[2]!AUDUSD</f>
        <v>0.76885000000000003</v>
      </c>
      <c r="H4" s="17">
        <f>[2]!CADCHF</f>
        <v>0.75553000000000003</v>
      </c>
      <c r="I4" s="18">
        <f>[2]!CADJPY</f>
        <v>79.468999999999994</v>
      </c>
      <c r="J4" s="18">
        <f>[2]!CHFJPY</f>
        <v>105.26300000000001</v>
      </c>
      <c r="K4" s="17">
        <f>[2]!EURAUD</f>
        <v>1.4698199999999999</v>
      </c>
      <c r="L4" s="17">
        <f>[2]!EURCAD</f>
        <v>1.4461599999999999</v>
      </c>
      <c r="M4" s="17">
        <f>[2]!EURCHF</f>
        <v>1.0918000000000001</v>
      </c>
      <c r="N4" s="17">
        <f>[2]!EURGBP</f>
        <v>0.84145999999999999</v>
      </c>
      <c r="O4" s="18">
        <f>[2]!EURJPY</f>
        <v>114.884</v>
      </c>
      <c r="P4" s="17">
        <f>[2]!EURNZD</f>
        <v>1.5195399999999999</v>
      </c>
      <c r="Q4" s="17">
        <f>[2]!EURUSD</f>
        <v>1.12652</v>
      </c>
      <c r="R4" s="17">
        <f>[2]!GBPAUD</f>
        <v>1.7526200000000001</v>
      </c>
      <c r="S4" s="17">
        <f>[2]!GBPCAD</f>
        <v>1.72624</v>
      </c>
      <c r="T4" s="17">
        <f>[2]!GBPCHF</f>
        <v>1.30304</v>
      </c>
      <c r="U4" s="18">
        <f>[2]!GBPJPY</f>
        <v>137.12100000000001</v>
      </c>
      <c r="V4" s="18">
        <f>[2]!GBPNZD</f>
        <v>1.8136699999999999</v>
      </c>
      <c r="W4" s="17">
        <f>[2]!GBPUSD</f>
        <v>1.3439000000000001</v>
      </c>
      <c r="X4" s="17">
        <f>[2]!NZDCAD</f>
        <v>0.96084000000000003</v>
      </c>
      <c r="Y4" s="17">
        <f>[2]!NZDCHF</f>
        <v>0.72407999999999995</v>
      </c>
      <c r="Z4" s="18">
        <f>[2]!NZDJPY</f>
        <v>75.953999999999994</v>
      </c>
      <c r="AA4" s="17">
        <f>[2]!NZDUSD</f>
        <v>0.74792000000000003</v>
      </c>
      <c r="AB4" s="17">
        <f>[2]!USDCAD</f>
        <v>1.2861800000000001</v>
      </c>
      <c r="AC4" s="17">
        <f>[2]!USDCHF</f>
        <v>0.97089999999999999</v>
      </c>
      <c r="AD4" s="19">
        <f>[2]!USDJPY</f>
        <v>102.128</v>
      </c>
      <c r="AE4" s="20" t="str">
        <f>[2]!i</f>
        <v>N\A</v>
      </c>
      <c r="AF4" s="21">
        <v>0</v>
      </c>
      <c r="AG4" s="21">
        <v>0</v>
      </c>
      <c r="AH4" s="21"/>
      <c r="AI4" s="7"/>
      <c r="AJ4" s="3"/>
      <c r="AK4" s="3"/>
      <c r="AL4" s="3"/>
    </row>
    <row r="5" spans="2:38" s="4" customFormat="1" ht="12.75" customHeight="1">
      <c r="B5" s="22" t="s">
        <v>39</v>
      </c>
      <c r="C5" s="17">
        <f>[3]!AUDCAD</f>
        <v>0.98762000000000005</v>
      </c>
      <c r="D5" s="17">
        <f>[3]!AUDCHF</f>
        <v>0.74441000000000002</v>
      </c>
      <c r="E5" s="18">
        <f>[3]!AUDJPY</f>
        <v>78.009</v>
      </c>
      <c r="F5" s="17">
        <f>[3]!AUDNZD</f>
        <v>1.0281499999999999</v>
      </c>
      <c r="G5" s="17">
        <f>[3]!AUDUSD</f>
        <v>0.76878000000000002</v>
      </c>
      <c r="H5" s="17">
        <f>[3]!CADCHF</f>
        <v>0.75378999999999996</v>
      </c>
      <c r="I5" s="18">
        <f>[3]!CADJPY</f>
        <v>78.986999999999995</v>
      </c>
      <c r="J5" s="18">
        <f>[3]!CHFJPY</f>
        <v>104.803</v>
      </c>
      <c r="K5" s="17">
        <f>[3]!EURAUD</f>
        <v>1.4633700000000001</v>
      </c>
      <c r="L5" s="17">
        <f>[3]!EURCAD</f>
        <v>1.4451799999999999</v>
      </c>
      <c r="M5" s="17">
        <f>[3]!EURCHF</f>
        <v>1.08927</v>
      </c>
      <c r="N5" s="17">
        <f>[3]!EURGBP</f>
        <v>0.84043000000000001</v>
      </c>
      <c r="O5" s="18">
        <f>[3]!EURJPY</f>
        <v>114.149</v>
      </c>
      <c r="P5" s="17">
        <f>[3]!EURNZD</f>
        <v>1.50454</v>
      </c>
      <c r="Q5" s="17">
        <f>[3]!EURUSD</f>
        <v>1.12497</v>
      </c>
      <c r="R5" s="17">
        <f>[3]!GBPAUD</f>
        <v>1.7412799999999999</v>
      </c>
      <c r="S5" s="17">
        <f>[3]!GBPCAD</f>
        <v>1.7196400000000001</v>
      </c>
      <c r="T5" s="17">
        <f>[3]!GBPCHF</f>
        <v>1.2961499999999999</v>
      </c>
      <c r="U5" s="18">
        <f>[3]!GBPJPY</f>
        <v>135.82400000000001</v>
      </c>
      <c r="V5" s="18">
        <f>[3]!GBPNZD</f>
        <v>1.7902199999999999</v>
      </c>
      <c r="W5" s="17">
        <f>[3]!GBPUSD</f>
        <v>1.3385899999999999</v>
      </c>
      <c r="X5" s="17">
        <f>[3]!NZDCAD</f>
        <v>0.96067000000000002</v>
      </c>
      <c r="Y5" s="17">
        <f>[3]!NZDCHF</f>
        <v>0.72411000000000003</v>
      </c>
      <c r="Z5" s="18">
        <f>[3]!NZDJPY</f>
        <v>75.88</v>
      </c>
      <c r="AA5" s="17">
        <f>[3]!NZDUSD</f>
        <v>0.74782999999999999</v>
      </c>
      <c r="AB5" s="17">
        <f>[3]!USDCAD</f>
        <v>1.2846299999999999</v>
      </c>
      <c r="AC5" s="17">
        <f>[3]!USDCHF</f>
        <v>0.96826999999999996</v>
      </c>
      <c r="AD5" s="19">
        <f>[3]!USDJPY</f>
        <v>101.46899999999999</v>
      </c>
      <c r="AE5" s="20" t="str">
        <f>[3]!i</f>
        <v>N\A</v>
      </c>
      <c r="AF5" s="21">
        <v>3</v>
      </c>
      <c r="AG5" s="21">
        <v>1</v>
      </c>
      <c r="AH5" s="21"/>
      <c r="AI5" s="7"/>
      <c r="AJ5" s="3"/>
      <c r="AK5" s="3" t="s">
        <v>62</v>
      </c>
      <c r="AL5" s="3" t="s">
        <v>63</v>
      </c>
    </row>
    <row r="6" spans="2:38" s="4" customFormat="1" ht="12.75" customHeight="1">
      <c r="B6" s="22" t="s">
        <v>40</v>
      </c>
      <c r="C6" s="17">
        <f>[4]!AUDCAD</f>
        <v>0.98753000000000002</v>
      </c>
      <c r="D6" s="23">
        <f>[4]!AUDCHF</f>
        <v>0.74431000000000003</v>
      </c>
      <c r="E6" s="18">
        <f>[4]!AUDJPY</f>
        <v>78.001999999999995</v>
      </c>
      <c r="F6" s="17">
        <f>[4]!AUDNZD</f>
        <v>1.02799</v>
      </c>
      <c r="G6" s="17">
        <f>[4]!AUDUSD</f>
        <v>0.76876</v>
      </c>
      <c r="H6" s="17">
        <f>[4]!CADCHF</f>
        <v>0.75366999999999995</v>
      </c>
      <c r="I6" s="18">
        <f>[4]!CADJPY</f>
        <v>78.980999999999995</v>
      </c>
      <c r="J6" s="18">
        <f>[4]!CHFJPY</f>
        <v>104.791</v>
      </c>
      <c r="K6" s="17">
        <f>[4]!EURAUD</f>
        <v>1.46326</v>
      </c>
      <c r="L6" s="17">
        <f>[4]!EURCAD</f>
        <v>1.4451099999999999</v>
      </c>
      <c r="M6" s="17">
        <f>[4]!EURCHF</f>
        <v>1.0891900000000001</v>
      </c>
      <c r="N6" s="17">
        <f>[4]!EURGBP</f>
        <v>0.84038999999999997</v>
      </c>
      <c r="O6" s="18">
        <f>[4]!EURJPY</f>
        <v>114.143</v>
      </c>
      <c r="P6" s="17">
        <f>[4]!EURNZD</f>
        <v>1.50423</v>
      </c>
      <c r="Q6" s="17">
        <f>[4]!EURUSD</f>
        <v>1.12496</v>
      </c>
      <c r="R6" s="17">
        <f>[4]!GBPAUD</f>
        <v>1.7410600000000001</v>
      </c>
      <c r="S6" s="17">
        <f>[4]!GBPCAD</f>
        <v>1.7195100000000001</v>
      </c>
      <c r="T6" s="17">
        <f>[4]!GBPCHF</f>
        <v>1.2959499999999999</v>
      </c>
      <c r="U6" s="18">
        <f>[4]!GBPJPY</f>
        <v>135.815</v>
      </c>
      <c r="V6" s="18">
        <f>[4]!GBPNZD</f>
        <v>1.7899</v>
      </c>
      <c r="W6" s="17">
        <f>[4]!GBPUSD</f>
        <v>1.3385400000000001</v>
      </c>
      <c r="X6" s="17">
        <f>[4]!NZDCAD</f>
        <v>0.96053999999999995</v>
      </c>
      <c r="Y6" s="17">
        <f>[4]!NZDCHF</f>
        <v>0.72392999999999996</v>
      </c>
      <c r="Z6" s="18">
        <f>[4]!NZDJPY</f>
        <v>75.867999999999995</v>
      </c>
      <c r="AA6" s="17">
        <f>[4]!NZDUSD</f>
        <v>0.74775000000000003</v>
      </c>
      <c r="AB6" s="17">
        <f>[4]!USDCAD</f>
        <v>1.2845800000000001</v>
      </c>
      <c r="AC6" s="17">
        <f>[4]!USDCHF</f>
        <v>0.96819999999999995</v>
      </c>
      <c r="AD6" s="19">
        <f>[4]!USDJPY</f>
        <v>101.465</v>
      </c>
      <c r="AE6" s="20" t="str">
        <f>[4]!i</f>
        <v>N\A</v>
      </c>
      <c r="AF6" s="21">
        <v>10</v>
      </c>
      <c r="AG6" s="21">
        <v>2</v>
      </c>
      <c r="AH6" s="21"/>
      <c r="AI6" s="7"/>
      <c r="AJ6" s="3"/>
      <c r="AK6" s="3">
        <v>0</v>
      </c>
      <c r="AL6" s="163">
        <v>9.0649999999999994E-2</v>
      </c>
    </row>
    <row r="7" spans="2:38" s="4" customFormat="1" ht="12.75" customHeight="1" thickBot="1">
      <c r="B7" s="24" t="s">
        <v>41</v>
      </c>
      <c r="C7" s="25">
        <f>[5]!AUDCAD</f>
        <v>0.98270999999999997</v>
      </c>
      <c r="D7" s="25">
        <f>[5]!AUDCHF</f>
        <v>0.74177999999999999</v>
      </c>
      <c r="E7" s="26">
        <f>[5]!AUDJPY</f>
        <v>77.581000000000003</v>
      </c>
      <c r="F7" s="25">
        <f>[5]!AUDNZD</f>
        <v>1.0263899999999999</v>
      </c>
      <c r="G7" s="25">
        <f>[5]!AUDUSD</f>
        <v>0.76512000000000002</v>
      </c>
      <c r="H7" s="25">
        <f>[5]!CADCHF</f>
        <v>0.75322999999999996</v>
      </c>
      <c r="I7" s="26">
        <f>[5]!CADJPY</f>
        <v>78.745999999999995</v>
      </c>
      <c r="J7" s="26">
        <f>[5]!CHFJPY</f>
        <v>104.32899999999999</v>
      </c>
      <c r="K7" s="25">
        <f>[5]!EURAUD</f>
        <v>1.4630300000000001</v>
      </c>
      <c r="L7" s="25">
        <f>[5]!EURCAD</f>
        <v>1.4430000000000001</v>
      </c>
      <c r="M7" s="25">
        <f>[5]!EURCHF</f>
        <v>1.0887899999999999</v>
      </c>
      <c r="N7" s="25">
        <f>[5]!EURGBP</f>
        <v>0.83740000000000003</v>
      </c>
      <c r="O7" s="26">
        <f>[5]!EURJPY</f>
        <v>113.824</v>
      </c>
      <c r="P7" s="25">
        <f>[5]!EURNZD</f>
        <v>1.5039800000000001</v>
      </c>
      <c r="Q7" s="25">
        <f>[5]!EURUSD</f>
        <v>1.12297</v>
      </c>
      <c r="R7" s="25">
        <f>[5]!GBPAUD</f>
        <v>1.74044</v>
      </c>
      <c r="S7" s="25">
        <f>[5]!GBPCAD</f>
        <v>1.71567</v>
      </c>
      <c r="T7" s="25">
        <f>[5]!GBPCHF</f>
        <v>1.2939799999999999</v>
      </c>
      <c r="U7" s="26">
        <f>[5]!GBPJPY</f>
        <v>135.64699999999999</v>
      </c>
      <c r="V7" s="26">
        <f>[5]!GBPNZD</f>
        <v>1.78776</v>
      </c>
      <c r="W7" s="25">
        <f>[5]!GBPUSD</f>
        <v>1.3359099999999999</v>
      </c>
      <c r="X7" s="25">
        <f>[5]!NZDCAD</f>
        <v>0.95108999999999999</v>
      </c>
      <c r="Y7" s="25">
        <f>[5]!NZDCHF</f>
        <v>0.71775</v>
      </c>
      <c r="Z7" s="26">
        <f>[5]!NZDJPY</f>
        <v>75.046999999999997</v>
      </c>
      <c r="AA7" s="25">
        <f>[5]!NZDUSD</f>
        <v>0.73968999999999996</v>
      </c>
      <c r="AB7" s="25">
        <f>[5]!USDCAD</f>
        <v>1.2830999999999999</v>
      </c>
      <c r="AC7" s="25">
        <f>[5]!USDCHF</f>
        <v>0.96772999999999998</v>
      </c>
      <c r="AD7" s="27">
        <f>[5]!USDJPY</f>
        <v>101.209</v>
      </c>
      <c r="AE7" s="20" t="str">
        <f>[5]!i</f>
        <v>N\A</v>
      </c>
      <c r="AF7" s="21">
        <v>25</v>
      </c>
      <c r="AG7" s="21">
        <v>3</v>
      </c>
      <c r="AH7" s="21"/>
      <c r="AI7" s="7"/>
      <c r="AJ7" s="3"/>
      <c r="AK7" s="3">
        <v>1</v>
      </c>
      <c r="AL7" s="163">
        <v>9.3597725351279304E-2</v>
      </c>
    </row>
    <row r="8" spans="2:38" s="4" customFormat="1" ht="12.75" customHeight="1" thickBot="1">
      <c r="B8" s="28" t="s">
        <v>42</v>
      </c>
      <c r="C8" s="29">
        <f>(C5-C6)*IF(RIGHT(C$3,3)="JPY",100,10000)</f>
        <v>0.90000000000034497</v>
      </c>
      <c r="D8" s="29">
        <f>(D5-D6)*IF(RIGHT(D$3,3)="JPY",100,10000)</f>
        <v>0.99999999999988987</v>
      </c>
      <c r="E8" s="29">
        <f>(E5-E6)*IF(RIGHT(E$3,3)="JPY",100,10000)</f>
        <v>0.70000000000050022</v>
      </c>
      <c r="F8" s="29">
        <f>(F5-F6)*IF(RIGHT(F$3,3)="JPY",100,10000)</f>
        <v>1.5999999999993797</v>
      </c>
      <c r="G8" s="29">
        <f>(G5-G6)*IF(RIGHT(G$3,3)="JPY",100,10000)</f>
        <v>0.20000000000020002</v>
      </c>
      <c r="H8" s="29">
        <f t="shared" ref="H8:AD8" si="0">(H5-H6)*IF(RIGHT(H$3,3)="JPY",100,10000)</f>
        <v>1.2000000000000899</v>
      </c>
      <c r="I8" s="29">
        <f t="shared" si="0"/>
        <v>0.60000000000002274</v>
      </c>
      <c r="J8" s="29">
        <f t="shared" si="0"/>
        <v>1.2000000000000455</v>
      </c>
      <c r="K8" s="29">
        <f t="shared" si="0"/>
        <v>1.100000000000545</v>
      </c>
      <c r="L8" s="29">
        <f t="shared" si="0"/>
        <v>0.70000000000014495</v>
      </c>
      <c r="M8" s="29">
        <f t="shared" si="0"/>
        <v>0.79999999999857963</v>
      </c>
      <c r="N8" s="29">
        <f t="shared" si="0"/>
        <v>0.40000000000040004</v>
      </c>
      <c r="O8" s="29">
        <f t="shared" si="0"/>
        <v>0.60000000000002274</v>
      </c>
      <c r="P8" s="29">
        <f t="shared" si="0"/>
        <v>3.1000000000003247</v>
      </c>
      <c r="Q8" s="29">
        <f t="shared" si="0"/>
        <v>0.10000000000065512</v>
      </c>
      <c r="R8" s="29">
        <f t="shared" si="0"/>
        <v>2.1999999999988695</v>
      </c>
      <c r="S8" s="29">
        <f t="shared" si="0"/>
        <v>1.2999999999996348</v>
      </c>
      <c r="T8" s="29">
        <f t="shared" si="0"/>
        <v>1.9999999999997797</v>
      </c>
      <c r="U8" s="29">
        <f t="shared" si="0"/>
        <v>0.90000000000145519</v>
      </c>
      <c r="V8" s="29">
        <f t="shared" si="0"/>
        <v>3.1999999999987594</v>
      </c>
      <c r="W8" s="29">
        <f t="shared" si="0"/>
        <v>0.49999999999883471</v>
      </c>
      <c r="X8" s="29">
        <f t="shared" si="0"/>
        <v>1.300000000000745</v>
      </c>
      <c r="Y8" s="29">
        <f t="shared" si="0"/>
        <v>1.8000000000006899</v>
      </c>
      <c r="Z8" s="29">
        <f t="shared" si="0"/>
        <v>1.2000000000000455</v>
      </c>
      <c r="AA8" s="29">
        <f t="shared" si="0"/>
        <v>0.79999999999968985</v>
      </c>
      <c r="AB8" s="29">
        <f t="shared" si="0"/>
        <v>0.49999999999883471</v>
      </c>
      <c r="AC8" s="29">
        <f t="shared" si="0"/>
        <v>0.70000000000014495</v>
      </c>
      <c r="AD8" s="30">
        <f t="shared" si="0"/>
        <v>0.39999999999906777</v>
      </c>
      <c r="AE8" s="10"/>
      <c r="AF8" s="21">
        <v>40</v>
      </c>
      <c r="AG8" s="21">
        <v>4</v>
      </c>
      <c r="AH8" s="21"/>
      <c r="AI8" s="7"/>
      <c r="AJ8" s="3"/>
      <c r="AK8" s="3">
        <v>2</v>
      </c>
      <c r="AL8" s="163">
        <v>9.6542702809925496E-2</v>
      </c>
    </row>
    <row r="9" spans="2:38" s="4" customFormat="1" ht="12.75" customHeight="1" thickBot="1">
      <c r="B9" s="31"/>
      <c r="AE9" s="10"/>
      <c r="AF9" s="21">
        <v>50</v>
      </c>
      <c r="AG9" s="21">
        <v>5</v>
      </c>
      <c r="AH9" s="21"/>
      <c r="AI9" s="7"/>
      <c r="AJ9" s="3"/>
      <c r="AK9" s="3">
        <v>3</v>
      </c>
      <c r="AL9" s="163">
        <v>9.9484934482454851E-2</v>
      </c>
    </row>
    <row r="10" spans="2:38" s="4" customFormat="1" ht="12.75" customHeight="1" thickBot="1">
      <c r="B10" s="32" t="s">
        <v>43</v>
      </c>
      <c r="C10" s="33">
        <f>($C4:$AD4-$C7:$AD7)*IF(RIGHT(C$3,3)="JPY",100,10000)</f>
        <v>51.300000000000793</v>
      </c>
      <c r="D10" s="33">
        <f>($C4:$AD4-$C7:$AD7)*IF(RIGHT(D$3,3)="JPY",100,10000)</f>
        <v>40.200000000000237</v>
      </c>
      <c r="E10" s="33">
        <f>($C4:$AD4-$C7:$AD7)*IF(RIGHT(E$3,3)="JPY",100,10000)</f>
        <v>86.499999999999488</v>
      </c>
      <c r="F10" s="33">
        <f>($C4:$AD4-$C7:$AD7)*IF(RIGHT(F$3,3)="JPY",100,10000)</f>
        <v>108.30000000000118</v>
      </c>
      <c r="G10" s="33">
        <f>($C4:$AD4-$C7:$AD7)*IF(RIGHT(G$3,3)="JPY",100,10000)</f>
        <v>37.300000000000111</v>
      </c>
      <c r="H10" s="33">
        <f t="shared" ref="H10:AD10" si="1">($C4:$AD4-$C7:$AD7)*IF(RIGHT(H$3,3)="JPY",100,10000)</f>
        <v>23.000000000000796</v>
      </c>
      <c r="I10" s="33">
        <f t="shared" si="1"/>
        <v>72.299999999999898</v>
      </c>
      <c r="J10" s="33">
        <f t="shared" si="1"/>
        <v>93.400000000001171</v>
      </c>
      <c r="K10" s="33">
        <f t="shared" si="1"/>
        <v>67.899999999998514</v>
      </c>
      <c r="L10" s="33">
        <f t="shared" si="1"/>
        <v>31.599999999998296</v>
      </c>
      <c r="M10" s="33">
        <f t="shared" si="1"/>
        <v>30.100000000001792</v>
      </c>
      <c r="N10" s="33">
        <f t="shared" si="1"/>
        <v>40.599999999999525</v>
      </c>
      <c r="O10" s="33">
        <f t="shared" si="1"/>
        <v>106.00000000000023</v>
      </c>
      <c r="P10" s="33">
        <f t="shared" si="1"/>
        <v>155.59999999999798</v>
      </c>
      <c r="Q10" s="33">
        <f t="shared" si="1"/>
        <v>35.499999999999417</v>
      </c>
      <c r="R10" s="33">
        <f t="shared" si="1"/>
        <v>121.80000000000079</v>
      </c>
      <c r="S10" s="33">
        <f t="shared" si="1"/>
        <v>105.69999999999968</v>
      </c>
      <c r="T10" s="33">
        <f t="shared" si="1"/>
        <v>90.600000000000676</v>
      </c>
      <c r="U10" s="33">
        <f t="shared" si="1"/>
        <v>147.4000000000018</v>
      </c>
      <c r="V10" s="33">
        <f t="shared" si="1"/>
        <v>259.09999999999877</v>
      </c>
      <c r="W10" s="33">
        <f t="shared" si="1"/>
        <v>79.90000000000164</v>
      </c>
      <c r="X10" s="33">
        <f t="shared" si="1"/>
        <v>97.500000000000369</v>
      </c>
      <c r="Y10" s="33">
        <f t="shared" si="1"/>
        <v>63.299999999999471</v>
      </c>
      <c r="Z10" s="33">
        <f t="shared" si="1"/>
        <v>90.699999999999648</v>
      </c>
      <c r="AA10" s="33">
        <f t="shared" si="1"/>
        <v>82.300000000000708</v>
      </c>
      <c r="AB10" s="33">
        <f t="shared" si="1"/>
        <v>30.800000000001937</v>
      </c>
      <c r="AC10" s="33">
        <f t="shared" si="1"/>
        <v>31.70000000000006</v>
      </c>
      <c r="AD10" s="33">
        <f t="shared" si="1"/>
        <v>91.899999999999693</v>
      </c>
      <c r="AE10" s="10"/>
      <c r="AF10" s="21">
        <v>60</v>
      </c>
      <c r="AG10" s="21">
        <v>6</v>
      </c>
      <c r="AH10" s="21"/>
      <c r="AI10" s="7"/>
      <c r="AJ10" s="3"/>
      <c r="AK10" s="3">
        <v>4</v>
      </c>
      <c r="AL10" s="163">
        <v>0.10242442247445641</v>
      </c>
    </row>
    <row r="11" spans="2:38" s="4" customFormat="1" ht="12.75" customHeight="1" thickBot="1">
      <c r="B11" s="34" t="s">
        <v>44</v>
      </c>
      <c r="C11" s="35">
        <f>($C6:$AD6-$C7:$AD7)/$C10:$AD10*IF(RIGHT(C$3,3)="JPY",100,10000)</f>
        <v>0.93957115009746039</v>
      </c>
      <c r="D11" s="35">
        <f>($C6:$AD6-$C7:$AD7)/$C10:$AD10*IF(RIGHT(D$3,3)="JPY",100,10000)</f>
        <v>0.62935323383085007</v>
      </c>
      <c r="E11" s="35">
        <f>($C6:$AD6-$C7:$AD7)/$C10:$AD10*IF(RIGHT(E$3,3)="JPY",100,10000)</f>
        <v>0.48670520231213271</v>
      </c>
      <c r="F11" s="35">
        <f>($C6:$AD6-$C7:$AD7)/$C10:$AD10*IF(RIGHT(F$3,3)="JPY",100,10000)</f>
        <v>0.14773776546629996</v>
      </c>
      <c r="G11" s="35">
        <f>($C6:$AD6-$C7:$AD7)/$C10:$AD10*IF(RIGHT(G$3,3)="JPY",100,10000)</f>
        <v>0.97587131367291313</v>
      </c>
      <c r="H11" s="35">
        <f t="shared" ref="H11:AD11" si="2">($C6:$AD6-$C7:$AD7)/$C10:$AD10*IF(RIGHT(H$3,3)="JPY",100,10000)</f>
        <v>0.19130434782607858</v>
      </c>
      <c r="I11" s="35">
        <f t="shared" si="2"/>
        <v>0.32503457814661102</v>
      </c>
      <c r="J11" s="35">
        <f t="shared" si="2"/>
        <v>0.4946466809421815</v>
      </c>
      <c r="K11" s="35">
        <f t="shared" si="2"/>
        <v>3.3873343151687406E-2</v>
      </c>
      <c r="L11" s="35">
        <f t="shared" si="2"/>
        <v>0.66772151898732524</v>
      </c>
      <c r="M11" s="35">
        <f t="shared" si="2"/>
        <v>0.1328903654485562</v>
      </c>
      <c r="N11" s="35">
        <f t="shared" si="2"/>
        <v>0.73645320197043651</v>
      </c>
      <c r="O11" s="35">
        <f t="shared" si="2"/>
        <v>0.30094339622641691</v>
      </c>
      <c r="P11" s="35">
        <f t="shared" si="2"/>
        <v>1.6066838046263798E-2</v>
      </c>
      <c r="Q11" s="35">
        <f t="shared" si="2"/>
        <v>0.5605633802816814</v>
      </c>
      <c r="R11" s="35">
        <f t="shared" si="2"/>
        <v>5.0903119868642113E-2</v>
      </c>
      <c r="S11" s="35">
        <f t="shared" si="2"/>
        <v>0.36329233680227785</v>
      </c>
      <c r="T11" s="35">
        <f t="shared" si="2"/>
        <v>0.21743929359823538</v>
      </c>
      <c r="U11" s="35">
        <f t="shared" si="2"/>
        <v>0.11397557666214676</v>
      </c>
      <c r="V11" s="35">
        <f t="shared" si="2"/>
        <v>8.2593593207257468E-2</v>
      </c>
      <c r="W11" s="35">
        <f t="shared" si="2"/>
        <v>0.32916145181477824</v>
      </c>
      <c r="X11" s="35">
        <f t="shared" si="2"/>
        <v>0.96923076923076124</v>
      </c>
      <c r="Y11" s="35">
        <f t="shared" si="2"/>
        <v>0.97630331753554733</v>
      </c>
      <c r="Z11" s="35">
        <f t="shared" si="2"/>
        <v>0.90518191841234974</v>
      </c>
      <c r="AA11" s="35">
        <f t="shared" si="2"/>
        <v>0.97934386391251493</v>
      </c>
      <c r="AB11" s="35">
        <f t="shared" si="2"/>
        <v>0.48051948051949828</v>
      </c>
      <c r="AC11" s="35">
        <f t="shared" si="2"/>
        <v>0.14826498422711976</v>
      </c>
      <c r="AD11" s="35">
        <f t="shared" si="2"/>
        <v>0.27856365614798811</v>
      </c>
      <c r="AE11" s="10"/>
      <c r="AF11" s="21">
        <v>75</v>
      </c>
      <c r="AG11" s="21">
        <v>7</v>
      </c>
      <c r="AH11" s="21"/>
      <c r="AI11" s="7"/>
      <c r="AJ11" s="3"/>
      <c r="AK11" s="3">
        <v>5</v>
      </c>
      <c r="AL11" s="163">
        <v>0.10536116889059177</v>
      </c>
    </row>
    <row r="12" spans="2:38" s="4" customFormat="1" ht="12.75" customHeight="1" thickBot="1">
      <c r="B12" s="3"/>
      <c r="C12" s="3"/>
      <c r="AF12" s="21">
        <v>90</v>
      </c>
      <c r="AG12" s="21">
        <v>8</v>
      </c>
      <c r="AH12" s="21"/>
      <c r="AI12" s="7"/>
      <c r="AJ12" s="3"/>
      <c r="AK12" s="3">
        <v>6</v>
      </c>
      <c r="AL12" s="163">
        <v>0.10829517583459551</v>
      </c>
    </row>
    <row r="13" spans="2:38" s="4" customFormat="1" ht="12.75" customHeight="1">
      <c r="B13" s="36" t="s">
        <v>45</v>
      </c>
      <c r="C13" s="36" t="str">
        <f>LEFT(C3,3)</f>
        <v>AUD</v>
      </c>
      <c r="D13" s="37" t="str">
        <f>LEFT(D3,3)</f>
        <v>AUD</v>
      </c>
      <c r="E13" s="37" t="str">
        <f>LEFT(E3,3)</f>
        <v>AUD</v>
      </c>
      <c r="F13" s="37" t="str">
        <f>LEFT(F3,3)</f>
        <v>AUD</v>
      </c>
      <c r="G13" s="37" t="str">
        <f>LEFT(G3,3)</f>
        <v>AUD</v>
      </c>
      <c r="H13" s="37" t="str">
        <f t="shared" ref="H13:AD13" si="3">LEFT(H3,3)</f>
        <v>CAD</v>
      </c>
      <c r="I13" s="37" t="str">
        <f t="shared" si="3"/>
        <v>CAD</v>
      </c>
      <c r="J13" s="37" t="str">
        <f t="shared" si="3"/>
        <v>CHF</v>
      </c>
      <c r="K13" s="37" t="str">
        <f t="shared" si="3"/>
        <v>EUR</v>
      </c>
      <c r="L13" s="37" t="str">
        <f t="shared" si="3"/>
        <v>EUR</v>
      </c>
      <c r="M13" s="37" t="str">
        <f t="shared" si="3"/>
        <v>EUR</v>
      </c>
      <c r="N13" s="37" t="str">
        <f t="shared" si="3"/>
        <v>EUR</v>
      </c>
      <c r="O13" s="37" t="str">
        <f t="shared" si="3"/>
        <v>EUR</v>
      </c>
      <c r="P13" s="37" t="str">
        <f t="shared" si="3"/>
        <v>EUR</v>
      </c>
      <c r="Q13" s="37" t="str">
        <f t="shared" si="3"/>
        <v>EUR</v>
      </c>
      <c r="R13" s="37" t="str">
        <f t="shared" si="3"/>
        <v>GBP</v>
      </c>
      <c r="S13" s="37" t="str">
        <f t="shared" si="3"/>
        <v>GBP</v>
      </c>
      <c r="T13" s="37" t="str">
        <f t="shared" si="3"/>
        <v>GBP</v>
      </c>
      <c r="U13" s="37" t="str">
        <f t="shared" si="3"/>
        <v>GBP</v>
      </c>
      <c r="V13" s="37" t="str">
        <f t="shared" si="3"/>
        <v>GBP</v>
      </c>
      <c r="W13" s="37" t="str">
        <f t="shared" si="3"/>
        <v>GBP</v>
      </c>
      <c r="X13" s="37" t="str">
        <f t="shared" si="3"/>
        <v>NZD</v>
      </c>
      <c r="Y13" s="37" t="str">
        <f t="shared" si="3"/>
        <v>NZD</v>
      </c>
      <c r="Z13" s="37" t="str">
        <f t="shared" si="3"/>
        <v>NZD</v>
      </c>
      <c r="AA13" s="37" t="str">
        <f t="shared" si="3"/>
        <v>NZD</v>
      </c>
      <c r="AB13" s="37" t="str">
        <f t="shared" si="3"/>
        <v>USD</v>
      </c>
      <c r="AC13" s="37" t="str">
        <f t="shared" si="3"/>
        <v>USD</v>
      </c>
      <c r="AD13" s="38" t="str">
        <f t="shared" si="3"/>
        <v>USD</v>
      </c>
      <c r="AF13" s="21">
        <v>97</v>
      </c>
      <c r="AG13" s="21">
        <v>9</v>
      </c>
      <c r="AH13" s="21"/>
      <c r="AI13" s="7"/>
      <c r="AJ13" s="3"/>
      <c r="AK13" s="3">
        <v>7</v>
      </c>
      <c r="AL13" s="163">
        <v>0.11122644540927513</v>
      </c>
    </row>
    <row r="14" spans="2:38" s="4" customFormat="1" ht="12.75" customHeight="1">
      <c r="B14" s="39"/>
      <c r="C14" s="40">
        <f t="shared" ref="C14:AD14" si="4">LOOKUP(100*C11,$AF4:$AF13,$AG4:$AG13)</f>
        <v>8</v>
      </c>
      <c r="D14" s="41">
        <f>LOOKUP(100*D11,$AF4:$AF13,$AG4:$AG13)</f>
        <v>6</v>
      </c>
      <c r="E14" s="41">
        <f>LOOKUP(100*E11,$AF4:$AF13,$AG4:$AG13)</f>
        <v>4</v>
      </c>
      <c r="F14" s="41">
        <f>LOOKUP(100*F11,$AF4:$AF13,$AG4:$AG13)</f>
        <v>2</v>
      </c>
      <c r="G14" s="41">
        <f>LOOKUP(100*G11,$AF4:$AF13,$AG4:$AG13)</f>
        <v>9</v>
      </c>
      <c r="H14" s="41">
        <f t="shared" si="4"/>
        <v>2</v>
      </c>
      <c r="I14" s="41">
        <f t="shared" si="4"/>
        <v>3</v>
      </c>
      <c r="J14" s="41">
        <f t="shared" si="4"/>
        <v>4</v>
      </c>
      <c r="K14" s="41">
        <f t="shared" si="4"/>
        <v>1</v>
      </c>
      <c r="L14" s="41">
        <f t="shared" si="4"/>
        <v>6</v>
      </c>
      <c r="M14" s="41">
        <f t="shared" si="4"/>
        <v>2</v>
      </c>
      <c r="N14" s="41">
        <f t="shared" si="4"/>
        <v>6</v>
      </c>
      <c r="O14" s="41">
        <f t="shared" si="4"/>
        <v>3</v>
      </c>
      <c r="P14" s="41">
        <f t="shared" si="4"/>
        <v>0</v>
      </c>
      <c r="Q14" s="41">
        <f t="shared" si="4"/>
        <v>5</v>
      </c>
      <c r="R14" s="41">
        <f t="shared" si="4"/>
        <v>1</v>
      </c>
      <c r="S14" s="41">
        <f t="shared" si="4"/>
        <v>3</v>
      </c>
      <c r="T14" s="41">
        <f t="shared" si="4"/>
        <v>2</v>
      </c>
      <c r="U14" s="41">
        <f t="shared" si="4"/>
        <v>2</v>
      </c>
      <c r="V14" s="41">
        <f t="shared" si="4"/>
        <v>1</v>
      </c>
      <c r="W14" s="41">
        <f t="shared" si="4"/>
        <v>3</v>
      </c>
      <c r="X14" s="41">
        <f t="shared" si="4"/>
        <v>8</v>
      </c>
      <c r="Y14" s="41">
        <f t="shared" si="4"/>
        <v>9</v>
      </c>
      <c r="Z14" s="41">
        <f t="shared" si="4"/>
        <v>8</v>
      </c>
      <c r="AA14" s="41">
        <f t="shared" si="4"/>
        <v>9</v>
      </c>
      <c r="AB14" s="41">
        <f t="shared" si="4"/>
        <v>4</v>
      </c>
      <c r="AC14" s="41">
        <f t="shared" si="4"/>
        <v>2</v>
      </c>
      <c r="AD14" s="42">
        <f t="shared" si="4"/>
        <v>3</v>
      </c>
      <c r="AI14" s="7"/>
      <c r="AJ14" s="3"/>
      <c r="AK14" s="3">
        <v>8</v>
      </c>
      <c r="AL14" s="163">
        <v>0.11415497971651148</v>
      </c>
    </row>
    <row r="15" spans="2:38" s="4" customFormat="1" ht="12.75" customHeight="1">
      <c r="B15" s="39" t="s">
        <v>46</v>
      </c>
      <c r="C15" s="39" t="str">
        <f>RIGHT(C3,3)</f>
        <v>CAD</v>
      </c>
      <c r="D15" s="43" t="str">
        <f>RIGHT(D3,3)</f>
        <v>CHF</v>
      </c>
      <c r="E15" s="43" t="str">
        <f>RIGHT(E3,3)</f>
        <v>JPY</v>
      </c>
      <c r="F15" s="43" t="str">
        <f>RIGHT(F3,3)</f>
        <v>NZD</v>
      </c>
      <c r="G15" s="43" t="str">
        <f>RIGHT(G3,3)</f>
        <v>USD</v>
      </c>
      <c r="H15" s="43" t="str">
        <f t="shared" ref="H15:AD15" si="5">RIGHT(H3,3)</f>
        <v>CHF</v>
      </c>
      <c r="I15" s="43" t="str">
        <f t="shared" si="5"/>
        <v>JPY</v>
      </c>
      <c r="J15" s="43" t="str">
        <f t="shared" si="5"/>
        <v>JPY</v>
      </c>
      <c r="K15" s="43" t="str">
        <f t="shared" si="5"/>
        <v>AUD</v>
      </c>
      <c r="L15" s="43" t="str">
        <f t="shared" si="5"/>
        <v>CAD</v>
      </c>
      <c r="M15" s="43" t="str">
        <f t="shared" si="5"/>
        <v>CHF</v>
      </c>
      <c r="N15" s="43" t="str">
        <f t="shared" si="5"/>
        <v>GBP</v>
      </c>
      <c r="O15" s="43" t="str">
        <f t="shared" si="5"/>
        <v>JPY</v>
      </c>
      <c r="P15" s="43" t="str">
        <f t="shared" si="5"/>
        <v>NZD</v>
      </c>
      <c r="Q15" s="43" t="str">
        <f t="shared" si="5"/>
        <v>USD</v>
      </c>
      <c r="R15" s="43" t="str">
        <f t="shared" si="5"/>
        <v>AUD</v>
      </c>
      <c r="S15" s="43" t="str">
        <f t="shared" si="5"/>
        <v>CAD</v>
      </c>
      <c r="T15" s="43" t="str">
        <f t="shared" si="5"/>
        <v>CHF</v>
      </c>
      <c r="U15" s="43" t="str">
        <f t="shared" si="5"/>
        <v>JPY</v>
      </c>
      <c r="V15" s="43" t="str">
        <f t="shared" si="5"/>
        <v>NZD</v>
      </c>
      <c r="W15" s="43" t="str">
        <f t="shared" si="5"/>
        <v>USD</v>
      </c>
      <c r="X15" s="43" t="str">
        <f t="shared" si="5"/>
        <v>CAD</v>
      </c>
      <c r="Y15" s="43" t="str">
        <f t="shared" si="5"/>
        <v>CHF</v>
      </c>
      <c r="Z15" s="43" t="str">
        <f t="shared" si="5"/>
        <v>JPY</v>
      </c>
      <c r="AA15" s="43" t="str">
        <f t="shared" si="5"/>
        <v>USD</v>
      </c>
      <c r="AB15" s="43" t="str">
        <f t="shared" si="5"/>
        <v>CAD</v>
      </c>
      <c r="AC15" s="43" t="str">
        <f t="shared" si="5"/>
        <v>CHF</v>
      </c>
      <c r="AD15" s="44" t="str">
        <f t="shared" si="5"/>
        <v>JPY</v>
      </c>
      <c r="AI15" s="7"/>
      <c r="AJ15" s="3"/>
      <c r="AK15" s="3">
        <v>9</v>
      </c>
      <c r="AL15" s="163">
        <v>0.1170807808572588</v>
      </c>
    </row>
    <row r="16" spans="2:38" s="4" customFormat="1" ht="12.75" customHeight="1" thickBot="1">
      <c r="B16" s="45"/>
      <c r="C16" s="46">
        <f>9-C14</f>
        <v>1</v>
      </c>
      <c r="D16" s="47">
        <f>9-D14</f>
        <v>3</v>
      </c>
      <c r="E16" s="47">
        <f>9-E14</f>
        <v>5</v>
      </c>
      <c r="F16" s="47">
        <f>9-F14</f>
        <v>7</v>
      </c>
      <c r="G16" s="47">
        <f>9-G14</f>
        <v>0</v>
      </c>
      <c r="H16" s="47">
        <f t="shared" ref="H16:AD16" si="6">9-H14</f>
        <v>7</v>
      </c>
      <c r="I16" s="47">
        <f t="shared" si="6"/>
        <v>6</v>
      </c>
      <c r="J16" s="47">
        <f t="shared" si="6"/>
        <v>5</v>
      </c>
      <c r="K16" s="47">
        <f t="shared" si="6"/>
        <v>8</v>
      </c>
      <c r="L16" s="41">
        <f t="shared" si="6"/>
        <v>3</v>
      </c>
      <c r="M16" s="41">
        <f t="shared" si="6"/>
        <v>7</v>
      </c>
      <c r="N16" s="41">
        <f t="shared" si="6"/>
        <v>3</v>
      </c>
      <c r="O16" s="41">
        <f t="shared" si="6"/>
        <v>6</v>
      </c>
      <c r="P16" s="41">
        <f t="shared" si="6"/>
        <v>9</v>
      </c>
      <c r="Q16" s="41">
        <f t="shared" si="6"/>
        <v>4</v>
      </c>
      <c r="R16" s="41">
        <f t="shared" si="6"/>
        <v>8</v>
      </c>
      <c r="S16" s="41">
        <f t="shared" si="6"/>
        <v>6</v>
      </c>
      <c r="T16" s="41">
        <f t="shared" si="6"/>
        <v>7</v>
      </c>
      <c r="U16" s="41">
        <f t="shared" si="6"/>
        <v>7</v>
      </c>
      <c r="V16" s="47">
        <f t="shared" si="6"/>
        <v>8</v>
      </c>
      <c r="W16" s="47">
        <f t="shared" si="6"/>
        <v>6</v>
      </c>
      <c r="X16" s="47">
        <f t="shared" si="6"/>
        <v>1</v>
      </c>
      <c r="Y16" s="47">
        <f t="shared" si="6"/>
        <v>0</v>
      </c>
      <c r="Z16" s="47">
        <f t="shared" si="6"/>
        <v>1</v>
      </c>
      <c r="AA16" s="47">
        <f t="shared" si="6"/>
        <v>0</v>
      </c>
      <c r="AB16" s="47">
        <f t="shared" si="6"/>
        <v>5</v>
      </c>
      <c r="AC16" s="47">
        <f t="shared" si="6"/>
        <v>7</v>
      </c>
      <c r="AD16" s="48">
        <f t="shared" si="6"/>
        <v>6</v>
      </c>
      <c r="AI16" s="7"/>
      <c r="AJ16" s="3"/>
      <c r="AK16" s="3">
        <v>10</v>
      </c>
      <c r="AL16" s="163">
        <v>0.12000385093154496</v>
      </c>
    </row>
    <row r="17" spans="2:38" s="4" customFormat="1" ht="12.75" customHeight="1" thickBot="1">
      <c r="B17" s="3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AI17" s="7"/>
      <c r="AJ17" s="3"/>
      <c r="AK17" s="3">
        <v>11</v>
      </c>
      <c r="AL17" s="163">
        <v>0.12292419203847156</v>
      </c>
    </row>
    <row r="18" spans="2:38" s="4" customFormat="1" ht="12.75" customHeight="1">
      <c r="B18" s="366" t="s">
        <v>47</v>
      </c>
      <c r="C18" s="367"/>
      <c r="D18" s="51" t="s">
        <v>28</v>
      </c>
      <c r="E18" s="51" t="s">
        <v>31</v>
      </c>
      <c r="F18" s="51" t="s">
        <v>33</v>
      </c>
      <c r="G18" s="51" t="s">
        <v>30</v>
      </c>
      <c r="H18" s="52" t="s">
        <v>35</v>
      </c>
      <c r="I18" s="53" t="s">
        <v>34</v>
      </c>
      <c r="J18" s="54" t="s">
        <v>36</v>
      </c>
      <c r="K18" s="55" t="s">
        <v>32</v>
      </c>
      <c r="L18" s="50"/>
      <c r="M18" s="50"/>
      <c r="N18" s="56"/>
      <c r="O18" s="50"/>
      <c r="P18" s="50"/>
      <c r="Q18" s="50"/>
      <c r="R18" s="50"/>
      <c r="S18" s="50"/>
      <c r="T18" s="50"/>
      <c r="U18" s="50"/>
      <c r="AB18" s="4" t="s">
        <v>48</v>
      </c>
      <c r="AI18" s="7"/>
      <c r="AJ18" s="3"/>
      <c r="AK18" s="3">
        <v>12</v>
      </c>
      <c r="AL18" s="163">
        <v>0.12584180627621425</v>
      </c>
    </row>
    <row r="19" spans="2:38" s="4" customFormat="1" ht="12.75" customHeight="1" thickBot="1">
      <c r="B19" s="368"/>
      <c r="C19" s="369"/>
      <c r="D19" s="57">
        <f>(G16+Q16+W16+AA16+AB14+AC14+AD14)/7</f>
        <v>2.7142857142857144</v>
      </c>
      <c r="E19" s="57">
        <f>(K14+L14+M14+N14+O14+P14+Q14)/7</f>
        <v>3.2857142857142856</v>
      </c>
      <c r="F19" s="57">
        <f>(N16+R14+S14+T14+U14+V14+W14)/7</f>
        <v>2.1428571428571428</v>
      </c>
      <c r="G19" s="57">
        <f>(D16+H16+J14+M16+T16+Y16+AC16)/7</f>
        <v>5</v>
      </c>
      <c r="H19" s="58">
        <f>(C16+H14+I14+L16+S16+X16+AB16)/7</f>
        <v>3</v>
      </c>
      <c r="I19" s="58">
        <f>(C14+D14+E14+F14+G14+K16+R16)/7</f>
        <v>6.4285714285714288</v>
      </c>
      <c r="J19" s="57">
        <f>(F16+P16+V16+X14+Y14+Z14+AA14)/7</f>
        <v>8.2857142857142865</v>
      </c>
      <c r="K19" s="59">
        <f>(E16+I16+J16+O16+U16+Z16+AD16)/7</f>
        <v>5.1428571428571432</v>
      </c>
      <c r="L19" s="50"/>
      <c r="M19" s="50"/>
      <c r="N19" s="60"/>
      <c r="O19" s="50"/>
      <c r="P19" s="50"/>
      <c r="Q19" s="50"/>
      <c r="R19" s="50"/>
      <c r="S19" s="50"/>
      <c r="T19" s="50"/>
      <c r="U19" s="50"/>
      <c r="V19" s="4" t="s">
        <v>49</v>
      </c>
      <c r="W19" s="4" t="s">
        <v>50</v>
      </c>
      <c r="X19" s="4" t="s">
        <v>51</v>
      </c>
      <c r="Y19" s="4" t="s">
        <v>52</v>
      </c>
      <c r="Z19" s="4" t="s">
        <v>53</v>
      </c>
      <c r="AA19" s="4" t="s">
        <v>54</v>
      </c>
      <c r="AB19" s="4" t="s">
        <v>48</v>
      </c>
      <c r="AC19" s="4" t="s">
        <v>55</v>
      </c>
      <c r="AI19" s="7"/>
      <c r="AJ19" s="3"/>
      <c r="AK19" s="3">
        <v>13</v>
      </c>
      <c r="AL19" s="163">
        <v>0.12875669574202284</v>
      </c>
    </row>
    <row r="20" spans="2:38" s="4" customFormat="1" ht="12.75" customHeight="1" thickBot="1">
      <c r="B20" s="61"/>
      <c r="C20" s="62" t="s">
        <v>56</v>
      </c>
      <c r="D20" s="63">
        <f>COUNTIF($C$13:$AD$16,"=USD")</f>
        <v>7</v>
      </c>
      <c r="E20" s="63">
        <f>COUNTIF($C$13:$AD$16,"=EUR")</f>
        <v>7</v>
      </c>
      <c r="F20" s="63">
        <v>7</v>
      </c>
      <c r="G20" s="63">
        <f>COUNTIF($C$13:$AD$16,"=CHF")</f>
        <v>7</v>
      </c>
      <c r="H20" s="63">
        <f>COUNTIF($C$13:$AD$16,"=CAD")</f>
        <v>7</v>
      </c>
      <c r="I20" s="63">
        <f>COUNTIF($C$13:$AD$16,"=AUD")</f>
        <v>7</v>
      </c>
      <c r="J20" s="63">
        <v>7</v>
      </c>
      <c r="K20" s="63">
        <f>COUNTIF($C$13:$AD$16,"=JPY")</f>
        <v>7</v>
      </c>
      <c r="L20" s="50"/>
      <c r="M20" s="50"/>
      <c r="N20" s="64"/>
      <c r="O20" s="50"/>
      <c r="P20" s="65"/>
      <c r="Q20" s="66"/>
      <c r="R20" s="50"/>
      <c r="S20" s="67"/>
      <c r="T20" s="50"/>
      <c r="U20" s="50"/>
      <c r="V20" s="4">
        <f>(H28*-1)</f>
        <v>-3.7142857142857144</v>
      </c>
      <c r="W20" s="4">
        <f>(H26*-1)</f>
        <v>-1.2857142857142856</v>
      </c>
      <c r="X20" s="4">
        <f>(H35*-1)</f>
        <v>-1.1428571428571428</v>
      </c>
      <c r="Y20" s="68">
        <f t="shared" ref="Y20:Y26" si="7">H32</f>
        <v>-3.1428571428571432</v>
      </c>
      <c r="Z20" s="68">
        <f>H24</f>
        <v>3.4285714285714288</v>
      </c>
      <c r="AA20" s="4">
        <f>(H27*-1)</f>
        <v>1.8571428571428577</v>
      </c>
      <c r="AB20" s="4">
        <f>(H24*-1)</f>
        <v>-3.4285714285714288</v>
      </c>
      <c r="AC20" s="4">
        <f>(H25*-1)</f>
        <v>-1.4285714285714288</v>
      </c>
      <c r="AI20" s="7"/>
      <c r="AJ20" s="3"/>
      <c r="AK20" s="3">
        <v>14</v>
      </c>
      <c r="AL20" s="163">
        <v>0.13166886253222135</v>
      </c>
    </row>
    <row r="21" spans="2:38" s="4" customFormat="1" ht="12.75" customHeight="1" thickBot="1">
      <c r="B21" s="3"/>
      <c r="L21" s="50"/>
      <c r="M21" s="50"/>
      <c r="N21" s="56"/>
      <c r="O21" s="50"/>
      <c r="P21" s="50"/>
      <c r="Q21" s="67"/>
      <c r="R21" s="50"/>
      <c r="S21" s="67"/>
      <c r="T21" s="50"/>
      <c r="U21" s="50"/>
      <c r="V21" s="4">
        <f>(H38*-1)</f>
        <v>-0.57142857142857117</v>
      </c>
      <c r="W21" s="4">
        <f>(H30*-1)</f>
        <v>2.1428571428571432</v>
      </c>
      <c r="X21" s="68">
        <f t="shared" ref="X21:X26" si="8">H39</f>
        <v>-4.2857142857142865</v>
      </c>
      <c r="Y21" s="68">
        <f t="shared" si="7"/>
        <v>0.28571428571428559</v>
      </c>
      <c r="Z21" s="68">
        <f>H25</f>
        <v>1.4285714285714288</v>
      </c>
      <c r="AA21" s="4">
        <f>(H37*-1)</f>
        <v>5.0000000000000009</v>
      </c>
      <c r="AB21" s="68">
        <f>H29</f>
        <v>-2</v>
      </c>
      <c r="AC21" s="4">
        <f>(H29*-1)</f>
        <v>2</v>
      </c>
      <c r="AI21" s="7"/>
      <c r="AJ21" s="3"/>
      <c r="AK21" s="3">
        <v>15</v>
      </c>
      <c r="AL21" s="163">
        <v>0.13457830874220855</v>
      </c>
    </row>
    <row r="22" spans="2:38" s="4" customFormat="1" ht="12.75" customHeight="1" thickBot="1">
      <c r="B22" s="3"/>
      <c r="D22" s="69"/>
      <c r="E22" s="70"/>
      <c r="F22" s="70"/>
      <c r="G22" s="70"/>
      <c r="H22" s="70" t="s">
        <v>60</v>
      </c>
      <c r="I22" s="150"/>
      <c r="J22" s="150"/>
      <c r="K22" s="70"/>
      <c r="L22" s="71"/>
      <c r="M22" s="71"/>
      <c r="N22" s="71"/>
      <c r="O22" s="71"/>
      <c r="P22" s="71"/>
      <c r="Q22" s="71"/>
      <c r="R22" s="71"/>
      <c r="S22" s="71"/>
      <c r="T22" s="71"/>
      <c r="U22" s="72"/>
      <c r="V22" s="4">
        <f>(H44*-1)</f>
        <v>0.57142857142857162</v>
      </c>
      <c r="W22" s="4">
        <f>(H31*-1)</f>
        <v>0.14285714285714324</v>
      </c>
      <c r="X22" s="68">
        <f t="shared" si="8"/>
        <v>-0.85714285714285721</v>
      </c>
      <c r="Y22" s="68">
        <f t="shared" si="7"/>
        <v>-1.7142857142857144</v>
      </c>
      <c r="Z22" s="68">
        <f>H26</f>
        <v>1.2857142857142856</v>
      </c>
      <c r="AA22" s="4">
        <f>(H43*-1)</f>
        <v>6.1428571428571441</v>
      </c>
      <c r="AB22" s="68">
        <f>H30</f>
        <v>-2.1428571428571432</v>
      </c>
      <c r="AC22" s="68">
        <f>H31</f>
        <v>-0.14285714285714324</v>
      </c>
      <c r="AI22" s="7"/>
      <c r="AJ22" s="3"/>
      <c r="AK22" s="3">
        <v>16</v>
      </c>
      <c r="AL22" s="163">
        <v>0.13748503646645777</v>
      </c>
    </row>
    <row r="23" spans="2:38" s="4" customFormat="1" ht="12.75" customHeight="1" thickBot="1">
      <c r="B23" s="3"/>
      <c r="C23" s="73"/>
      <c r="D23" s="74" t="s">
        <v>42</v>
      </c>
      <c r="E23" s="75" t="s">
        <v>37</v>
      </c>
      <c r="F23" s="76" t="s">
        <v>57</v>
      </c>
      <c r="G23" s="77" t="s">
        <v>58</v>
      </c>
      <c r="H23" s="140" t="s">
        <v>59</v>
      </c>
      <c r="I23" s="151"/>
      <c r="J23" s="152"/>
      <c r="V23" s="68">
        <f>H49</f>
        <v>-0.28571428571428559</v>
      </c>
      <c r="W23" s="4">
        <f>(H36*-1)</f>
        <v>1.8571428571428577</v>
      </c>
      <c r="X23" s="68">
        <f t="shared" si="8"/>
        <v>-2.8571428571428572</v>
      </c>
      <c r="Y23" s="68">
        <f t="shared" si="7"/>
        <v>1.1428571428571428</v>
      </c>
      <c r="Z23" s="68">
        <f>H27</f>
        <v>-1.8571428571428577</v>
      </c>
      <c r="AA23" s="68">
        <f>H45</f>
        <v>5.2857142857142865</v>
      </c>
      <c r="AB23" s="4">
        <f>(H33*-1)</f>
        <v>-0.28571428571428559</v>
      </c>
      <c r="AC23" s="4">
        <f>(H34*-1)</f>
        <v>1.7142857142857144</v>
      </c>
      <c r="AI23" s="7"/>
      <c r="AJ23" s="3"/>
      <c r="AK23" s="3">
        <v>17</v>
      </c>
      <c r="AL23" s="163">
        <v>0.14038904779851716</v>
      </c>
    </row>
    <row r="24" spans="2:38" s="4" customFormat="1" ht="12.75" customHeight="1" thickBot="1">
      <c r="B24" s="158"/>
      <c r="C24" s="68"/>
      <c r="D24" s="78">
        <f>$C$8</f>
        <v>0.90000000000034497</v>
      </c>
      <c r="E24" s="79" t="s">
        <v>24</v>
      </c>
      <c r="F24" s="80">
        <f t="shared" ref="F24:F31" si="9">HLOOKUP(LEFT(E24,3),$D$18:$K$19,2,FALSE)</f>
        <v>6.4285714285714288</v>
      </c>
      <c r="G24" s="81">
        <f t="shared" ref="G24:G31" si="10">HLOOKUP(RIGHT(E24,3),$D$18:$K$19,2,FALSE)</f>
        <v>3</v>
      </c>
      <c r="H24" s="141">
        <f>+F24-G24</f>
        <v>3.4285714285714288</v>
      </c>
      <c r="I24" s="159">
        <v>-1.5714285714285716</v>
      </c>
      <c r="J24" s="153" t="str">
        <f t="shared" ref="J24:J51" si="11">IF(E24="","",IF((H24-I24)&gt;1,"Buy",IF((H24-I24)&lt;-1,"Sell",IF((H24-I24)=0,"",IF((H24-I24)&lt;1,"")))))</f>
        <v>Buy</v>
      </c>
      <c r="K24" s="78" t="str">
        <f>IF(E24="","",IF((B24-C24)&gt;0.1,"Buy",IF((B24-C24)&lt;-0.1,"Sell",IF((B24-C24)=0,"",IF((B24-C24)&lt;0.1,"")))))</f>
        <v/>
      </c>
      <c r="L24" s="157"/>
      <c r="P24" s="82"/>
      <c r="V24" s="68">
        <f>H50</f>
        <v>-2.2857142857142856</v>
      </c>
      <c r="W24" s="4">
        <f>(H42*-1)</f>
        <v>3.0000000000000004</v>
      </c>
      <c r="X24" s="68">
        <f t="shared" si="8"/>
        <v>-3.0000000000000004</v>
      </c>
      <c r="Y24" s="68">
        <f t="shared" si="7"/>
        <v>-1.8571428571428577</v>
      </c>
      <c r="Z24" s="68">
        <f>H28</f>
        <v>3.7142857142857144</v>
      </c>
      <c r="AA24" s="68">
        <f>H46</f>
        <v>3.2857142857142865</v>
      </c>
      <c r="AB24" s="4">
        <f>(H40*-1)</f>
        <v>0.85714285714285721</v>
      </c>
      <c r="AC24" s="4">
        <f>(H41*-1)</f>
        <v>2.8571428571428572</v>
      </c>
      <c r="AI24" s="7"/>
      <c r="AJ24" s="3"/>
      <c r="AK24" s="3">
        <v>18</v>
      </c>
      <c r="AL24" s="163">
        <v>0.14329034483101022</v>
      </c>
    </row>
    <row r="25" spans="2:38" s="4" customFormat="1" ht="12.75" customHeight="1">
      <c r="B25" s="158"/>
      <c r="C25" s="68"/>
      <c r="D25" s="78">
        <f>$D$8</f>
        <v>0.99999999999988987</v>
      </c>
      <c r="E25" s="83" t="s">
        <v>25</v>
      </c>
      <c r="F25" s="84">
        <f t="shared" si="9"/>
        <v>6.4285714285714288</v>
      </c>
      <c r="G25" s="85">
        <f t="shared" si="10"/>
        <v>5</v>
      </c>
      <c r="H25" s="123">
        <f t="shared" ref="H25:H51" si="12">+F25-G25</f>
        <v>1.4285714285714288</v>
      </c>
      <c r="I25" s="159">
        <v>-5</v>
      </c>
      <c r="J25" s="153" t="str">
        <f t="shared" si="11"/>
        <v>Buy</v>
      </c>
      <c r="K25" s="78" t="str">
        <f t="shared" ref="K25:K51" si="13">IF(E25="","",IF((B25-C25)&gt;0.1,"Buy",IF((B25-C25)&lt;-0.1,"Sell",IF((B25-C25)=0,"",IF((B25-C25)&lt;0.1,"")))))</f>
        <v/>
      </c>
      <c r="L25" s="157"/>
      <c r="N25" s="86" t="s">
        <v>28</v>
      </c>
      <c r="O25" s="87" t="s">
        <v>32</v>
      </c>
      <c r="P25" s="88" t="s">
        <v>33</v>
      </c>
      <c r="Q25" s="87" t="s">
        <v>31</v>
      </c>
      <c r="R25" s="88" t="s">
        <v>34</v>
      </c>
      <c r="S25" s="87" t="s">
        <v>36</v>
      </c>
      <c r="T25" s="88" t="s">
        <v>35</v>
      </c>
      <c r="U25" s="89" t="s">
        <v>30</v>
      </c>
      <c r="V25" s="68">
        <f>H51</f>
        <v>-2.4285714285714288</v>
      </c>
      <c r="W25" s="4">
        <f>(H47*-1)</f>
        <v>-3.1428571428571432</v>
      </c>
      <c r="X25" s="68">
        <f t="shared" si="8"/>
        <v>-6.1428571428571441</v>
      </c>
      <c r="Y25" s="68">
        <f t="shared" si="7"/>
        <v>-5.0000000000000009</v>
      </c>
      <c r="Z25" s="4">
        <f>(H32*-1)</f>
        <v>3.1428571428571432</v>
      </c>
      <c r="AA25" s="68">
        <f>H47</f>
        <v>3.1428571428571432</v>
      </c>
      <c r="AB25" s="4">
        <f>(H45*-1)</f>
        <v>-5.2857142857142865</v>
      </c>
      <c r="AC25" s="4">
        <f>(H46*-1)</f>
        <v>-3.2857142857142865</v>
      </c>
      <c r="AE25" s="21"/>
      <c r="AF25" s="21">
        <v>95</v>
      </c>
      <c r="AG25" s="21">
        <v>9</v>
      </c>
      <c r="AI25" s="7"/>
      <c r="AJ25" s="3"/>
      <c r="AK25" s="3">
        <v>19</v>
      </c>
      <c r="AL25" s="163">
        <v>0.14618892965563543</v>
      </c>
    </row>
    <row r="26" spans="2:38" s="4" customFormat="1" ht="12.75" customHeight="1">
      <c r="B26" s="158"/>
      <c r="C26" s="68"/>
      <c r="D26" s="90">
        <f>$E$8</f>
        <v>0.70000000000050022</v>
      </c>
      <c r="E26" s="91" t="s">
        <v>12</v>
      </c>
      <c r="F26" s="92">
        <f t="shared" si="9"/>
        <v>6.4285714285714288</v>
      </c>
      <c r="G26" s="93">
        <f t="shared" si="10"/>
        <v>5.1428571428571432</v>
      </c>
      <c r="H26" s="142">
        <f t="shared" si="12"/>
        <v>1.2857142857142856</v>
      </c>
      <c r="I26" s="160">
        <v>1.142857142857143</v>
      </c>
      <c r="J26" s="154" t="str">
        <f t="shared" si="11"/>
        <v/>
      </c>
      <c r="K26" s="90" t="str">
        <f t="shared" si="13"/>
        <v/>
      </c>
      <c r="L26" s="157"/>
      <c r="M26" s="167" t="s">
        <v>68</v>
      </c>
      <c r="N26" s="94">
        <f>(G16+Q16+W16+AA16+AB14+AC14+AD14)/7</f>
        <v>2.7142857142857144</v>
      </c>
      <c r="O26" s="95">
        <f>(E16+I16+J16+O16+U16+Z16+AD16)/7</f>
        <v>5.1428571428571432</v>
      </c>
      <c r="P26" s="96">
        <f>(N16+R14+S14+T14+U14+V14+W14)/7</f>
        <v>2.1428571428571428</v>
      </c>
      <c r="Q26" s="95">
        <f>(K14+L14+M14+N14+O14+P14+Q14)/7</f>
        <v>3.2857142857142856</v>
      </c>
      <c r="R26" s="96">
        <f>(C14+D14+E14+F14+G14+K16+R16)/7</f>
        <v>6.4285714285714288</v>
      </c>
      <c r="S26" s="95">
        <f>(F16+P16+V16+X14+Y14+Z14+AA14)/7</f>
        <v>8.2857142857142865</v>
      </c>
      <c r="T26" s="96">
        <f>(C16+H14+I14+L16+S16+X16+AB16)/7</f>
        <v>3</v>
      </c>
      <c r="U26" s="97">
        <f>(D16+H16+J14+M16+T16+Y16+AC16)/7</f>
        <v>5</v>
      </c>
      <c r="V26" s="4">
        <f>(H48*-1)</f>
        <v>-5.5714285714285721</v>
      </c>
      <c r="W26" s="4">
        <f>(H51*-1)</f>
        <v>2.4285714285714288</v>
      </c>
      <c r="X26" s="68">
        <f t="shared" si="8"/>
        <v>-0.57142857142857162</v>
      </c>
      <c r="Y26" s="68">
        <f t="shared" si="7"/>
        <v>0.57142857142857117</v>
      </c>
      <c r="Z26" s="4">
        <f>(H39*-1)</f>
        <v>4.2857142857142865</v>
      </c>
      <c r="AA26" s="68">
        <f>H48</f>
        <v>5.5714285714285721</v>
      </c>
      <c r="AB26" s="4">
        <f>(H49*-1)</f>
        <v>0.28571428571428559</v>
      </c>
      <c r="AC26" s="4">
        <f>(H50*-1)</f>
        <v>2.2857142857142856</v>
      </c>
      <c r="AE26" s="21"/>
      <c r="AF26" s="21">
        <v>90</v>
      </c>
      <c r="AG26" s="21">
        <v>8</v>
      </c>
      <c r="AI26" s="7"/>
      <c r="AJ26" s="3"/>
      <c r="AK26" s="3">
        <v>20</v>
      </c>
      <c r="AL26" s="163">
        <v>0.14908480436316685</v>
      </c>
    </row>
    <row r="27" spans="2:38" s="4" customFormat="1" ht="12.75" customHeight="1">
      <c r="B27" s="158"/>
      <c r="C27" s="68"/>
      <c r="D27" s="78">
        <f>$F$8</f>
        <v>1.5999999999993797</v>
      </c>
      <c r="E27" s="83" t="s">
        <v>22</v>
      </c>
      <c r="F27" s="84">
        <f t="shared" si="9"/>
        <v>6.4285714285714288</v>
      </c>
      <c r="G27" s="85">
        <f t="shared" si="10"/>
        <v>8.2857142857142865</v>
      </c>
      <c r="H27" s="123">
        <f t="shared" si="12"/>
        <v>-1.8571428571428577</v>
      </c>
      <c r="I27" s="159">
        <v>-1.8571428571428572</v>
      </c>
      <c r="J27" s="153" t="str">
        <f t="shared" si="11"/>
        <v/>
      </c>
      <c r="K27" s="78" t="str">
        <f t="shared" si="13"/>
        <v/>
      </c>
      <c r="L27" s="157"/>
      <c r="M27" s="167" t="s">
        <v>67</v>
      </c>
      <c r="N27" s="98">
        <f>V27-V28</f>
        <v>-5</v>
      </c>
      <c r="O27" s="99">
        <f t="shared" ref="O27:U27" si="14">W27-W28</f>
        <v>3</v>
      </c>
      <c r="P27" s="100">
        <f t="shared" si="14"/>
        <v>-7</v>
      </c>
      <c r="Q27" s="99">
        <f t="shared" si="14"/>
        <v>-1</v>
      </c>
      <c r="R27" s="100">
        <f t="shared" si="14"/>
        <v>5</v>
      </c>
      <c r="S27" s="99">
        <f t="shared" si="14"/>
        <v>7</v>
      </c>
      <c r="T27" s="100">
        <f t="shared" si="14"/>
        <v>-3</v>
      </c>
      <c r="U27" s="101">
        <f t="shared" si="14"/>
        <v>1</v>
      </c>
      <c r="V27" s="4">
        <f t="shared" ref="V27:AC27" si="15">COUNTIF(V20:V26,"&gt;0")</f>
        <v>1</v>
      </c>
      <c r="W27" s="4">
        <f t="shared" si="15"/>
        <v>5</v>
      </c>
      <c r="X27" s="4">
        <f t="shared" si="15"/>
        <v>0</v>
      </c>
      <c r="Y27" s="4">
        <f t="shared" si="15"/>
        <v>3</v>
      </c>
      <c r="Z27" s="4">
        <f t="shared" si="15"/>
        <v>6</v>
      </c>
      <c r="AA27" s="4">
        <f t="shared" si="15"/>
        <v>7</v>
      </c>
      <c r="AB27" s="4">
        <f t="shared" si="15"/>
        <v>2</v>
      </c>
      <c r="AC27" s="4">
        <f t="shared" si="15"/>
        <v>4</v>
      </c>
      <c r="AE27" s="21"/>
      <c r="AF27" s="21">
        <v>85</v>
      </c>
      <c r="AG27" s="21">
        <v>7</v>
      </c>
      <c r="AI27" s="7"/>
      <c r="AJ27" s="3"/>
      <c r="AK27" s="3">
        <v>21</v>
      </c>
      <c r="AL27" s="163">
        <v>0.1519779710434542</v>
      </c>
    </row>
    <row r="28" spans="2:38" s="4" customFormat="1" ht="12.75" customHeight="1" thickBot="1">
      <c r="B28" s="158"/>
      <c r="C28" s="68"/>
      <c r="D28" s="90">
        <f>$G$8</f>
        <v>0.20000000000020002</v>
      </c>
      <c r="E28" s="91" t="s">
        <v>14</v>
      </c>
      <c r="F28" s="92">
        <f t="shared" si="9"/>
        <v>6.4285714285714288</v>
      </c>
      <c r="G28" s="93">
        <f t="shared" si="10"/>
        <v>2.7142857142857144</v>
      </c>
      <c r="H28" s="142">
        <f t="shared" si="12"/>
        <v>3.7142857142857144</v>
      </c>
      <c r="I28" s="160">
        <v>-1.1428571428571428</v>
      </c>
      <c r="J28" s="154" t="str">
        <f t="shared" si="11"/>
        <v>Buy</v>
      </c>
      <c r="K28" s="90" t="str">
        <f t="shared" si="13"/>
        <v/>
      </c>
      <c r="L28" s="157"/>
      <c r="M28" s="167" t="s">
        <v>66</v>
      </c>
      <c r="N28" s="102">
        <f>(G16-G14)+(Q16-Q14)+(W16-W14)+(AA16-AA14)+(AB14-AB16)+(AC14-AC16)+(AD14-AD16)</f>
        <v>-25</v>
      </c>
      <c r="O28" s="103">
        <f>(E16-E14)+(I16-I14)+(J16-J14)+(O16-O14)+(U16-U14)+(Z16-Z14)+(AD16-AD14)</f>
        <v>9</v>
      </c>
      <c r="P28" s="104">
        <f>(N16-N14)+(R14-R16)+(S14-S16)+(T14-T16)+(U14-U16)+(V14-V16)+(W14-W16)</f>
        <v>-33</v>
      </c>
      <c r="Q28" s="103">
        <f>(K14-K16)+(L14-L16)+(M14-M16)+(N14-N16)+(O14-O16)+(P14-P16)+(Q14-Q16)</f>
        <v>-17</v>
      </c>
      <c r="R28" s="104">
        <f>(C14-C16)+(D14-D16)+(E14-E16)+(F14-F16)+(G14-G16)+(K16-K14)+(R16-R14)</f>
        <v>27</v>
      </c>
      <c r="S28" s="103">
        <f>(F16-F14)+(P16-P14)+(V16-V14)+(X14-X16)+(Y14-Y16)+(Z14-Z16)+(AA14-AA16)</f>
        <v>53</v>
      </c>
      <c r="T28" s="104">
        <f>(C16-C14)+(H14-H16)+(I14-I16)+(L16-L14)+(S16-S14)+(X16-X14)+(AB16-AB14)</f>
        <v>-21</v>
      </c>
      <c r="U28" s="105">
        <f>(D16-D14)+(H16-H14)+(J14-J16)+(M16-M14)+(T16-T14)+(Y16-Y14)+(AC16-AC14)</f>
        <v>7</v>
      </c>
      <c r="V28" s="4">
        <f t="shared" ref="V28:AC28" si="16">COUNTIF(V20:V26,"&lt;0")</f>
        <v>6</v>
      </c>
      <c r="W28" s="4">
        <f t="shared" si="16"/>
        <v>2</v>
      </c>
      <c r="X28" s="4">
        <f t="shared" si="16"/>
        <v>7</v>
      </c>
      <c r="Y28" s="4">
        <f t="shared" si="16"/>
        <v>4</v>
      </c>
      <c r="Z28" s="4">
        <f t="shared" si="16"/>
        <v>1</v>
      </c>
      <c r="AA28" s="4">
        <f t="shared" si="16"/>
        <v>0</v>
      </c>
      <c r="AB28" s="4">
        <f t="shared" si="16"/>
        <v>5</v>
      </c>
      <c r="AC28" s="4">
        <f t="shared" si="16"/>
        <v>3</v>
      </c>
      <c r="AE28" s="21"/>
      <c r="AF28" s="21">
        <v>80</v>
      </c>
      <c r="AG28" s="21">
        <v>6</v>
      </c>
      <c r="AI28" s="7"/>
      <c r="AJ28" s="3"/>
      <c r="AK28" s="3">
        <v>22</v>
      </c>
      <c r="AL28" s="163">
        <v>0.15486843178542281</v>
      </c>
    </row>
    <row r="29" spans="2:38" s="4" customFormat="1" ht="12.75" customHeight="1">
      <c r="B29" s="158"/>
      <c r="C29" s="68"/>
      <c r="D29" s="78">
        <f>$H$8</f>
        <v>1.2000000000000899</v>
      </c>
      <c r="E29" s="83" t="s">
        <v>26</v>
      </c>
      <c r="F29" s="84">
        <f t="shared" si="9"/>
        <v>3</v>
      </c>
      <c r="G29" s="85">
        <f t="shared" si="10"/>
        <v>5</v>
      </c>
      <c r="H29" s="123">
        <f t="shared" si="12"/>
        <v>-2</v>
      </c>
      <c r="I29" s="159">
        <v>-3.4285714285714279</v>
      </c>
      <c r="J29" s="153" t="str">
        <f t="shared" si="11"/>
        <v>Buy</v>
      </c>
      <c r="K29" s="78" t="str">
        <f t="shared" si="13"/>
        <v/>
      </c>
      <c r="L29" s="157"/>
      <c r="AE29" s="21"/>
      <c r="AF29" s="21">
        <v>75</v>
      </c>
      <c r="AG29" s="21">
        <v>5</v>
      </c>
      <c r="AI29" s="7"/>
      <c r="AJ29" s="3"/>
      <c r="AK29" s="3">
        <v>23</v>
      </c>
      <c r="AL29" s="163">
        <v>0.15775618867707436</v>
      </c>
    </row>
    <row r="30" spans="2:38" s="4" customFormat="1" ht="12.75" customHeight="1">
      <c r="B30" s="158"/>
      <c r="C30" s="68"/>
      <c r="D30" s="106">
        <f>$I$8</f>
        <v>0.60000000000002274</v>
      </c>
      <c r="E30" s="107" t="s">
        <v>8</v>
      </c>
      <c r="F30" s="108">
        <f t="shared" si="9"/>
        <v>3</v>
      </c>
      <c r="G30" s="109">
        <f t="shared" si="10"/>
        <v>5.1428571428571432</v>
      </c>
      <c r="H30" s="143">
        <f t="shared" si="12"/>
        <v>-2.1428571428571432</v>
      </c>
      <c r="I30" s="161">
        <v>2.7142857142857144</v>
      </c>
      <c r="J30" s="155" t="str">
        <f t="shared" si="11"/>
        <v>Sell</v>
      </c>
      <c r="K30" s="106" t="str">
        <f t="shared" si="13"/>
        <v/>
      </c>
      <c r="L30" s="157"/>
      <c r="AE30" s="21"/>
      <c r="AF30" s="21">
        <v>70</v>
      </c>
      <c r="AG30" s="21">
        <v>4</v>
      </c>
      <c r="AI30" s="7"/>
      <c r="AJ30" s="3"/>
      <c r="AK30" s="3">
        <v>24</v>
      </c>
      <c r="AL30" s="163">
        <v>0.16064124380548642</v>
      </c>
    </row>
    <row r="31" spans="2:38" s="4" customFormat="1" ht="12.75" customHeight="1">
      <c r="B31" s="158"/>
      <c r="C31" s="68"/>
      <c r="D31" s="110">
        <f>$J$8</f>
        <v>1.2000000000000455</v>
      </c>
      <c r="E31" s="111" t="s">
        <v>7</v>
      </c>
      <c r="F31" s="112">
        <f t="shared" si="9"/>
        <v>5</v>
      </c>
      <c r="G31" s="113">
        <f t="shared" si="10"/>
        <v>5.1428571428571432</v>
      </c>
      <c r="H31" s="144">
        <f t="shared" si="12"/>
        <v>-0.14285714285714324</v>
      </c>
      <c r="I31" s="159">
        <v>6.1428571428571423</v>
      </c>
      <c r="J31" s="153" t="str">
        <f t="shared" si="11"/>
        <v>Sell</v>
      </c>
      <c r="K31" s="110" t="str">
        <f t="shared" si="13"/>
        <v/>
      </c>
      <c r="L31" s="157"/>
      <c r="AE31" s="21"/>
      <c r="AF31" s="21">
        <v>65</v>
      </c>
      <c r="AG31" s="21">
        <v>3</v>
      </c>
      <c r="AI31" s="7"/>
      <c r="AJ31" s="3"/>
      <c r="AK31" s="3">
        <v>25</v>
      </c>
      <c r="AL31" s="163">
        <v>0.1635235992568129</v>
      </c>
    </row>
    <row r="32" spans="2:38" s="4" customFormat="1" ht="12.75" customHeight="1">
      <c r="B32" s="158"/>
      <c r="C32" s="68"/>
      <c r="D32" s="114">
        <f>$K$8</f>
        <v>1.100000000000545</v>
      </c>
      <c r="E32" s="83" t="s">
        <v>0</v>
      </c>
      <c r="F32" s="84">
        <f t="shared" ref="F32:F51" si="17">HLOOKUP(LEFT(E32,3),$D$18:$K$19,2,FALSE)</f>
        <v>3.2857142857142856</v>
      </c>
      <c r="G32" s="85">
        <f t="shared" ref="G32:G51" si="18">HLOOKUP(RIGHT(E32,3),$D$18:$K$19,2,FALSE)</f>
        <v>6.4285714285714288</v>
      </c>
      <c r="H32" s="141">
        <f t="shared" si="12"/>
        <v>-3.1428571428571432</v>
      </c>
      <c r="I32" s="159">
        <v>3.5714285714285716</v>
      </c>
      <c r="J32" s="153" t="str">
        <f t="shared" si="11"/>
        <v>Sell</v>
      </c>
      <c r="K32" s="114" t="str">
        <f t="shared" si="13"/>
        <v/>
      </c>
      <c r="L32" s="157"/>
      <c r="Q32" s="4">
        <f>(D19+E19+F19+G19+H19+I19+J19+K19)/8</f>
        <v>4.5</v>
      </c>
      <c r="R32" s="4">
        <f>SUM((N26+O26+P26+Q26+R26+S26+T26+U26)/8)</f>
        <v>4.5</v>
      </c>
      <c r="AE32" s="21"/>
      <c r="AF32" s="21">
        <v>60</v>
      </c>
      <c r="AG32" s="21">
        <v>2</v>
      </c>
      <c r="AI32" s="7"/>
      <c r="AJ32" s="3"/>
      <c r="AK32" s="3">
        <v>26</v>
      </c>
      <c r="AL32" s="163">
        <v>0.16640325711628454</v>
      </c>
    </row>
    <row r="33" spans="2:38" s="4" customFormat="1" ht="12.75" customHeight="1">
      <c r="B33" s="158"/>
      <c r="C33" s="68"/>
      <c r="D33" s="78">
        <f>$L$8</f>
        <v>0.70000000000014495</v>
      </c>
      <c r="E33" s="83" t="s">
        <v>1</v>
      </c>
      <c r="F33" s="84">
        <f t="shared" si="17"/>
        <v>3.2857142857142856</v>
      </c>
      <c r="G33" s="85">
        <f t="shared" si="18"/>
        <v>3</v>
      </c>
      <c r="H33" s="123">
        <f t="shared" si="12"/>
        <v>0.28571428571428559</v>
      </c>
      <c r="I33" s="160">
        <v>2</v>
      </c>
      <c r="J33" s="154" t="str">
        <f t="shared" si="11"/>
        <v>Sell</v>
      </c>
      <c r="K33" s="78" t="str">
        <f t="shared" si="13"/>
        <v/>
      </c>
      <c r="L33" s="157"/>
      <c r="AE33" s="21"/>
      <c r="AF33" s="21">
        <v>55</v>
      </c>
      <c r="AG33" s="21">
        <v>1</v>
      </c>
      <c r="AI33" s="7"/>
      <c r="AJ33" s="3"/>
      <c r="AK33" s="3">
        <v>27</v>
      </c>
      <c r="AL33" s="163">
        <v>0.16928021946820848</v>
      </c>
    </row>
    <row r="34" spans="2:38" s="4" customFormat="1" ht="12.75" customHeight="1">
      <c r="B34" s="158"/>
      <c r="C34" s="68"/>
      <c r="D34" s="115">
        <f>$M$8</f>
        <v>0.79999999999857963</v>
      </c>
      <c r="E34" s="83" t="s">
        <v>2</v>
      </c>
      <c r="F34" s="84">
        <f t="shared" si="17"/>
        <v>3.2857142857142856</v>
      </c>
      <c r="G34" s="85">
        <f t="shared" si="18"/>
        <v>5</v>
      </c>
      <c r="H34" s="141">
        <f t="shared" si="12"/>
        <v>-1.7142857142857144</v>
      </c>
      <c r="I34" s="159">
        <v>-1.4285714285714279</v>
      </c>
      <c r="J34" s="153" t="str">
        <f t="shared" si="11"/>
        <v/>
      </c>
      <c r="K34" s="78" t="str">
        <f t="shared" si="13"/>
        <v/>
      </c>
      <c r="L34" s="157"/>
      <c r="N34" s="4">
        <f>(G16+Q16+W16+AA16+AB14+AC14+AD14)</f>
        <v>19</v>
      </c>
      <c r="O34" s="4">
        <f>(E16+I16+J16+O16+U16+Z16+AD16)</f>
        <v>36</v>
      </c>
      <c r="AF34" s="21">
        <v>50</v>
      </c>
      <c r="AG34" s="21">
        <v>0</v>
      </c>
      <c r="AI34" s="7"/>
      <c r="AJ34" s="3"/>
      <c r="AK34" s="3">
        <v>28</v>
      </c>
      <c r="AL34" s="163">
        <v>0.172154488395969</v>
      </c>
    </row>
    <row r="35" spans="2:38" s="4" customFormat="1" ht="12.75" customHeight="1">
      <c r="B35" s="158"/>
      <c r="C35" s="68"/>
      <c r="D35" s="116">
        <f>$N$8</f>
        <v>0.40000000000040004</v>
      </c>
      <c r="E35" s="83" t="s">
        <v>3</v>
      </c>
      <c r="F35" s="84">
        <f t="shared" si="17"/>
        <v>3.2857142857142856</v>
      </c>
      <c r="G35" s="85">
        <f t="shared" si="18"/>
        <v>2.1428571428571428</v>
      </c>
      <c r="H35" s="123">
        <f t="shared" si="12"/>
        <v>1.1428571428571428</v>
      </c>
      <c r="I35" s="160">
        <v>0.14285714285714324</v>
      </c>
      <c r="J35" s="154" t="b">
        <f t="shared" si="11"/>
        <v>0</v>
      </c>
      <c r="K35" s="90" t="str">
        <f t="shared" si="13"/>
        <v/>
      </c>
      <c r="L35" s="157"/>
      <c r="AF35" s="21">
        <v>45</v>
      </c>
      <c r="AG35" s="21">
        <v>-1</v>
      </c>
      <c r="AI35" s="7"/>
      <c r="AJ35" s="3"/>
      <c r="AK35" s="3">
        <v>29</v>
      </c>
      <c r="AL35" s="163">
        <v>0.17502606598202744</v>
      </c>
    </row>
    <row r="36" spans="2:38" s="4" customFormat="1" ht="12.75" customHeight="1">
      <c r="B36" s="158"/>
      <c r="C36" s="68"/>
      <c r="D36" s="117">
        <f>$O$8</f>
        <v>0.60000000000002274</v>
      </c>
      <c r="E36" s="118" t="s">
        <v>4</v>
      </c>
      <c r="F36" s="119">
        <f t="shared" si="17"/>
        <v>3.2857142857142856</v>
      </c>
      <c r="G36" s="120">
        <f t="shared" si="18"/>
        <v>5.1428571428571432</v>
      </c>
      <c r="H36" s="121">
        <f t="shared" si="12"/>
        <v>-1.8571428571428577</v>
      </c>
      <c r="I36" s="159">
        <v>4.7142857142857144</v>
      </c>
      <c r="J36" s="153" t="str">
        <f t="shared" si="11"/>
        <v>Sell</v>
      </c>
      <c r="K36" s="78" t="str">
        <f t="shared" si="13"/>
        <v/>
      </c>
      <c r="L36" s="157"/>
      <c r="AF36" s="21">
        <v>40</v>
      </c>
      <c r="AG36" s="21">
        <v>-2</v>
      </c>
      <c r="AI36" s="7"/>
      <c r="AJ36" s="3"/>
      <c r="AK36" s="3">
        <v>30</v>
      </c>
      <c r="AL36" s="163">
        <v>0.17789495430792227</v>
      </c>
    </row>
    <row r="37" spans="2:38" s="4" customFormat="1" ht="12.75" customHeight="1">
      <c r="B37" s="158"/>
      <c r="C37" s="68"/>
      <c r="D37" s="78">
        <f>$P$8</f>
        <v>3.1000000000003247</v>
      </c>
      <c r="E37" s="122" t="s">
        <v>5</v>
      </c>
      <c r="F37" s="84">
        <f t="shared" si="17"/>
        <v>3.2857142857142856</v>
      </c>
      <c r="G37" s="85">
        <f t="shared" si="18"/>
        <v>8.2857142857142865</v>
      </c>
      <c r="H37" s="123">
        <f t="shared" si="12"/>
        <v>-5.0000000000000009</v>
      </c>
      <c r="I37" s="161">
        <v>1.7142857142857144</v>
      </c>
      <c r="J37" s="155" t="str">
        <f t="shared" si="11"/>
        <v>Sell</v>
      </c>
      <c r="K37" s="90" t="str">
        <f t="shared" si="13"/>
        <v/>
      </c>
      <c r="L37" s="157"/>
      <c r="AF37" s="21">
        <v>35</v>
      </c>
      <c r="AG37" s="21">
        <v>-3</v>
      </c>
      <c r="AI37" s="7"/>
      <c r="AJ37" s="3"/>
      <c r="AK37" s="3">
        <v>31</v>
      </c>
      <c r="AL37" s="163">
        <v>0.18076115545426963</v>
      </c>
    </row>
    <row r="38" spans="2:38" s="4" customFormat="1" ht="12.75" customHeight="1">
      <c r="B38" s="158"/>
      <c r="C38" s="68"/>
      <c r="D38" s="117">
        <f>$Q$8</f>
        <v>0.10000000000065512</v>
      </c>
      <c r="E38" s="124" t="s">
        <v>6</v>
      </c>
      <c r="F38" s="119">
        <f t="shared" si="17"/>
        <v>3.2857142857142856</v>
      </c>
      <c r="G38" s="120">
        <f t="shared" si="18"/>
        <v>2.7142857142857144</v>
      </c>
      <c r="H38" s="121">
        <f t="shared" si="12"/>
        <v>0.57142857142857117</v>
      </c>
      <c r="I38" s="159">
        <v>2.4285714285714288</v>
      </c>
      <c r="J38" s="153" t="str">
        <f t="shared" si="11"/>
        <v>Sell</v>
      </c>
      <c r="K38" s="78" t="str">
        <f t="shared" si="13"/>
        <v/>
      </c>
      <c r="L38" s="157"/>
      <c r="AF38" s="21">
        <v>30</v>
      </c>
      <c r="AG38" s="21">
        <v>-4</v>
      </c>
      <c r="AI38" s="7"/>
      <c r="AJ38" s="3"/>
      <c r="AK38" s="3">
        <v>32</v>
      </c>
      <c r="AL38" s="163">
        <v>0.1836246715007632</v>
      </c>
    </row>
    <row r="39" spans="2:38" s="4" customFormat="1" ht="12.75" customHeight="1">
      <c r="B39" s="158"/>
      <c r="C39" s="68"/>
      <c r="D39" s="78">
        <f>$R$8</f>
        <v>2.1999999999988695</v>
      </c>
      <c r="E39" s="83" t="s">
        <v>23</v>
      </c>
      <c r="F39" s="84">
        <f t="shared" si="17"/>
        <v>2.1428571428571428</v>
      </c>
      <c r="G39" s="85">
        <f t="shared" si="18"/>
        <v>6.4285714285714288</v>
      </c>
      <c r="H39" s="123">
        <f t="shared" si="12"/>
        <v>-4.2857142857142865</v>
      </c>
      <c r="I39" s="159">
        <v>3.4285714285714284</v>
      </c>
      <c r="J39" s="153" t="str">
        <f t="shared" si="11"/>
        <v>Sell</v>
      </c>
      <c r="K39" s="106" t="str">
        <f t="shared" si="13"/>
        <v/>
      </c>
      <c r="L39" s="157"/>
      <c r="AF39" s="21">
        <v>25</v>
      </c>
      <c r="AG39" s="21">
        <v>-5</v>
      </c>
      <c r="AI39" s="7"/>
      <c r="AJ39" s="3"/>
      <c r="AK39" s="3">
        <v>33</v>
      </c>
      <c r="AL39" s="163">
        <v>0.18648550452617452</v>
      </c>
    </row>
    <row r="40" spans="2:38" s="4" customFormat="1" ht="12.75" customHeight="1">
      <c r="B40" s="158"/>
      <c r="C40" s="68"/>
      <c r="D40" s="114">
        <f>$S$8</f>
        <v>1.2999999999996348</v>
      </c>
      <c r="E40" s="83" t="s">
        <v>19</v>
      </c>
      <c r="F40" s="84">
        <f t="shared" si="17"/>
        <v>2.1428571428571428</v>
      </c>
      <c r="G40" s="85">
        <f t="shared" si="18"/>
        <v>3</v>
      </c>
      <c r="H40" s="141">
        <f t="shared" si="12"/>
        <v>-0.85714285714285721</v>
      </c>
      <c r="I40" s="160">
        <v>1.8571428571428568</v>
      </c>
      <c r="J40" s="154" t="str">
        <f t="shared" si="11"/>
        <v>Sell</v>
      </c>
      <c r="K40" s="110" t="str">
        <f t="shared" si="13"/>
        <v/>
      </c>
      <c r="L40" s="157"/>
      <c r="AF40" s="21">
        <v>20</v>
      </c>
      <c r="AG40" s="21">
        <v>-6</v>
      </c>
      <c r="AI40" s="7"/>
      <c r="AJ40" s="3"/>
      <c r="AK40" s="3">
        <v>34</v>
      </c>
      <c r="AL40" s="163">
        <v>0.18934365660835303</v>
      </c>
    </row>
    <row r="41" spans="2:38" s="4" customFormat="1" ht="12.75" customHeight="1">
      <c r="B41" s="158"/>
      <c r="C41" s="68"/>
      <c r="D41" s="78">
        <f>$T$8</f>
        <v>1.9999999999997797</v>
      </c>
      <c r="E41" s="83" t="s">
        <v>20</v>
      </c>
      <c r="F41" s="84">
        <f t="shared" si="17"/>
        <v>2.1428571428571428</v>
      </c>
      <c r="G41" s="85">
        <f t="shared" si="18"/>
        <v>5</v>
      </c>
      <c r="H41" s="123">
        <f t="shared" si="12"/>
        <v>-2.8571428571428572</v>
      </c>
      <c r="I41" s="159">
        <v>-1.5714285714285712</v>
      </c>
      <c r="J41" s="153" t="str">
        <f t="shared" si="11"/>
        <v>Sell</v>
      </c>
      <c r="K41" s="114" t="str">
        <f t="shared" si="13"/>
        <v/>
      </c>
      <c r="L41" s="157"/>
      <c r="AF41" s="21">
        <v>15</v>
      </c>
      <c r="AG41" s="21">
        <v>-7</v>
      </c>
      <c r="AI41" s="7"/>
      <c r="AJ41" s="3"/>
      <c r="AK41" s="3">
        <v>35</v>
      </c>
      <c r="AL41" s="163">
        <v>0.19219912982422663</v>
      </c>
    </row>
    <row r="42" spans="2:38" s="4" customFormat="1" ht="12.75" customHeight="1">
      <c r="B42" s="158"/>
      <c r="C42" s="68"/>
      <c r="D42" s="125">
        <f>$U$8</f>
        <v>0.90000000000145519</v>
      </c>
      <c r="E42" s="126" t="s">
        <v>11</v>
      </c>
      <c r="F42" s="127">
        <f t="shared" si="17"/>
        <v>2.1428571428571428</v>
      </c>
      <c r="G42" s="128">
        <f t="shared" si="18"/>
        <v>5.1428571428571432</v>
      </c>
      <c r="H42" s="145">
        <f t="shared" si="12"/>
        <v>-3.0000000000000004</v>
      </c>
      <c r="I42" s="160">
        <v>4.5714285714285712</v>
      </c>
      <c r="J42" s="154" t="str">
        <f t="shared" si="11"/>
        <v>Sell</v>
      </c>
      <c r="K42" s="78" t="str">
        <f t="shared" si="13"/>
        <v/>
      </c>
      <c r="L42" s="157"/>
      <c r="AF42" s="21">
        <v>10</v>
      </c>
      <c r="AG42" s="21">
        <v>-8</v>
      </c>
      <c r="AI42" s="7"/>
      <c r="AJ42" s="3"/>
      <c r="AK42" s="3">
        <v>36</v>
      </c>
      <c r="AL42" s="163">
        <v>0.19505192624980128</v>
      </c>
    </row>
    <row r="43" spans="2:38" s="4" customFormat="1" ht="12.75" customHeight="1">
      <c r="B43" s="158"/>
      <c r="C43" s="68"/>
      <c r="D43" s="78">
        <f>$V$8</f>
        <v>3.1999999999987594</v>
      </c>
      <c r="E43" s="83" t="s">
        <v>18</v>
      </c>
      <c r="F43" s="84">
        <f t="shared" si="17"/>
        <v>2.1428571428571428</v>
      </c>
      <c r="G43" s="85">
        <f t="shared" si="18"/>
        <v>8.2857142857142865</v>
      </c>
      <c r="H43" s="123">
        <f t="shared" si="12"/>
        <v>-6.1428571428571441</v>
      </c>
      <c r="I43" s="159">
        <v>1.5714285714285712</v>
      </c>
      <c r="J43" s="153" t="str">
        <f t="shared" si="11"/>
        <v>Sell</v>
      </c>
      <c r="K43" s="78" t="str">
        <f t="shared" si="13"/>
        <v/>
      </c>
      <c r="L43" s="157"/>
      <c r="AF43" s="21">
        <v>5</v>
      </c>
      <c r="AG43" s="21">
        <v>-9</v>
      </c>
      <c r="AI43" s="7"/>
      <c r="AJ43" s="3"/>
      <c r="AK43" s="3">
        <v>37</v>
      </c>
      <c r="AL43" s="163">
        <v>0.19790204796016175</v>
      </c>
    </row>
    <row r="44" spans="2:38" s="4" customFormat="1" ht="12.75" customHeight="1">
      <c r="B44" s="158"/>
      <c r="C44" s="68"/>
      <c r="D44" s="125">
        <f>$W$8</f>
        <v>0.49999999999883471</v>
      </c>
      <c r="E44" s="126" t="s">
        <v>13</v>
      </c>
      <c r="F44" s="127">
        <f t="shared" si="17"/>
        <v>2.1428571428571428</v>
      </c>
      <c r="G44" s="128">
        <f t="shared" si="18"/>
        <v>2.7142857142857144</v>
      </c>
      <c r="H44" s="145">
        <f t="shared" si="12"/>
        <v>-0.57142857142857162</v>
      </c>
      <c r="I44" s="161">
        <v>2.2857142857142856</v>
      </c>
      <c r="J44" s="155" t="str">
        <f t="shared" si="11"/>
        <v>Sell</v>
      </c>
      <c r="K44" s="90" t="str">
        <f t="shared" si="13"/>
        <v/>
      </c>
      <c r="L44" s="157"/>
      <c r="AI44" s="7"/>
      <c r="AJ44" s="3"/>
      <c r="AK44" s="3">
        <v>38</v>
      </c>
      <c r="AL44" s="163">
        <v>0.20074949702947145</v>
      </c>
    </row>
    <row r="45" spans="2:38" s="4" customFormat="1" ht="12.75" customHeight="1">
      <c r="B45" s="158"/>
      <c r="C45" s="68"/>
      <c r="D45" s="78">
        <f>$X$8</f>
        <v>1.300000000000745</v>
      </c>
      <c r="E45" s="83" t="s">
        <v>21</v>
      </c>
      <c r="F45" s="84">
        <f t="shared" si="17"/>
        <v>8.2857142857142865</v>
      </c>
      <c r="G45" s="85">
        <f t="shared" si="18"/>
        <v>3</v>
      </c>
      <c r="H45" s="123">
        <f t="shared" si="12"/>
        <v>5.2857142857142865</v>
      </c>
      <c r="I45" s="159">
        <v>0.28571428571428559</v>
      </c>
      <c r="J45" s="153" t="str">
        <f t="shared" si="11"/>
        <v>Buy</v>
      </c>
      <c r="K45" s="78" t="str">
        <f t="shared" si="13"/>
        <v/>
      </c>
      <c r="L45" s="157"/>
      <c r="AI45" s="7"/>
      <c r="AJ45" s="3"/>
      <c r="AK45" s="3">
        <v>39</v>
      </c>
      <c r="AL45" s="163">
        <v>0.20359427553097276</v>
      </c>
    </row>
    <row r="46" spans="2:38" s="4" customFormat="1" ht="12.75" customHeight="1">
      <c r="B46" s="158"/>
      <c r="C46" s="68"/>
      <c r="D46" s="114">
        <f>$Y$8</f>
        <v>1.8000000000006899</v>
      </c>
      <c r="E46" s="83" t="s">
        <v>27</v>
      </c>
      <c r="F46" s="84">
        <f t="shared" si="17"/>
        <v>8.2857142857142865</v>
      </c>
      <c r="G46" s="85">
        <f t="shared" si="18"/>
        <v>5</v>
      </c>
      <c r="H46" s="141">
        <f t="shared" si="12"/>
        <v>3.2857142857142865</v>
      </c>
      <c r="I46" s="159">
        <v>-3.1428571428571423</v>
      </c>
      <c r="J46" s="153" t="str">
        <f t="shared" si="11"/>
        <v>Buy</v>
      </c>
      <c r="K46" s="90" t="str">
        <f t="shared" si="13"/>
        <v/>
      </c>
      <c r="L46" s="157"/>
      <c r="AI46" s="7"/>
      <c r="AJ46" s="3"/>
      <c r="AK46" s="3">
        <v>40</v>
      </c>
      <c r="AL46" s="163">
        <v>0.2064363855369872</v>
      </c>
    </row>
    <row r="47" spans="2:38" s="4" customFormat="1" ht="12.75" customHeight="1">
      <c r="B47" s="158"/>
      <c r="C47" s="68"/>
      <c r="D47" s="129">
        <f>$Z$8</f>
        <v>1.2000000000000455</v>
      </c>
      <c r="E47" s="130" t="s">
        <v>10</v>
      </c>
      <c r="F47" s="131">
        <f t="shared" si="17"/>
        <v>8.2857142857142865</v>
      </c>
      <c r="G47" s="132">
        <f t="shared" si="18"/>
        <v>5.1428571428571432</v>
      </c>
      <c r="H47" s="146">
        <f t="shared" si="12"/>
        <v>3.1428571428571432</v>
      </c>
      <c r="I47" s="160">
        <v>3</v>
      </c>
      <c r="J47" s="154" t="str">
        <f t="shared" si="11"/>
        <v/>
      </c>
      <c r="K47" s="78" t="str">
        <f t="shared" si="13"/>
        <v/>
      </c>
      <c r="L47" s="157"/>
      <c r="AI47" s="7"/>
      <c r="AJ47" s="3"/>
      <c r="AK47" s="3">
        <v>41</v>
      </c>
      <c r="AL47" s="163">
        <v>0.20927582911891546</v>
      </c>
    </row>
    <row r="48" spans="2:38" s="4" customFormat="1" ht="12.75" customHeight="1">
      <c r="B48" s="158"/>
      <c r="C48" s="68"/>
      <c r="D48" s="133">
        <f>$AA$8</f>
        <v>0.79999999999968985</v>
      </c>
      <c r="E48" s="130" t="s">
        <v>15</v>
      </c>
      <c r="F48" s="131">
        <f t="shared" si="17"/>
        <v>8.2857142857142865</v>
      </c>
      <c r="G48" s="132">
        <f t="shared" si="18"/>
        <v>2.7142857142857144</v>
      </c>
      <c r="H48" s="147">
        <f t="shared" si="12"/>
        <v>5.5714285714285721</v>
      </c>
      <c r="I48" s="159">
        <v>0.71428571428571441</v>
      </c>
      <c r="J48" s="153" t="str">
        <f t="shared" si="11"/>
        <v>Buy</v>
      </c>
      <c r="K48" s="106" t="str">
        <f t="shared" si="13"/>
        <v/>
      </c>
      <c r="L48" s="157"/>
      <c r="AI48" s="7"/>
      <c r="AJ48" s="3"/>
      <c r="AK48" s="3">
        <v>42</v>
      </c>
      <c r="AL48" s="163">
        <v>0.21211260834723786</v>
      </c>
    </row>
    <row r="49" spans="2:38" s="4" customFormat="1" ht="12.75" customHeight="1">
      <c r="B49" s="158"/>
      <c r="C49" s="68"/>
      <c r="D49" s="134">
        <f>$AB$8</f>
        <v>0.49999999999883471</v>
      </c>
      <c r="E49" s="107" t="s">
        <v>17</v>
      </c>
      <c r="F49" s="108">
        <f t="shared" si="17"/>
        <v>2.7142857142857144</v>
      </c>
      <c r="G49" s="109">
        <f t="shared" si="18"/>
        <v>3</v>
      </c>
      <c r="H49" s="148">
        <f t="shared" si="12"/>
        <v>-0.28571428571428559</v>
      </c>
      <c r="I49" s="160">
        <v>-0.42857142857142883</v>
      </c>
      <c r="J49" s="154" t="str">
        <f t="shared" si="11"/>
        <v/>
      </c>
      <c r="K49" s="110" t="str">
        <f t="shared" si="13"/>
        <v/>
      </c>
      <c r="L49" s="157"/>
      <c r="AI49" s="7"/>
      <c r="AJ49" s="3"/>
      <c r="AK49" s="3">
        <v>43</v>
      </c>
      <c r="AL49" s="163">
        <v>0.21494672529151435</v>
      </c>
    </row>
    <row r="50" spans="2:38" s="4" customFormat="1" ht="12.75" customHeight="1">
      <c r="B50" s="158"/>
      <c r="C50" s="68"/>
      <c r="D50" s="135">
        <f>$AC$8</f>
        <v>0.70000000000014495</v>
      </c>
      <c r="E50" s="111" t="s">
        <v>16</v>
      </c>
      <c r="F50" s="112">
        <f t="shared" si="17"/>
        <v>2.7142857142857144</v>
      </c>
      <c r="G50" s="113">
        <f t="shared" si="18"/>
        <v>5</v>
      </c>
      <c r="H50" s="144">
        <f t="shared" si="12"/>
        <v>-2.2857142857142856</v>
      </c>
      <c r="I50" s="159">
        <v>-3.8571428571428568</v>
      </c>
      <c r="J50" s="153" t="str">
        <f t="shared" si="11"/>
        <v>Buy</v>
      </c>
      <c r="K50" s="114" t="str">
        <f t="shared" si="13"/>
        <v/>
      </c>
      <c r="L50" s="157"/>
      <c r="AI50" s="7"/>
      <c r="AJ50" s="3"/>
      <c r="AK50" s="3">
        <v>44</v>
      </c>
      <c r="AL50" s="163">
        <v>0.21777818202038468</v>
      </c>
    </row>
    <row r="51" spans="2:38" s="4" customFormat="1" ht="12.75" customHeight="1" thickBot="1">
      <c r="B51" s="158"/>
      <c r="C51" s="68"/>
      <c r="D51" s="136">
        <f>$AD$8</f>
        <v>0.39999999999906777</v>
      </c>
      <c r="E51" s="137" t="s">
        <v>9</v>
      </c>
      <c r="F51" s="138">
        <f t="shared" si="17"/>
        <v>2.7142857142857144</v>
      </c>
      <c r="G51" s="139">
        <f t="shared" si="18"/>
        <v>5.1428571428571432</v>
      </c>
      <c r="H51" s="149">
        <f t="shared" si="12"/>
        <v>-2.4285714285714288</v>
      </c>
      <c r="I51" s="162">
        <v>2.2857142857142856</v>
      </c>
      <c r="J51" s="156" t="str">
        <f t="shared" si="11"/>
        <v>Sell</v>
      </c>
      <c r="K51" s="78" t="str">
        <f t="shared" si="13"/>
        <v/>
      </c>
      <c r="L51" s="157"/>
      <c r="AI51" s="7"/>
      <c r="AJ51" s="3"/>
      <c r="AK51" s="3">
        <v>45</v>
      </c>
      <c r="AL51" s="163">
        <v>0.22060698060156864</v>
      </c>
    </row>
    <row r="52" spans="2:38" s="4" customFormat="1">
      <c r="B52" s="3"/>
      <c r="AI52" s="7"/>
      <c r="AJ52" s="3"/>
      <c r="AK52" s="3">
        <v>46</v>
      </c>
      <c r="AL52" s="163">
        <v>0.22343312310186636</v>
      </c>
    </row>
    <row r="53" spans="2:38" s="4" customFormat="1">
      <c r="B53" s="3"/>
      <c r="AI53" s="7"/>
      <c r="AJ53" s="3"/>
      <c r="AK53" s="3">
        <v>47</v>
      </c>
      <c r="AL53" s="163">
        <v>0.22625661158715815</v>
      </c>
    </row>
    <row r="54" spans="2:38" s="4" customFormat="1">
      <c r="B54" s="3"/>
      <c r="AI54" s="7"/>
      <c r="AJ54" s="3"/>
      <c r="AK54" s="3">
        <v>48</v>
      </c>
      <c r="AL54" s="163">
        <v>0.22907744812240508</v>
      </c>
    </row>
    <row r="55" spans="2:38" s="4" customFormat="1">
      <c r="B55" s="3"/>
      <c r="AI55" s="7"/>
      <c r="AJ55" s="3"/>
      <c r="AK55" s="3">
        <v>49</v>
      </c>
      <c r="AL55" s="163">
        <v>0.23189563477164904</v>
      </c>
    </row>
    <row r="56" spans="2:38" s="4" customFormat="1">
      <c r="B56" s="3"/>
      <c r="AI56" s="7"/>
      <c r="AJ56" s="3"/>
      <c r="AK56" s="3">
        <v>50</v>
      </c>
      <c r="AL56" s="163">
        <v>0.23471117359801255</v>
      </c>
    </row>
    <row r="57" spans="2:38" s="4" customFormat="1">
      <c r="B57" s="3"/>
      <c r="AI57" s="7"/>
      <c r="AJ57" s="3"/>
      <c r="AK57" s="3">
        <v>51</v>
      </c>
      <c r="AL57" s="163">
        <v>0.23752406666369963</v>
      </c>
    </row>
    <row r="58" spans="2:38" s="4" customFormat="1">
      <c r="B58" s="3"/>
      <c r="AI58" s="7"/>
      <c r="AJ58" s="3"/>
      <c r="AK58" s="3">
        <v>52</v>
      </c>
      <c r="AL58" s="163">
        <v>0.24033431602999553</v>
      </c>
    </row>
    <row r="59" spans="2:38" s="4" customFormat="1">
      <c r="B59" s="3"/>
      <c r="AI59" s="7"/>
      <c r="AJ59" s="3"/>
      <c r="AK59" s="3">
        <v>53</v>
      </c>
      <c r="AL59" s="163">
        <v>0.24314192375726676</v>
      </c>
    </row>
    <row r="60" spans="2:38" s="4" customFormat="1">
      <c r="B60" s="3"/>
      <c r="AI60" s="7"/>
      <c r="AJ60" s="3"/>
      <c r="AK60" s="3">
        <v>54</v>
      </c>
      <c r="AL60" s="163">
        <v>0.24594689190496186</v>
      </c>
    </row>
    <row r="61" spans="2:38" s="4" customFormat="1">
      <c r="B61" s="3"/>
      <c r="AI61" s="7"/>
      <c r="AJ61" s="3"/>
      <c r="AK61" s="3">
        <v>55</v>
      </c>
      <c r="AL61" s="163">
        <v>0.24874922253161103</v>
      </c>
    </row>
    <row r="62" spans="2:38" s="4" customFormat="1">
      <c r="B62" s="3"/>
      <c r="AI62" s="7"/>
      <c r="AJ62" s="3"/>
      <c r="AK62" s="3">
        <v>56</v>
      </c>
      <c r="AL62" s="163">
        <v>0.25154891769482651</v>
      </c>
    </row>
    <row r="63" spans="2:38" s="4" customFormat="1">
      <c r="B63" s="3"/>
      <c r="AI63" s="7"/>
      <c r="AJ63" s="3"/>
      <c r="AK63" s="3">
        <v>57</v>
      </c>
      <c r="AL63" s="163">
        <v>0.25434597945130283</v>
      </c>
    </row>
    <row r="64" spans="2:38" s="4" customFormat="1">
      <c r="B64" s="3"/>
      <c r="AI64" s="7"/>
      <c r="AJ64" s="3"/>
      <c r="AK64" s="3">
        <v>58</v>
      </c>
      <c r="AL64" s="163">
        <v>0.25714040985681708</v>
      </c>
    </row>
    <row r="65" spans="37:38" s="4" customFormat="1">
      <c r="AK65" s="3">
        <v>59</v>
      </c>
      <c r="AL65" s="163">
        <v>0.25993221096622871</v>
      </c>
    </row>
    <row r="66" spans="37:38" s="4" customFormat="1">
      <c r="AK66" s="3">
        <v>60</v>
      </c>
      <c r="AL66" s="163">
        <v>0.26272138483348018</v>
      </c>
    </row>
    <row r="67" spans="37:38" s="4" customFormat="1">
      <c r="AK67" s="3">
        <v>61</v>
      </c>
      <c r="AL67" s="163">
        <v>0.26550793351159663</v>
      </c>
    </row>
    <row r="68" spans="37:38" s="4" customFormat="1">
      <c r="AK68" s="3">
        <v>62</v>
      </c>
      <c r="AL68" s="163">
        <v>0.26829185905268665</v>
      </c>
    </row>
    <row r="69" spans="37:38" s="4" customFormat="1">
      <c r="AK69" s="3">
        <v>63</v>
      </c>
      <c r="AL69" s="163">
        <v>0.27107316350794214</v>
      </c>
    </row>
    <row r="70" spans="37:38" s="4" customFormat="1">
      <c r="AK70" s="3">
        <v>64</v>
      </c>
      <c r="AL70" s="163">
        <v>0.2738518489276382</v>
      </c>
    </row>
    <row r="71" spans="37:38" s="4" customFormat="1">
      <c r="AK71" s="3">
        <v>65</v>
      </c>
      <c r="AL71" s="163">
        <v>0.27662791736113407</v>
      </c>
    </row>
    <row r="72" spans="37:38" s="4" customFormat="1">
      <c r="AK72" s="3">
        <v>66</v>
      </c>
      <c r="AL72" s="163">
        <v>0.27940137085687261</v>
      </c>
    </row>
    <row r="73" spans="37:38" s="4" customFormat="1">
      <c r="AK73" s="3">
        <v>67</v>
      </c>
      <c r="AL73" s="163">
        <v>0.28217221146238075</v>
      </c>
    </row>
    <row r="74" spans="37:38" s="4" customFormat="1">
      <c r="AK74" s="3">
        <v>68</v>
      </c>
      <c r="AL74" s="163">
        <v>0.28494044122426981</v>
      </c>
    </row>
    <row r="75" spans="37:38" s="4" customFormat="1">
      <c r="AK75" s="3">
        <v>69</v>
      </c>
      <c r="AL75" s="163">
        <v>0.28770606218823547</v>
      </c>
    </row>
    <row r="76" spans="37:38" s="4" customFormat="1">
      <c r="AK76" s="3">
        <v>70</v>
      </c>
      <c r="AL76" s="163">
        <v>0.29046907639905806</v>
      </c>
    </row>
    <row r="77" spans="37:38" s="4" customFormat="1">
      <c r="AK77" s="3">
        <v>71</v>
      </c>
      <c r="AL77" s="163">
        <v>0.29322948590060272</v>
      </c>
    </row>
    <row r="78" spans="37:38" s="4" customFormat="1">
      <c r="AK78" s="3">
        <v>72</v>
      </c>
      <c r="AL78" s="163">
        <v>0.29598729273581947</v>
      </c>
    </row>
    <row r="79" spans="37:38" s="4" customFormat="1">
      <c r="AK79" s="3">
        <v>73</v>
      </c>
      <c r="AL79" s="163">
        <v>0.29874249894674365</v>
      </c>
    </row>
    <row r="80" spans="37:38" s="4" customFormat="1">
      <c r="AK80" s="3">
        <v>74</v>
      </c>
      <c r="AL80" s="163">
        <v>0.30149510657449596</v>
      </c>
    </row>
    <row r="81" spans="37:38" s="4" customFormat="1">
      <c r="AK81" s="3">
        <v>75</v>
      </c>
      <c r="AL81" s="163">
        <v>0.30424511765928253</v>
      </c>
    </row>
    <row r="82" spans="37:38" s="4" customFormat="1">
      <c r="AK82" s="3">
        <v>76</v>
      </c>
      <c r="AL82" s="163">
        <v>0.30699253424039519</v>
      </c>
    </row>
    <row r="83" spans="37:38" s="4" customFormat="1">
      <c r="AK83" s="3">
        <v>77</v>
      </c>
      <c r="AL83" s="163">
        <v>0.30973735835621197</v>
      </c>
    </row>
    <row r="84" spans="37:38" s="4" customFormat="1">
      <c r="AK84" s="3">
        <v>78</v>
      </c>
      <c r="AL84" s="163">
        <v>0.31247959204419651</v>
      </c>
    </row>
    <row r="85" spans="37:38" s="4" customFormat="1">
      <c r="AK85" s="3">
        <v>79</v>
      </c>
      <c r="AL85" s="163">
        <v>0.31521923734089918</v>
      </c>
    </row>
    <row r="86" spans="37:38" s="4" customFormat="1">
      <c r="AK86" s="3">
        <v>80</v>
      </c>
      <c r="AL86" s="163">
        <v>0.31795629628195649</v>
      </c>
    </row>
    <row r="87" spans="37:38" s="4" customFormat="1">
      <c r="AK87" s="3">
        <v>81</v>
      </c>
      <c r="AL87" s="163">
        <v>0.3206907709020918</v>
      </c>
    </row>
    <row r="88" spans="37:38" s="4" customFormat="1">
      <c r="AK88" s="3">
        <v>82</v>
      </c>
      <c r="AL88" s="163">
        <v>0.3234226632351152</v>
      </c>
    </row>
    <row r="89" spans="37:38" s="4" customFormat="1">
      <c r="AK89" s="3">
        <v>83</v>
      </c>
      <c r="AL89" s="163">
        <v>0.32615197531392376</v>
      </c>
    </row>
    <row r="90" spans="37:38" s="4" customFormat="1">
      <c r="AK90" s="3">
        <v>84</v>
      </c>
      <c r="AL90" s="163">
        <v>0.32887870917050183</v>
      </c>
    </row>
    <row r="91" spans="37:38" s="4" customFormat="1">
      <c r="AK91" s="3">
        <v>85</v>
      </c>
      <c r="AL91" s="163">
        <v>0.33160286683592111</v>
      </c>
    </row>
    <row r="92" spans="37:38" s="4" customFormat="1">
      <c r="AK92" s="3">
        <v>86</v>
      </c>
      <c r="AL92" s="163">
        <v>0.33432445034034075</v>
      </c>
    </row>
    <row r="93" spans="37:38" s="4" customFormat="1">
      <c r="AK93" s="3">
        <v>87</v>
      </c>
      <c r="AL93" s="163">
        <v>0.33704346171300792</v>
      </c>
    </row>
    <row r="94" spans="37:38" s="4" customFormat="1">
      <c r="AK94" s="3">
        <v>88</v>
      </c>
      <c r="AL94" s="163">
        <v>0.33975990298225722</v>
      </c>
    </row>
    <row r="95" spans="37:38" s="4" customFormat="1">
      <c r="AK95" s="3">
        <v>89</v>
      </c>
      <c r="AL95" s="163">
        <v>0.342473776175512</v>
      </c>
    </row>
    <row r="96" spans="37:38" s="4" customFormat="1">
      <c r="AK96" s="3">
        <v>90</v>
      </c>
      <c r="AL96" s="163">
        <v>0.34518508331928338</v>
      </c>
    </row>
    <row r="97" spans="37:38" s="4" customFormat="1">
      <c r="AK97" s="3">
        <v>91</v>
      </c>
      <c r="AL97" s="163">
        <v>0.34789382643917122</v>
      </c>
    </row>
    <row r="98" spans="37:38" s="4" customFormat="1">
      <c r="AK98" s="3">
        <v>92</v>
      </c>
      <c r="AL98" s="163">
        <v>0.35060000755986404</v>
      </c>
    </row>
    <row r="99" spans="37:38" s="4" customFormat="1">
      <c r="AK99" s="3">
        <v>93</v>
      </c>
      <c r="AL99" s="163">
        <v>0.35330362870513887</v>
      </c>
    </row>
    <row r="100" spans="37:38" s="4" customFormat="1">
      <c r="AK100" s="3">
        <v>94</v>
      </c>
      <c r="AL100" s="163">
        <v>0.35600469189786238</v>
      </c>
    </row>
    <row r="101" spans="37:38" s="4" customFormat="1">
      <c r="AK101" s="3">
        <v>95</v>
      </c>
      <c r="AL101" s="163">
        <v>0.35870319915998999</v>
      </c>
    </row>
    <row r="102" spans="37:38" s="4" customFormat="1">
      <c r="AK102" s="3">
        <v>96</v>
      </c>
      <c r="AL102" s="163">
        <v>0.36139915251256644</v>
      </c>
    </row>
    <row r="103" spans="37:38" s="4" customFormat="1">
      <c r="AK103" s="3">
        <v>97</v>
      </c>
      <c r="AL103" s="163">
        <v>0.36409255397572643</v>
      </c>
    </row>
    <row r="104" spans="37:38" s="4" customFormat="1">
      <c r="AK104" s="3">
        <v>98</v>
      </c>
      <c r="AL104" s="163">
        <v>0.36678340556869427</v>
      </c>
    </row>
    <row r="105" spans="37:38" s="4" customFormat="1">
      <c r="AK105" s="3">
        <v>99</v>
      </c>
      <c r="AL105" s="163">
        <v>0.36947170930978407</v>
      </c>
    </row>
    <row r="106" spans="37:38" s="4" customFormat="1">
      <c r="AK106" s="3">
        <v>100</v>
      </c>
      <c r="AL106" s="163">
        <v>0.37215746721640014</v>
      </c>
    </row>
    <row r="107" spans="37:38" s="4" customFormat="1">
      <c r="AK107" s="3">
        <v>101</v>
      </c>
      <c r="AL107" s="163">
        <v>0.37484068130503734</v>
      </c>
    </row>
    <row r="108" spans="37:38" s="4" customFormat="1">
      <c r="AK108" s="3">
        <v>102</v>
      </c>
      <c r="AL108" s="163">
        <v>0.37752135359128064</v>
      </c>
    </row>
    <row r="109" spans="37:38" s="4" customFormat="1">
      <c r="AK109" s="3">
        <v>103</v>
      </c>
      <c r="AL109" s="163">
        <v>0.38019948608980597</v>
      </c>
    </row>
    <row r="110" spans="37:38" s="4" customFormat="1">
      <c r="AK110" s="3">
        <v>104</v>
      </c>
      <c r="AL110" s="163">
        <v>0.38287508081438004</v>
      </c>
    </row>
    <row r="111" spans="37:38" s="4" customFormat="1">
      <c r="AK111" s="3">
        <v>105</v>
      </c>
      <c r="AL111" s="163">
        <v>0.38554813977786045</v>
      </c>
    </row>
    <row r="112" spans="37:38" s="4" customFormat="1">
      <c r="AK112" s="3">
        <v>106</v>
      </c>
      <c r="AL112" s="163">
        <v>0.38821866499219643</v>
      </c>
    </row>
    <row r="113" spans="37:38" s="4" customFormat="1">
      <c r="AK113" s="3">
        <v>107</v>
      </c>
      <c r="AL113" s="163">
        <v>0.39088665846842813</v>
      </c>
    </row>
    <row r="114" spans="37:38" s="4" customFormat="1">
      <c r="AK114" s="3">
        <v>108</v>
      </c>
      <c r="AL114" s="163">
        <v>0.39355212221668773</v>
      </c>
    </row>
    <row r="115" spans="37:38" s="4" customFormat="1">
      <c r="AK115" s="3">
        <v>109</v>
      </c>
      <c r="AL115" s="163">
        <v>0.3962150582461989</v>
      </c>
    </row>
    <row r="116" spans="37:38" s="4" customFormat="1">
      <c r="AK116" s="3">
        <v>110</v>
      </c>
      <c r="AL116" s="163">
        <v>0.39887546856527739</v>
      </c>
    </row>
    <row r="117" spans="37:38" s="4" customFormat="1">
      <c r="AK117" s="3">
        <v>111</v>
      </c>
      <c r="AL117" s="163">
        <v>0.4015333551813311</v>
      </c>
    </row>
    <row r="118" spans="37:38" s="4" customFormat="1">
      <c r="AK118" s="3">
        <v>112</v>
      </c>
      <c r="AL118" s="163">
        <v>0.40418872010086021</v>
      </c>
    </row>
    <row r="119" spans="37:38" s="4" customFormat="1">
      <c r="AK119" s="3">
        <v>113</v>
      </c>
      <c r="AL119" s="163">
        <v>0.40684156532945748</v>
      </c>
    </row>
    <row r="120" spans="37:38" s="4" customFormat="1">
      <c r="AK120" s="3">
        <v>114</v>
      </c>
      <c r="AL120" s="163">
        <v>0.40949189287180848</v>
      </c>
    </row>
    <row r="121" spans="37:38" s="4" customFormat="1">
      <c r="AK121" s="3">
        <v>115</v>
      </c>
      <c r="AL121" s="163">
        <v>0.41213970473169131</v>
      </c>
    </row>
    <row r="122" spans="37:38" s="4" customFormat="1">
      <c r="AK122" s="3">
        <v>116</v>
      </c>
      <c r="AL122" s="163">
        <v>0.41478500291197745</v>
      </c>
    </row>
    <row r="123" spans="37:38" s="4" customFormat="1">
      <c r="AK123" s="3">
        <v>117</v>
      </c>
      <c r="AL123" s="163">
        <v>0.4174277894146316</v>
      </c>
    </row>
    <row r="124" spans="37:38" s="4" customFormat="1">
      <c r="AK124" s="3">
        <v>118</v>
      </c>
      <c r="AL124" s="163">
        <v>0.42006806624071158</v>
      </c>
    </row>
    <row r="125" spans="37:38" s="4" customFormat="1">
      <c r="AK125" s="3">
        <v>119</v>
      </c>
      <c r="AL125" s="163">
        <v>0.42270583539036943</v>
      </c>
    </row>
    <row r="126" spans="37:38" s="4" customFormat="1">
      <c r="AK126" s="3">
        <v>120</v>
      </c>
      <c r="AL126" s="163">
        <v>0.42534109886285032</v>
      </c>
    </row>
    <row r="127" spans="37:38" s="4" customFormat="1">
      <c r="AK127" s="3">
        <v>121</v>
      </c>
      <c r="AL127" s="163">
        <v>0.42797385865649384</v>
      </c>
    </row>
    <row r="128" spans="37:38" s="4" customFormat="1">
      <c r="AK128" s="3">
        <v>122</v>
      </c>
      <c r="AL128" s="163">
        <v>0.43060411676873372</v>
      </c>
    </row>
    <row r="129" spans="37:38" s="4" customFormat="1">
      <c r="AK129" s="3">
        <v>123</v>
      </c>
      <c r="AL129" s="163">
        <v>0.43323187519609774</v>
      </c>
    </row>
    <row r="130" spans="37:38" s="4" customFormat="1">
      <c r="AK130" s="3">
        <v>124</v>
      </c>
      <c r="AL130" s="163">
        <v>0.43585713593420861</v>
      </c>
    </row>
    <row r="131" spans="37:38" s="4" customFormat="1">
      <c r="AK131" s="3">
        <v>125</v>
      </c>
      <c r="AL131" s="163">
        <v>0.43847990097778344</v>
      </c>
    </row>
    <row r="132" spans="37:38" s="4" customFormat="1">
      <c r="AK132" s="3">
        <v>126</v>
      </c>
      <c r="AL132" s="163">
        <v>0.44110017232063448</v>
      </c>
    </row>
    <row r="133" spans="37:38" s="4" customFormat="1">
      <c r="AK133" s="3">
        <v>127</v>
      </c>
      <c r="AL133" s="163">
        <v>0.44371795195566882</v>
      </c>
    </row>
    <row r="134" spans="37:38" s="4" customFormat="1">
      <c r="AK134" s="3">
        <v>128</v>
      </c>
      <c r="AL134" s="163">
        <v>0.4463332418748891</v>
      </c>
    </row>
    <row r="135" spans="37:38" s="4" customFormat="1">
      <c r="AK135" s="3">
        <v>129</v>
      </c>
      <c r="AL135" s="163">
        <v>0.4489460440693932</v>
      </c>
    </row>
    <row r="136" spans="37:38" s="4" customFormat="1">
      <c r="AK136" s="3">
        <v>130</v>
      </c>
      <c r="AL136" s="163">
        <v>0.45155636052937476</v>
      </c>
    </row>
    <row r="137" spans="37:38" s="4" customFormat="1">
      <c r="AK137" s="3">
        <v>131</v>
      </c>
      <c r="AL137" s="163">
        <v>0.45416419324412294</v>
      </c>
    </row>
    <row r="138" spans="37:38" s="4" customFormat="1">
      <c r="AK138" s="3">
        <v>132</v>
      </c>
      <c r="AL138" s="163">
        <v>0.45676954420202348</v>
      </c>
    </row>
    <row r="139" spans="37:38" s="4" customFormat="1">
      <c r="AK139" s="3">
        <v>133</v>
      </c>
      <c r="AL139" s="163">
        <v>0.45937241539055784</v>
      </c>
    </row>
    <row r="140" spans="37:38" s="4" customFormat="1">
      <c r="AK140" s="3">
        <v>134</v>
      </c>
      <c r="AL140" s="163">
        <v>0.46197280879630392</v>
      </c>
    </row>
    <row r="141" spans="37:38" s="4" customFormat="1">
      <c r="AK141" s="3">
        <v>135</v>
      </c>
      <c r="AL141" s="163">
        <v>0.4645707264049363</v>
      </c>
    </row>
    <row r="142" spans="37:38" s="4" customFormat="1">
      <c r="AK142" s="3">
        <v>136</v>
      </c>
      <c r="AL142" s="163">
        <v>0.46716617020122636</v>
      </c>
    </row>
    <row r="143" spans="37:38" s="4" customFormat="1">
      <c r="AK143" s="3">
        <v>137</v>
      </c>
      <c r="AL143" s="163">
        <v>0.46975914216904197</v>
      </c>
    </row>
    <row r="144" spans="37:38" s="4" customFormat="1">
      <c r="AK144" s="3">
        <v>138</v>
      </c>
      <c r="AL144" s="163">
        <v>0.47234964429134857</v>
      </c>
    </row>
    <row r="145" spans="37:38" s="4" customFormat="1">
      <c r="AK145" s="3">
        <v>139</v>
      </c>
      <c r="AL145" s="163">
        <v>0.47493767855020874</v>
      </c>
    </row>
    <row r="146" spans="37:38" s="4" customFormat="1">
      <c r="AK146" s="3">
        <v>140</v>
      </c>
      <c r="AL146" s="163">
        <v>0.47752324692678261</v>
      </c>
    </row>
    <row r="147" spans="37:38" s="4" customFormat="1">
      <c r="AK147" s="3">
        <v>141</v>
      </c>
      <c r="AL147" s="163">
        <v>0.48010635140132779</v>
      </c>
    </row>
    <row r="148" spans="37:38" s="4" customFormat="1">
      <c r="AK148" s="3">
        <v>142</v>
      </c>
      <c r="AL148" s="163">
        <v>0.48268699395319964</v>
      </c>
    </row>
    <row r="149" spans="37:38" s="4" customFormat="1">
      <c r="AK149" s="3">
        <v>143</v>
      </c>
      <c r="AL149" s="163">
        <v>0.48526517656085205</v>
      </c>
    </row>
    <row r="150" spans="37:38" s="4" customFormat="1">
      <c r="AK150" s="3">
        <v>144</v>
      </c>
      <c r="AL150" s="163">
        <v>0.4878409012018366</v>
      </c>
    </row>
    <row r="151" spans="37:38" s="4" customFormat="1">
      <c r="AK151" s="3">
        <v>145</v>
      </c>
      <c r="AL151" s="163">
        <v>0.49041416985280334</v>
      </c>
    </row>
    <row r="152" spans="37:38" s="4" customFormat="1">
      <c r="AK152" s="3">
        <v>146</v>
      </c>
      <c r="AL152" s="163">
        <v>0.49298498448950123</v>
      </c>
    </row>
    <row r="153" spans="37:38" s="4" customFormat="1">
      <c r="AK153" s="3">
        <v>147</v>
      </c>
      <c r="AL153" s="163">
        <v>0.49555334708677756</v>
      </c>
    </row>
    <row r="154" spans="37:38" s="4" customFormat="1">
      <c r="AK154" s="3">
        <v>148</v>
      </c>
      <c r="AL154" s="163">
        <v>0.49811925961857884</v>
      </c>
    </row>
    <row r="155" spans="37:38" s="4" customFormat="1">
      <c r="AK155" s="3">
        <v>149</v>
      </c>
      <c r="AL155" s="163">
        <v>0.50068272405795078</v>
      </c>
    </row>
    <row r="156" spans="37:38" s="4" customFormat="1">
      <c r="AK156" s="3">
        <v>150</v>
      </c>
      <c r="AL156" s="163">
        <v>0.50324374237703784</v>
      </c>
    </row>
    <row r="157" spans="37:38" s="4" customFormat="1">
      <c r="AK157" s="3">
        <v>151</v>
      </c>
      <c r="AL157" s="163">
        <v>0.50580231654708441</v>
      </c>
    </row>
    <row r="158" spans="37:38" s="4" customFormat="1">
      <c r="AK158" s="3">
        <v>152</v>
      </c>
      <c r="AL158" s="163">
        <v>0.50835844853843504</v>
      </c>
    </row>
    <row r="159" spans="37:38" s="4" customFormat="1">
      <c r="AK159" s="3">
        <v>153</v>
      </c>
      <c r="AL159" s="163">
        <v>0.510912140320533</v>
      </c>
    </row>
    <row r="160" spans="37:38" s="4" customFormat="1">
      <c r="AK160" s="3">
        <v>154</v>
      </c>
      <c r="AL160" s="163">
        <v>0.51346339386192241</v>
      </c>
    </row>
    <row r="161" spans="37:38" s="4" customFormat="1">
      <c r="AK161" s="3">
        <v>155</v>
      </c>
      <c r="AL161" s="163">
        <v>0.51601221113024753</v>
      </c>
    </row>
    <row r="162" spans="37:38" s="4" customFormat="1">
      <c r="AK162" s="3">
        <v>156</v>
      </c>
      <c r="AL162" s="163">
        <v>0.51855859409225302</v>
      </c>
    </row>
    <row r="163" spans="37:38" s="4" customFormat="1">
      <c r="AK163" s="3">
        <v>157</v>
      </c>
      <c r="AL163" s="163">
        <v>0.52110254471378348</v>
      </c>
    </row>
    <row r="164" spans="37:38" s="4" customFormat="1">
      <c r="AK164" s="3">
        <v>158</v>
      </c>
      <c r="AL164" s="163">
        <v>0.52364406495978555</v>
      </c>
    </row>
    <row r="165" spans="37:38" s="4" customFormat="1">
      <c r="AK165" s="3">
        <v>159</v>
      </c>
      <c r="AL165" s="163">
        <v>0.5261831567943055</v>
      </c>
    </row>
    <row r="166" spans="37:38" s="4" customFormat="1">
      <c r="AK166" s="3">
        <v>160</v>
      </c>
      <c r="AL166" s="163">
        <v>0.52871982218049163</v>
      </c>
    </row>
    <row r="167" spans="37:38" s="4" customFormat="1">
      <c r="AK167" s="3">
        <v>161</v>
      </c>
      <c r="AL167" s="163">
        <v>0.53125406308059309</v>
      </c>
    </row>
    <row r="168" spans="37:38" s="4" customFormat="1">
      <c r="AK168" s="3">
        <v>162</v>
      </c>
      <c r="AL168" s="163">
        <v>0.53378588145596106</v>
      </c>
    </row>
    <row r="169" spans="37:38" s="4" customFormat="1">
      <c r="AK169" s="3">
        <v>163</v>
      </c>
      <c r="AL169" s="163">
        <v>0.53631527926704781</v>
      </c>
    </row>
    <row r="170" spans="37:38" s="4" customFormat="1">
      <c r="AK170" s="3">
        <v>164</v>
      </c>
      <c r="AL170" s="163">
        <v>0.53884225847340783</v>
      </c>
    </row>
    <row r="171" spans="37:38" s="4" customFormat="1">
      <c r="AK171" s="3">
        <v>165</v>
      </c>
      <c r="AL171" s="163">
        <v>0.54136682103369782</v>
      </c>
    </row>
    <row r="172" spans="37:38" s="4" customFormat="1">
      <c r="AK172" s="3">
        <v>166</v>
      </c>
      <c r="AL172" s="163">
        <v>0.54388896890567628</v>
      </c>
    </row>
    <row r="173" spans="37:38" s="4" customFormat="1">
      <c r="AK173" s="3">
        <v>167</v>
      </c>
      <c r="AL173" s="163">
        <v>0.54640870404620412</v>
      </c>
    </row>
    <row r="174" spans="37:38" s="4" customFormat="1">
      <c r="AK174" s="3">
        <v>168</v>
      </c>
      <c r="AL174" s="163">
        <v>0.54892602841124583</v>
      </c>
    </row>
    <row r="175" spans="37:38" s="4" customFormat="1">
      <c r="AK175" s="3">
        <v>169</v>
      </c>
      <c r="AL175" s="163">
        <v>0.5514409439558674</v>
      </c>
    </row>
    <row r="176" spans="37:38" s="4" customFormat="1">
      <c r="AK176" s="3">
        <v>170</v>
      </c>
      <c r="AL176" s="163">
        <v>0.55395345263423856</v>
      </c>
    </row>
    <row r="177" spans="37:38" s="4" customFormat="1">
      <c r="AK177" s="3">
        <v>171</v>
      </c>
      <c r="AL177" s="163">
        <v>0.55646355639963185</v>
      </c>
    </row>
    <row r="178" spans="37:38" s="4" customFormat="1">
      <c r="AK178" s="3">
        <v>172</v>
      </c>
      <c r="AL178" s="163">
        <v>0.55897125720442353</v>
      </c>
    </row>
    <row r="179" spans="37:38" s="4" customFormat="1">
      <c r="AK179" s="3">
        <v>173</v>
      </c>
      <c r="AL179" s="163">
        <v>0.56147655700009325</v>
      </c>
    </row>
    <row r="180" spans="37:38" s="4" customFormat="1">
      <c r="AK180" s="3">
        <v>174</v>
      </c>
      <c r="AL180" s="163">
        <v>0.5639794577372238</v>
      </c>
    </row>
    <row r="181" spans="37:38" s="4" customFormat="1">
      <c r="AK181" s="3">
        <v>175</v>
      </c>
      <c r="AL181" s="163">
        <v>0.56647996136550305</v>
      </c>
    </row>
    <row r="182" spans="37:38" s="4" customFormat="1">
      <c r="AK182" s="3">
        <v>176</v>
      </c>
      <c r="AL182" s="163">
        <v>0.5689780698337219</v>
      </c>
    </row>
    <row r="183" spans="37:38" s="4" customFormat="1">
      <c r="AK183" s="3">
        <v>177</v>
      </c>
      <c r="AL183" s="163">
        <v>0.57147378508977575</v>
      </c>
    </row>
    <row r="184" spans="37:38" s="4" customFormat="1">
      <c r="AK184" s="3">
        <v>178</v>
      </c>
      <c r="AL184" s="163">
        <v>0.57396710908066495</v>
      </c>
    </row>
    <row r="185" spans="37:38" s="4" customFormat="1">
      <c r="AK185" s="3">
        <v>179</v>
      </c>
      <c r="AL185" s="163">
        <v>0.57645804375249388</v>
      </c>
    </row>
    <row r="186" spans="37:38" s="4" customFormat="1">
      <c r="AK186" s="3">
        <v>180</v>
      </c>
      <c r="AL186" s="163">
        <v>0.57894659105047186</v>
      </c>
    </row>
    <row r="187" spans="37:38" s="4" customFormat="1">
      <c r="AK187" s="3">
        <v>181</v>
      </c>
      <c r="AL187" s="163">
        <v>0.5814327529189135</v>
      </c>
    </row>
    <row r="188" spans="37:38" s="4" customFormat="1">
      <c r="AK188" s="3">
        <v>182</v>
      </c>
      <c r="AL188" s="163">
        <v>0.58391653130123844</v>
      </c>
    </row>
    <row r="189" spans="37:38" s="4" customFormat="1">
      <c r="AK189" s="3">
        <v>183</v>
      </c>
      <c r="AL189" s="163">
        <v>0.58639792813997149</v>
      </c>
    </row>
    <row r="190" spans="37:38" s="4" customFormat="1">
      <c r="AK190" s="3">
        <v>184</v>
      </c>
      <c r="AL190" s="163">
        <v>0.58887694537674307</v>
      </c>
    </row>
    <row r="191" spans="37:38" s="4" customFormat="1">
      <c r="AK191" s="3">
        <v>185</v>
      </c>
      <c r="AL191" s="163">
        <v>0.59135358495228985</v>
      </c>
    </row>
    <row r="192" spans="37:38" s="4" customFormat="1">
      <c r="AK192" s="3">
        <v>186</v>
      </c>
      <c r="AL192" s="163">
        <v>0.59382784880645367</v>
      </c>
    </row>
    <row r="193" spans="37:38" s="4" customFormat="1">
      <c r="AK193" s="3">
        <v>187</v>
      </c>
      <c r="AL193" s="163">
        <v>0.59629973887818255</v>
      </c>
    </row>
    <row r="194" spans="37:38" s="4" customFormat="1">
      <c r="AK194" s="3">
        <v>188</v>
      </c>
      <c r="AL194" s="163">
        <v>0.59876925710553164</v>
      </c>
    </row>
    <row r="195" spans="37:38" s="4" customFormat="1">
      <c r="AK195" s="3">
        <v>189</v>
      </c>
      <c r="AL195" s="163">
        <v>0.60123640542566137</v>
      </c>
    </row>
    <row r="196" spans="37:38" s="4" customFormat="1">
      <c r="AK196" s="3">
        <v>190</v>
      </c>
      <c r="AL196" s="163">
        <v>0.60370118577483978</v>
      </c>
    </row>
    <row r="197" spans="37:38" s="4" customFormat="1">
      <c r="AK197" s="3">
        <v>191</v>
      </c>
      <c r="AL197" s="163">
        <v>0.60616360008844128</v>
      </c>
    </row>
    <row r="198" spans="37:38" s="4" customFormat="1">
      <c r="AK198" s="3">
        <v>192</v>
      </c>
      <c r="AL198" s="163">
        <v>0.60862365030094734</v>
      </c>
    </row>
    <row r="199" spans="37:38" s="4" customFormat="1">
      <c r="AK199" s="3">
        <v>193</v>
      </c>
      <c r="AL199" s="163">
        <v>0.61108133834594647</v>
      </c>
    </row>
    <row r="200" spans="37:38" s="4" customFormat="1">
      <c r="AK200" s="3">
        <v>194</v>
      </c>
      <c r="AL200" s="163">
        <v>0.613536666156135</v>
      </c>
    </row>
    <row r="201" spans="37:38" s="4" customFormat="1">
      <c r="AK201" s="3">
        <v>195</v>
      </c>
      <c r="AL201" s="163">
        <v>0.61598963566331677</v>
      </c>
    </row>
    <row r="202" spans="37:38" s="4" customFormat="1">
      <c r="AK202" s="3">
        <v>196</v>
      </c>
      <c r="AL202" s="163">
        <v>0.61844024879840265</v>
      </c>
    </row>
    <row r="203" spans="37:38" s="4" customFormat="1">
      <c r="AK203" s="3">
        <v>197</v>
      </c>
      <c r="AL203" s="163">
        <v>0.62088850749141233</v>
      </c>
    </row>
    <row r="204" spans="37:38" s="4" customFormat="1">
      <c r="AK204" s="3">
        <v>198</v>
      </c>
      <c r="AL204" s="163">
        <v>0.62333441367147335</v>
      </c>
    </row>
    <row r="205" spans="37:38" s="4" customFormat="1">
      <c r="AK205" s="3">
        <v>199</v>
      </c>
      <c r="AL205" s="163">
        <v>0.62577796926682117</v>
      </c>
    </row>
    <row r="206" spans="37:38" s="4" customFormat="1">
      <c r="AK206" s="3">
        <v>200</v>
      </c>
      <c r="AL206" s="163">
        <v>0.6282191762048005</v>
      </c>
    </row>
    <row r="207" spans="37:38" s="4" customFormat="1">
      <c r="AK207" s="3">
        <v>201</v>
      </c>
      <c r="AL207" s="163">
        <v>0.63065803641186369</v>
      </c>
    </row>
    <row r="208" spans="37:38" s="4" customFormat="1">
      <c r="AK208" s="3">
        <v>202</v>
      </c>
      <c r="AL208" s="163">
        <v>0.63309455181357277</v>
      </c>
    </row>
    <row r="209" spans="37:38" s="4" customFormat="1">
      <c r="AK209" s="3">
        <v>203</v>
      </c>
      <c r="AL209" s="163">
        <v>0.63552872433459862</v>
      </c>
    </row>
    <row r="210" spans="37:38" s="4" customFormat="1">
      <c r="AK210" s="3">
        <v>204</v>
      </c>
      <c r="AL210" s="163">
        <v>0.63796055589872114</v>
      </c>
    </row>
    <row r="211" spans="37:38" s="4" customFormat="1">
      <c r="AK211" s="3">
        <v>205</v>
      </c>
      <c r="AL211" s="163">
        <v>0.64039004842882996</v>
      </c>
    </row>
    <row r="212" spans="37:38" s="4" customFormat="1">
      <c r="AK212" s="3">
        <v>206</v>
      </c>
      <c r="AL212" s="163">
        <v>0.64281720384692376</v>
      </c>
    </row>
    <row r="213" spans="37:38" s="4" customFormat="1">
      <c r="AK213" s="3">
        <v>207</v>
      </c>
      <c r="AL213" s="163">
        <v>0.64524202407411158</v>
      </c>
    </row>
    <row r="214" spans="37:38" s="4" customFormat="1">
      <c r="AK214" s="3">
        <v>208</v>
      </c>
      <c r="AL214" s="163">
        <v>0.64766451103061218</v>
      </c>
    </row>
    <row r="215" spans="37:38" s="4" customFormat="1">
      <c r="AK215" s="3">
        <v>209</v>
      </c>
      <c r="AL215" s="163">
        <v>0.65008466663575426</v>
      </c>
    </row>
    <row r="216" spans="37:38" s="4" customFormat="1">
      <c r="AK216" s="3">
        <v>210</v>
      </c>
      <c r="AL216" s="163">
        <v>0.65250249280797712</v>
      </c>
    </row>
    <row r="217" spans="37:38" s="4" customFormat="1">
      <c r="AK217" s="3">
        <v>211</v>
      </c>
      <c r="AL217" s="163">
        <v>0.65491799146483054</v>
      </c>
    </row>
    <row r="218" spans="37:38" s="4" customFormat="1">
      <c r="AK218" s="3">
        <v>212</v>
      </c>
      <c r="AL218" s="163">
        <v>0.65733116452297469</v>
      </c>
    </row>
    <row r="219" spans="37:38" s="4" customFormat="1">
      <c r="AK219" s="3">
        <v>213</v>
      </c>
      <c r="AL219" s="163">
        <v>0.65974201389818099</v>
      </c>
    </row>
    <row r="220" spans="37:38" s="4" customFormat="1">
      <c r="AK220" s="3">
        <v>214</v>
      </c>
      <c r="AL220" s="163">
        <v>0.66215054150533159</v>
      </c>
    </row>
    <row r="221" spans="37:38" s="4" customFormat="1">
      <c r="AK221" s="3">
        <v>215</v>
      </c>
      <c r="AL221" s="163">
        <v>0.66455674925842023</v>
      </c>
    </row>
    <row r="222" spans="37:38" s="4" customFormat="1">
      <c r="AK222" s="3">
        <v>216</v>
      </c>
      <c r="AL222" s="163">
        <v>0.66696063907055159</v>
      </c>
    </row>
    <row r="223" spans="37:38" s="4" customFormat="1">
      <c r="AK223" s="3">
        <v>217</v>
      </c>
      <c r="AL223" s="163">
        <v>0.66936221285394282</v>
      </c>
    </row>
    <row r="224" spans="37:38" s="4" customFormat="1">
      <c r="AK224" s="3">
        <v>218</v>
      </c>
      <c r="AL224" s="163">
        <v>0.67176147251992158</v>
      </c>
    </row>
    <row r="225" spans="37:38" s="4" customFormat="1">
      <c r="AK225" s="3">
        <v>219</v>
      </c>
      <c r="AL225" s="163">
        <v>0.67415841997892867</v>
      </c>
    </row>
    <row r="226" spans="37:38" s="4" customFormat="1">
      <c r="AK226" s="3">
        <v>220</v>
      </c>
      <c r="AL226" s="163">
        <v>0.67655305714051639</v>
      </c>
    </row>
    <row r="227" spans="37:38" s="4" customFormat="1">
      <c r="AK227" s="3">
        <v>221</v>
      </c>
      <c r="AL227" s="163">
        <v>0.67894538591334996</v>
      </c>
    </row>
    <row r="228" spans="37:38" s="4" customFormat="1">
      <c r="AK228" s="3">
        <v>222</v>
      </c>
      <c r="AL228" s="163">
        <v>0.68133540820520622</v>
      </c>
    </row>
    <row r="229" spans="37:38" s="4" customFormat="1">
      <c r="AK229" s="3">
        <v>223</v>
      </c>
      <c r="AL229" s="163">
        <v>0.68372312592297546</v>
      </c>
    </row>
    <row r="230" spans="37:38" s="4" customFormat="1">
      <c r="AK230" s="3">
        <v>224</v>
      </c>
      <c r="AL230" s="163">
        <v>0.6861085409726605</v>
      </c>
    </row>
    <row r="231" spans="37:38" s="4" customFormat="1">
      <c r="AK231" s="3">
        <v>225</v>
      </c>
      <c r="AL231" s="163">
        <v>0.6884916552593775</v>
      </c>
    </row>
    <row r="232" spans="37:38" s="4" customFormat="1">
      <c r="AK232" s="3">
        <v>226</v>
      </c>
      <c r="AL232" s="163">
        <v>0.69087247068735591</v>
      </c>
    </row>
    <row r="233" spans="37:38" s="4" customFormat="1">
      <c r="AK233" s="3">
        <v>227</v>
      </c>
      <c r="AL233" s="163">
        <v>0.6932509891599381</v>
      </c>
    </row>
    <row r="234" spans="37:38" s="4" customFormat="1">
      <c r="AK234" s="3">
        <v>228</v>
      </c>
      <c r="AL234" s="163">
        <v>0.69562721257958071</v>
      </c>
    </row>
    <row r="235" spans="37:38" s="4" customFormat="1">
      <c r="AK235" s="3">
        <v>229</v>
      </c>
      <c r="AL235" s="163">
        <v>0.69800114284785375</v>
      </c>
    </row>
    <row r="236" spans="37:38" s="4" customFormat="1">
      <c r="AK236" s="3">
        <v>230</v>
      </c>
      <c r="AL236" s="163">
        <v>0.7003727818654415</v>
      </c>
    </row>
    <row r="237" spans="37:38" s="4" customFormat="1">
      <c r="AK237" s="3">
        <v>231</v>
      </c>
      <c r="AL237" s="163">
        <v>0.70274213153214204</v>
      </c>
    </row>
    <row r="238" spans="37:38" s="4" customFormat="1">
      <c r="AK238" s="3">
        <v>232</v>
      </c>
      <c r="AL238" s="163">
        <v>0.70510919374686853</v>
      </c>
    </row>
    <row r="239" spans="37:38" s="4" customFormat="1">
      <c r="AK239" s="3">
        <v>233</v>
      </c>
      <c r="AL239" s="163">
        <v>0.70747397040764759</v>
      </c>
    </row>
    <row r="240" spans="37:38" s="4" customFormat="1">
      <c r="AK240" s="3">
        <v>234</v>
      </c>
      <c r="AL240" s="163">
        <v>0.70983646341162165</v>
      </c>
    </row>
    <row r="241" spans="37:38" s="4" customFormat="1">
      <c r="AK241" s="3">
        <v>235</v>
      </c>
      <c r="AL241" s="163">
        <v>0.71219667465504699</v>
      </c>
    </row>
    <row r="242" spans="37:38" s="4" customFormat="1">
      <c r="AK242" s="3">
        <v>236</v>
      </c>
      <c r="AL242" s="163">
        <v>0.71455460603329646</v>
      </c>
    </row>
    <row r="243" spans="37:38" s="4" customFormat="1">
      <c r="AK243" s="3">
        <v>237</v>
      </c>
      <c r="AL243" s="163">
        <v>0.71691025944085662</v>
      </c>
    </row>
    <row r="244" spans="37:38" s="4" customFormat="1">
      <c r="AK244" s="3">
        <v>238</v>
      </c>
      <c r="AL244" s="163">
        <v>0.71926363677133043</v>
      </c>
    </row>
    <row r="245" spans="37:38" s="4" customFormat="1">
      <c r="AK245" s="3">
        <v>239</v>
      </c>
      <c r="AL245" s="163">
        <v>0.72161473991743608</v>
      </c>
    </row>
    <row r="246" spans="37:38" s="4" customFormat="1">
      <c r="AK246" s="3">
        <v>240</v>
      </c>
      <c r="AL246" s="163">
        <v>0.72396357077100792</v>
      </c>
    </row>
    <row r="247" spans="37:38" s="4" customFormat="1">
      <c r="AK247" s="3">
        <v>241</v>
      </c>
      <c r="AL247" s="163">
        <v>0.72631013122299581</v>
      </c>
    </row>
    <row r="248" spans="37:38" s="4" customFormat="1">
      <c r="AK248" s="3">
        <v>242</v>
      </c>
      <c r="AL248" s="163">
        <v>0.72865442316346651</v>
      </c>
    </row>
    <row r="249" spans="37:38" s="4" customFormat="1">
      <c r="AK249" s="3">
        <v>243</v>
      </c>
      <c r="AL249" s="163">
        <v>0.7309964484816025</v>
      </c>
    </row>
    <row r="250" spans="37:38" s="4" customFormat="1">
      <c r="AK250" s="3">
        <v>244</v>
      </c>
      <c r="AL250" s="163">
        <v>0.73333620906570329</v>
      </c>
    </row>
    <row r="251" spans="37:38" s="4" customFormat="1">
      <c r="AK251" s="3">
        <v>245</v>
      </c>
      <c r="AL251" s="163">
        <v>0.73567370680318478</v>
      </c>
    </row>
    <row r="252" spans="37:38" s="4" customFormat="1">
      <c r="AK252" s="3">
        <v>246</v>
      </c>
      <c r="AL252" s="163">
        <v>0.73800894358058</v>
      </c>
    </row>
    <row r="253" spans="37:38" s="4" customFormat="1">
      <c r="AK253" s="3">
        <v>247</v>
      </c>
      <c r="AL253" s="163">
        <v>0.74034192128353893</v>
      </c>
    </row>
    <row r="254" spans="37:38" s="4" customFormat="1">
      <c r="AK254" s="3">
        <v>248</v>
      </c>
      <c r="AL254" s="163">
        <v>0.74267264179682912</v>
      </c>
    </row>
    <row r="255" spans="37:38" s="4" customFormat="1">
      <c r="AK255" s="3">
        <v>249</v>
      </c>
      <c r="AL255" s="163">
        <v>0.74500110700433542</v>
      </c>
    </row>
    <row r="256" spans="37:38" s="4" customFormat="1">
      <c r="AK256" s="3">
        <v>250</v>
      </c>
      <c r="AL256" s="163">
        <v>0.74732731878906034</v>
      </c>
    </row>
    <row r="257" spans="37:38" s="4" customFormat="1">
      <c r="AK257" s="3">
        <v>251</v>
      </c>
      <c r="AL257" s="163">
        <v>0.74965127903312423</v>
      </c>
    </row>
    <row r="258" spans="37:38" s="4" customFormat="1">
      <c r="AK258" s="3">
        <v>252</v>
      </c>
      <c r="AL258" s="163">
        <v>0.75197298961776549</v>
      </c>
    </row>
    <row r="259" spans="37:38" s="4" customFormat="1">
      <c r="AK259" s="3">
        <v>253</v>
      </c>
      <c r="AL259" s="163">
        <v>0.7542924524233412</v>
      </c>
    </row>
    <row r="260" spans="37:38" s="4" customFormat="1">
      <c r="AK260" s="3">
        <v>254</v>
      </c>
      <c r="AL260" s="163">
        <v>0.75660966932932538</v>
      </c>
    </row>
    <row r="261" spans="37:38" s="4" customFormat="1">
      <c r="AK261" s="3">
        <v>255</v>
      </c>
      <c r="AL261" s="163">
        <v>0.75892464221431266</v>
      </c>
    </row>
    <row r="262" spans="37:38" s="4" customFormat="1">
      <c r="AK262" s="3">
        <v>256</v>
      </c>
      <c r="AL262" s="163">
        <v>0.76123737295601468</v>
      </c>
    </row>
    <row r="263" spans="37:38" s="4" customFormat="1">
      <c r="AK263" s="3">
        <v>257</v>
      </c>
      <c r="AL263" s="163">
        <v>0.76354786343126324</v>
      </c>
    </row>
    <row r="264" spans="37:38" s="4" customFormat="1">
      <c r="AK264" s="3">
        <v>258</v>
      </c>
      <c r="AL264" s="163">
        <v>0.76585611551600841</v>
      </c>
    </row>
    <row r="265" spans="37:38" s="4" customFormat="1">
      <c r="AK265" s="3">
        <v>259</v>
      </c>
      <c r="AL265" s="163">
        <v>0.76816213108532028</v>
      </c>
    </row>
    <row r="266" spans="37:38" s="4" customFormat="1">
      <c r="AK266" s="3">
        <v>260</v>
      </c>
      <c r="AL266" s="163">
        <v>0.77046591201338777</v>
      </c>
    </row>
    <row r="267" spans="37:38" s="4" customFormat="1">
      <c r="AK267" s="3">
        <v>261</v>
      </c>
      <c r="AL267" s="163">
        <v>0.77276746017352027</v>
      </c>
    </row>
    <row r="268" spans="37:38" s="4" customFormat="1">
      <c r="AK268" s="3">
        <v>262</v>
      </c>
      <c r="AL268" s="163">
        <v>0.77506677743814612</v>
      </c>
    </row>
    <row r="269" spans="37:38" s="4" customFormat="1">
      <c r="AK269" s="3">
        <v>263</v>
      </c>
      <c r="AL269" s="163">
        <v>0.77736386567881444</v>
      </c>
    </row>
    <row r="270" spans="37:38" s="4" customFormat="1">
      <c r="AK270" s="3">
        <v>264</v>
      </c>
      <c r="AL270" s="163">
        <v>0.7796587267661943</v>
      </c>
    </row>
    <row r="271" spans="37:38" s="4" customFormat="1">
      <c r="AK271" s="3">
        <v>265</v>
      </c>
      <c r="AL271" s="163">
        <v>0.78195136257007503</v>
      </c>
    </row>
    <row r="272" spans="37:38" s="4" customFormat="1">
      <c r="AK272" s="3">
        <v>266</v>
      </c>
      <c r="AL272" s="163">
        <v>0.7842417749593672</v>
      </c>
    </row>
    <row r="273" spans="37:38" s="4" customFormat="1">
      <c r="AK273" s="3">
        <v>267</v>
      </c>
      <c r="AL273" s="163">
        <v>0.78652996580210099</v>
      </c>
    </row>
    <row r="274" spans="37:38" s="4" customFormat="1">
      <c r="AK274" s="3">
        <v>268</v>
      </c>
      <c r="AL274" s="163">
        <v>0.78881593696542884</v>
      </c>
    </row>
    <row r="275" spans="37:38" s="4" customFormat="1">
      <c r="AK275" s="3">
        <v>269</v>
      </c>
      <c r="AL275" s="163">
        <v>0.79109969031562344</v>
      </c>
    </row>
    <row r="276" spans="37:38" s="4" customFormat="1">
      <c r="AK276" s="3">
        <v>270</v>
      </c>
      <c r="AL276" s="163">
        <v>0.79338122771807928</v>
      </c>
    </row>
    <row r="277" spans="37:38" s="4" customFormat="1">
      <c r="AK277" s="3">
        <v>271</v>
      </c>
      <c r="AL277" s="163">
        <v>0.79566055103731215</v>
      </c>
    </row>
    <row r="278" spans="37:38" s="4" customFormat="1">
      <c r="AK278" s="3">
        <v>272</v>
      </c>
      <c r="AL278" s="163">
        <v>0.7979376621369596</v>
      </c>
    </row>
    <row r="279" spans="37:38" s="4" customFormat="1">
      <c r="AK279" s="3">
        <v>273</v>
      </c>
      <c r="AL279" s="163">
        <v>0.80021256287978126</v>
      </c>
    </row>
    <row r="280" spans="37:38" s="4" customFormat="1">
      <c r="AK280" s="3">
        <v>274</v>
      </c>
      <c r="AL280" s="163">
        <v>0.80248525512765845</v>
      </c>
    </row>
    <row r="281" spans="37:38" s="4" customFormat="1">
      <c r="AK281" s="3">
        <v>275</v>
      </c>
      <c r="AL281" s="163">
        <v>0.80475574074159484</v>
      </c>
    </row>
    <row r="282" spans="37:38" s="4" customFormat="1">
      <c r="AK282" s="3">
        <v>276</v>
      </c>
      <c r="AL282" s="163">
        <v>0.80702402158171671</v>
      </c>
    </row>
    <row r="283" spans="37:38" s="4" customFormat="1">
      <c r="AK283" s="3">
        <v>277</v>
      </c>
      <c r="AL283" s="163">
        <v>0.80929009950727304</v>
      </c>
    </row>
    <row r="284" spans="37:38" s="4" customFormat="1">
      <c r="AK284" s="3">
        <v>278</v>
      </c>
      <c r="AL284" s="163">
        <v>0.81155397637663529</v>
      </c>
    </row>
    <row r="285" spans="37:38" s="4" customFormat="1">
      <c r="AK285" s="3">
        <v>279</v>
      </c>
      <c r="AL285" s="163">
        <v>0.81381565404729816</v>
      </c>
    </row>
    <row r="286" spans="37:38" s="4" customFormat="1">
      <c r="AK286" s="3">
        <v>280</v>
      </c>
      <c r="AL286" s="163">
        <v>0.8160751343758792</v>
      </c>
    </row>
    <row r="287" spans="37:38" s="4" customFormat="1">
      <c r="AK287" s="3">
        <v>281</v>
      </c>
      <c r="AL287" s="163">
        <v>0.81833241921811972</v>
      </c>
    </row>
    <row r="288" spans="37:38" s="4" customFormat="1">
      <c r="AK288" s="3">
        <v>282</v>
      </c>
      <c r="AL288" s="163">
        <v>0.82058751042888456</v>
      </c>
    </row>
    <row r="289" spans="37:38" s="4" customFormat="1">
      <c r="AK289" s="3">
        <v>283</v>
      </c>
      <c r="AL289" s="163">
        <v>0.82284040986216178</v>
      </c>
    </row>
    <row r="290" spans="37:38" s="4" customFormat="1">
      <c r="AK290" s="3">
        <v>284</v>
      </c>
      <c r="AL290" s="163">
        <v>0.82509111937106383</v>
      </c>
    </row>
    <row r="291" spans="37:38" s="4" customFormat="1">
      <c r="AK291" s="3">
        <v>285</v>
      </c>
      <c r="AL291" s="163">
        <v>0.82733964080782729</v>
      </c>
    </row>
    <row r="292" spans="37:38" s="4" customFormat="1">
      <c r="AK292" s="3">
        <v>286</v>
      </c>
      <c r="AL292" s="163">
        <v>0.82958597602381245</v>
      </c>
    </row>
    <row r="293" spans="37:38" s="4" customFormat="1">
      <c r="AK293" s="3">
        <v>287</v>
      </c>
      <c r="AL293" s="163">
        <v>0.83183012686950442</v>
      </c>
    </row>
    <row r="294" spans="37:38" s="4" customFormat="1">
      <c r="AK294" s="3">
        <v>288</v>
      </c>
      <c r="AL294" s="163">
        <v>0.83407209519451309</v>
      </c>
    </row>
    <row r="295" spans="37:38" s="4" customFormat="1">
      <c r="AK295" s="3">
        <v>289</v>
      </c>
      <c r="AL295" s="163">
        <v>0.83631188284757296</v>
      </c>
    </row>
    <row r="296" spans="37:38" s="4" customFormat="1">
      <c r="AK296" s="3">
        <v>290</v>
      </c>
      <c r="AL296" s="163">
        <v>0.83854949167654369</v>
      </c>
    </row>
    <row r="297" spans="37:38" s="4" customFormat="1">
      <c r="AK297" s="3">
        <v>291</v>
      </c>
      <c r="AL297" s="163">
        <v>0.84078492352840994</v>
      </c>
    </row>
    <row r="298" spans="37:38" s="4" customFormat="1">
      <c r="AK298" s="3">
        <v>292</v>
      </c>
      <c r="AL298" s="163">
        <v>0.84301818024928188</v>
      </c>
    </row>
    <row r="299" spans="37:38" s="4" customFormat="1">
      <c r="AK299" s="3">
        <v>293</v>
      </c>
      <c r="AL299" s="163">
        <v>0.84524926368439512</v>
      </c>
    </row>
    <row r="300" spans="37:38" s="4" customFormat="1">
      <c r="AK300" s="3">
        <v>294</v>
      </c>
      <c r="AL300" s="163">
        <v>0.84747817567811135</v>
      </c>
    </row>
    <row r="301" spans="37:38" s="4" customFormat="1">
      <c r="AK301" s="3">
        <v>295</v>
      </c>
      <c r="AL301" s="163">
        <v>0.84970491807391746</v>
      </c>
    </row>
    <row r="302" spans="37:38" s="4" customFormat="1">
      <c r="AK302" s="3">
        <v>296</v>
      </c>
      <c r="AL302" s="163">
        <v>0.85192949271442742</v>
      </c>
    </row>
    <row r="303" spans="37:38" s="4" customFormat="1">
      <c r="AK303" s="3">
        <v>297</v>
      </c>
      <c r="AL303" s="163">
        <v>0.85415190144138053</v>
      </c>
    </row>
    <row r="304" spans="37:38" s="4" customFormat="1">
      <c r="AK304" s="3">
        <v>298</v>
      </c>
      <c r="AL304" s="163">
        <v>0.85637214609564316</v>
      </c>
    </row>
    <row r="305" spans="37:38" s="4" customFormat="1">
      <c r="AK305" s="3">
        <v>299</v>
      </c>
      <c r="AL305" s="163">
        <v>0.85859022851720845</v>
      </c>
    </row>
    <row r="306" spans="37:38" s="4" customFormat="1">
      <c r="AK306" s="3">
        <v>300</v>
      </c>
      <c r="AL306" s="163">
        <v>0.8608061505451956</v>
      </c>
    </row>
    <row r="307" spans="37:38" s="4" customFormat="1">
      <c r="AK307" s="3">
        <v>301</v>
      </c>
      <c r="AL307" s="163">
        <v>0.86301991401785172</v>
      </c>
    </row>
    <row r="308" spans="37:38" s="4" customFormat="1">
      <c r="AK308" s="3">
        <v>302</v>
      </c>
      <c r="AL308" s="163">
        <v>0.86523152077255061</v>
      </c>
    </row>
    <row r="309" spans="37:38" s="4" customFormat="1">
      <c r="AK309" s="3">
        <v>303</v>
      </c>
      <c r="AL309" s="163">
        <v>0.86744097264579367</v>
      </c>
    </row>
    <row r="310" spans="37:38" s="4" customFormat="1">
      <c r="AK310" s="3">
        <v>304</v>
      </c>
      <c r="AL310" s="163">
        <v>0.86964827147320978</v>
      </c>
    </row>
    <row r="311" spans="37:38" s="4" customFormat="1">
      <c r="AK311" s="3">
        <v>305</v>
      </c>
      <c r="AL311" s="163">
        <v>0.8718534190895556</v>
      </c>
    </row>
    <row r="312" spans="37:38" s="4" customFormat="1">
      <c r="AK312" s="3">
        <v>306</v>
      </c>
      <c r="AL312" s="163">
        <v>0.87405641732871597</v>
      </c>
    </row>
    <row r="313" spans="37:38" s="4" customFormat="1">
      <c r="AK313" s="3">
        <v>307</v>
      </c>
      <c r="AL313" s="163">
        <v>0.87625726802370318</v>
      </c>
    </row>
    <row r="314" spans="37:38" s="4" customFormat="1">
      <c r="AK314" s="3">
        <v>308</v>
      </c>
      <c r="AL314" s="163">
        <v>0.87845597300665867</v>
      </c>
    </row>
    <row r="315" spans="37:38" s="4" customFormat="1">
      <c r="AK315" s="3">
        <v>309</v>
      </c>
      <c r="AL315" s="163">
        <v>0.88065253410885158</v>
      </c>
    </row>
    <row r="316" spans="37:38" s="4" customFormat="1">
      <c r="AK316" s="3">
        <v>310</v>
      </c>
      <c r="AL316" s="163">
        <v>0.88284695316068051</v>
      </c>
    </row>
    <row r="317" spans="37:38" s="4" customFormat="1">
      <c r="AK317" s="3">
        <v>311</v>
      </c>
      <c r="AL317" s="163">
        <v>0.88503923199167267</v>
      </c>
    </row>
    <row r="318" spans="37:38" s="4" customFormat="1">
      <c r="AK318" s="3">
        <v>312</v>
      </c>
      <c r="AL318" s="163">
        <v>0.88722937243048361</v>
      </c>
    </row>
    <row r="319" spans="37:38" s="4" customFormat="1">
      <c r="AK319" s="3">
        <v>313</v>
      </c>
      <c r="AL319" s="163">
        <v>0.88941737630489903</v>
      </c>
    </row>
    <row r="320" spans="37:38" s="4" customFormat="1">
      <c r="AK320" s="3">
        <v>314</v>
      </c>
      <c r="AL320" s="163">
        <v>0.89160324544183367</v>
      </c>
    </row>
    <row r="321" spans="37:38" s="4" customFormat="1">
      <c r="AK321" s="3">
        <v>315</v>
      </c>
      <c r="AL321" s="163">
        <v>0.89378698166733195</v>
      </c>
    </row>
    <row r="322" spans="37:38" s="4" customFormat="1">
      <c r="AK322" s="3">
        <v>316</v>
      </c>
      <c r="AL322" s="163">
        <v>0.89596858680656766</v>
      </c>
    </row>
    <row r="323" spans="37:38" s="4" customFormat="1">
      <c r="AK323" s="3">
        <v>317</v>
      </c>
      <c r="AL323" s="163">
        <v>0.89814806268384562</v>
      </c>
    </row>
    <row r="324" spans="37:38" s="4" customFormat="1">
      <c r="AK324" s="3">
        <v>318</v>
      </c>
      <c r="AL324" s="163">
        <v>0.90032541112259923</v>
      </c>
    </row>
    <row r="325" spans="37:38" s="4" customFormat="1">
      <c r="AK325" s="3">
        <v>319</v>
      </c>
      <c r="AL325" s="163">
        <v>0.90250063394539337</v>
      </c>
    </row>
    <row r="326" spans="37:38" s="4" customFormat="1">
      <c r="AK326" s="3">
        <v>320</v>
      </c>
      <c r="AL326" s="163">
        <v>0.90467373297392339</v>
      </c>
    </row>
    <row r="327" spans="37:38" s="4" customFormat="1">
      <c r="AK327" s="3">
        <v>321</v>
      </c>
      <c r="AL327" s="163">
        <v>0.90684471002901423</v>
      </c>
    </row>
    <row r="328" spans="37:38" s="4" customFormat="1">
      <c r="AK328" s="3">
        <v>322</v>
      </c>
      <c r="AL328" s="163">
        <v>0.90901356693062374</v>
      </c>
    </row>
    <row r="329" spans="37:38" s="4" customFormat="1">
      <c r="AK329" s="3">
        <v>323</v>
      </c>
      <c r="AL329" s="163">
        <v>0.91118030549783868</v>
      </c>
    </row>
    <row r="330" spans="37:38" s="4" customFormat="1">
      <c r="AK330" s="3">
        <v>324</v>
      </c>
      <c r="AL330" s="163">
        <v>0.91334492754887853</v>
      </c>
    </row>
    <row r="331" spans="37:38" s="4" customFormat="1">
      <c r="AK331" s="3">
        <v>325</v>
      </c>
      <c r="AL331" s="163">
        <v>0.91550743490109332</v>
      </c>
    </row>
    <row r="332" spans="37:38" s="4" customFormat="1">
      <c r="AK332" s="3">
        <v>326</v>
      </c>
      <c r="AL332" s="163">
        <v>0.91766782937096536</v>
      </c>
    </row>
    <row r="333" spans="37:38" s="4" customFormat="1">
      <c r="AK333" s="3">
        <v>327</v>
      </c>
      <c r="AL333" s="163">
        <v>0.9198261127741082</v>
      </c>
    </row>
    <row r="334" spans="37:38" s="4" customFormat="1">
      <c r="AK334" s="3">
        <v>328</v>
      </c>
      <c r="AL334" s="163">
        <v>0.92198228692526774</v>
      </c>
    </row>
    <row r="335" spans="37:38" s="4" customFormat="1">
      <c r="AK335" s="3">
        <v>329</v>
      </c>
      <c r="AL335" s="163">
        <v>0.92413635363832192</v>
      </c>
    </row>
    <row r="336" spans="37:38" s="4" customFormat="1">
      <c r="AK336" s="3">
        <v>330</v>
      </c>
      <c r="AL336" s="163">
        <v>0.92628831472628104</v>
      </c>
    </row>
    <row r="337" spans="37:38" s="4" customFormat="1">
      <c r="AK337" s="3">
        <v>331</v>
      </c>
      <c r="AL337" s="163">
        <v>0.92843817200128798</v>
      </c>
    </row>
    <row r="338" spans="37:38" s="4" customFormat="1">
      <c r="AK338" s="3">
        <v>332</v>
      </c>
      <c r="AL338" s="163">
        <v>0.93058592727461809</v>
      </c>
    </row>
    <row r="339" spans="37:38" s="4" customFormat="1">
      <c r="AK339" s="3">
        <v>333</v>
      </c>
      <c r="AL339" s="163">
        <v>0.93273158235667997</v>
      </c>
    </row>
    <row r="340" spans="37:38" s="4" customFormat="1">
      <c r="AK340" s="3">
        <v>334</v>
      </c>
      <c r="AL340" s="163">
        <v>0.93487513905701491</v>
      </c>
    </row>
    <row r="341" spans="37:38" s="4" customFormat="1">
      <c r="AK341" s="3">
        <v>335</v>
      </c>
      <c r="AL341" s="163">
        <v>0.93701659918429803</v>
      </c>
    </row>
    <row r="342" spans="37:38" s="4" customFormat="1">
      <c r="AK342" s="3">
        <v>336</v>
      </c>
      <c r="AL342" s="163">
        <v>0.93915596454633743</v>
      </c>
    </row>
    <row r="343" spans="37:38" s="4" customFormat="1">
      <c r="AK343" s="3">
        <v>337</v>
      </c>
      <c r="AL343" s="163">
        <v>0.94129323695007494</v>
      </c>
    </row>
    <row r="344" spans="37:38" s="4" customFormat="1">
      <c r="AK344" s="3">
        <v>338</v>
      </c>
      <c r="AL344" s="163">
        <v>0.94342841820158596</v>
      </c>
    </row>
    <row r="345" spans="37:38" s="4" customFormat="1">
      <c r="AK345" s="3">
        <v>339</v>
      </c>
      <c r="AL345" s="163">
        <v>0.94556151010608069</v>
      </c>
    </row>
    <row r="346" spans="37:38" s="4" customFormat="1">
      <c r="AK346" s="3">
        <v>340</v>
      </c>
      <c r="AL346" s="163">
        <v>0.94769251446790248</v>
      </c>
    </row>
    <row r="347" spans="37:38" s="4" customFormat="1">
      <c r="AK347" s="3">
        <v>341</v>
      </c>
      <c r="AL347" s="163">
        <v>0.94982143309053002</v>
      </c>
    </row>
    <row r="348" spans="37:38" s="4" customFormat="1">
      <c r="AK348" s="3">
        <v>342</v>
      </c>
      <c r="AL348" s="163">
        <v>0.95194826777657571</v>
      </c>
    </row>
    <row r="349" spans="37:38" s="4" customFormat="1">
      <c r="AK349" s="3">
        <v>343</v>
      </c>
      <c r="AL349" s="163">
        <v>0.95407302032778718</v>
      </c>
    </row>
    <row r="350" spans="37:38" s="4" customFormat="1">
      <c r="AK350" s="3">
        <v>344</v>
      </c>
      <c r="AL350" s="163">
        <v>0.95619569254504733</v>
      </c>
    </row>
    <row r="351" spans="37:38" s="4" customFormat="1">
      <c r="AK351" s="3">
        <v>345</v>
      </c>
      <c r="AL351" s="163">
        <v>0.95831628622837295</v>
      </c>
    </row>
    <row r="352" spans="37:38" s="4" customFormat="1">
      <c r="AK352" s="3">
        <v>346</v>
      </c>
      <c r="AL352" s="163">
        <v>0.96043480317691698</v>
      </c>
    </row>
    <row r="353" spans="37:38" s="4" customFormat="1">
      <c r="AK353" s="3">
        <v>347</v>
      </c>
      <c r="AL353" s="163">
        <v>0.96255124518896806</v>
      </c>
    </row>
    <row r="354" spans="37:38" s="4" customFormat="1">
      <c r="AK354" s="3">
        <v>348</v>
      </c>
      <c r="AL354" s="163">
        <v>0.96466561406194995</v>
      </c>
    </row>
    <row r="355" spans="37:38" s="4" customFormat="1">
      <c r="AK355" s="3">
        <v>349</v>
      </c>
      <c r="AL355" s="163">
        <v>0.96677791159242221</v>
      </c>
    </row>
    <row r="356" spans="37:38" s="4" customFormat="1">
      <c r="AK356" s="3">
        <v>350</v>
      </c>
      <c r="AL356" s="163">
        <v>0.968888139576081</v>
      </c>
    </row>
    <row r="357" spans="37:38" s="4" customFormat="1">
      <c r="AK357" s="3">
        <v>351</v>
      </c>
      <c r="AL357" s="163">
        <v>0.97099629980775815</v>
      </c>
    </row>
    <row r="358" spans="37:38" s="4" customFormat="1">
      <c r="AK358" s="3">
        <v>352</v>
      </c>
      <c r="AL358" s="163">
        <v>0.97310239408142185</v>
      </c>
    </row>
    <row r="359" spans="37:38" s="4" customFormat="1">
      <c r="AK359" s="3">
        <v>353</v>
      </c>
      <c r="AL359" s="163">
        <v>0.97520642419017722</v>
      </c>
    </row>
    <row r="360" spans="37:38" s="4" customFormat="1">
      <c r="AK360" s="3">
        <v>354</v>
      </c>
      <c r="AL360" s="163">
        <v>0.97730839192626606</v>
      </c>
    </row>
    <row r="361" spans="37:38" s="4" customFormat="1">
      <c r="AK361" s="3">
        <v>355</v>
      </c>
      <c r="AL361" s="163">
        <v>0.97940829908106664</v>
      </c>
    </row>
    <row r="362" spans="37:38" s="4" customFormat="1">
      <c r="AK362" s="3">
        <v>356</v>
      </c>
      <c r="AL362" s="163">
        <v>0.98150614744509512</v>
      </c>
    </row>
    <row r="363" spans="37:38" s="4" customFormat="1">
      <c r="AK363" s="3">
        <v>357</v>
      </c>
      <c r="AL363" s="163">
        <v>0.98360193880800439</v>
      </c>
    </row>
    <row r="364" spans="37:38" s="4" customFormat="1">
      <c r="AK364" s="3">
        <v>358</v>
      </c>
      <c r="AL364" s="163">
        <v>0.9856956749585849</v>
      </c>
    </row>
    <row r="365" spans="37:38" s="4" customFormat="1">
      <c r="AK365" s="3">
        <v>359</v>
      </c>
      <c r="AL365" s="163">
        <v>0.987787357684765</v>
      </c>
    </row>
    <row r="366" spans="37:38" s="4" customFormat="1">
      <c r="AK366" s="3">
        <v>360</v>
      </c>
      <c r="AL366" s="163">
        <v>0.98987698877361063</v>
      </c>
    </row>
    <row r="367" spans="37:38" s="4" customFormat="1">
      <c r="AK367" s="3">
        <v>361</v>
      </c>
      <c r="AL367" s="163">
        <v>0.9919645700113261</v>
      </c>
    </row>
    <row r="368" spans="37:38" s="4" customFormat="1">
      <c r="AK368" s="3">
        <v>362</v>
      </c>
      <c r="AL368" s="163">
        <v>0.99405010318325349</v>
      </c>
    </row>
    <row r="369" spans="37:38" s="4" customFormat="1">
      <c r="AK369" s="3">
        <v>363</v>
      </c>
      <c r="AL369" s="163">
        <v>0.99613359007387359</v>
      </c>
    </row>
    <row r="370" spans="37:38" s="4" customFormat="1">
      <c r="AK370" s="3">
        <v>364</v>
      </c>
      <c r="AL370" s="163">
        <v>0.99821503246680576</v>
      </c>
    </row>
    <row r="371" spans="37:38" s="4" customFormat="1">
      <c r="AK371" s="3">
        <v>365</v>
      </c>
      <c r="AL371" s="163">
        <v>1.0002944321448084</v>
      </c>
    </row>
    <row r="372" spans="37:38" s="4" customFormat="1">
      <c r="AK372" s="3">
        <v>366</v>
      </c>
      <c r="AL372" s="163">
        <v>1.002371790889778</v>
      </c>
    </row>
    <row r="373" spans="37:38" s="4" customFormat="1">
      <c r="AK373" s="3">
        <v>367</v>
      </c>
      <c r="AL373" s="163">
        <v>1.004447110482751</v>
      </c>
    </row>
    <row r="374" spans="37:38" s="4" customFormat="1">
      <c r="AK374" s="3">
        <v>368</v>
      </c>
      <c r="AL374" s="163">
        <v>1.006520392703903</v>
      </c>
    </row>
    <row r="375" spans="37:38" s="4" customFormat="1">
      <c r="AK375" s="3">
        <v>369</v>
      </c>
      <c r="AL375" s="163">
        <v>1.0085916393325489</v>
      </c>
    </row>
    <row r="376" spans="37:38" s="4" customFormat="1">
      <c r="AK376" s="3">
        <v>370</v>
      </c>
      <c r="AL376" s="163">
        <v>1.010660852147143</v>
      </c>
    </row>
    <row r="377" spans="37:38" s="4" customFormat="1">
      <c r="AK377" s="3">
        <v>371</v>
      </c>
      <c r="AL377" s="163">
        <v>1.0127280329252808</v>
      </c>
    </row>
    <row r="378" spans="37:38" s="4" customFormat="1">
      <c r="AK378" s="3">
        <v>372</v>
      </c>
      <c r="AL378" s="163">
        <v>1.0147931834436963</v>
      </c>
    </row>
    <row r="379" spans="37:38" s="4" customFormat="1">
      <c r="AK379" s="3">
        <v>373</v>
      </c>
      <c r="AL379" s="163">
        <v>1.0168563054782647</v>
      </c>
    </row>
    <row r="380" spans="37:38" s="4" customFormat="1">
      <c r="AK380" s="3">
        <v>374</v>
      </c>
      <c r="AL380" s="163">
        <v>1.0189174008040007</v>
      </c>
    </row>
    <row r="381" spans="37:38" s="4" customFormat="1">
      <c r="AK381" s="3">
        <v>375</v>
      </c>
      <c r="AL381" s="163">
        <v>1.0209764711950609</v>
      </c>
    </row>
    <row r="382" spans="37:38" s="4" customFormat="1">
      <c r="AK382" s="3">
        <v>376</v>
      </c>
      <c r="AL382" s="163">
        <v>1.0230335184247417</v>
      </c>
    </row>
    <row r="383" spans="37:38" s="4" customFormat="1">
      <c r="AK383" s="3">
        <v>377</v>
      </c>
      <c r="AL383" s="163">
        <v>1.0250885442654805</v>
      </c>
    </row>
    <row r="384" spans="37:38" s="4" customFormat="1">
      <c r="AK384" s="3">
        <v>378</v>
      </c>
      <c r="AL384" s="163">
        <v>1.0271415504888566</v>
      </c>
    </row>
    <row r="385" spans="37:38" s="4" customFormat="1">
      <c r="AK385" s="3">
        <v>379</v>
      </c>
      <c r="AL385" s="163">
        <v>1.02919253886559</v>
      </c>
    </row>
    <row r="386" spans="37:38" s="4" customFormat="1">
      <c r="AK386" s="3">
        <v>380</v>
      </c>
      <c r="AL386" s="163">
        <v>1.0312415111655422</v>
      </c>
    </row>
    <row r="387" spans="37:38" s="4" customFormat="1">
      <c r="AK387" s="3">
        <v>381</v>
      </c>
      <c r="AL387" s="163">
        <v>1.0332884691577169</v>
      </c>
    </row>
    <row r="388" spans="37:38" s="4" customFormat="1">
      <c r="AK388" s="3">
        <v>382</v>
      </c>
      <c r="AL388" s="163">
        <v>1.0353334146102593</v>
      </c>
    </row>
    <row r="389" spans="37:38" s="4" customFormat="1">
      <c r="AK389" s="3">
        <v>383</v>
      </c>
      <c r="AL389" s="163">
        <v>1.0373763492904566</v>
      </c>
    </row>
    <row r="390" spans="37:38" s="4" customFormat="1">
      <c r="AK390" s="3">
        <v>384</v>
      </c>
      <c r="AL390" s="163">
        <v>1.0394172749647386</v>
      </c>
    </row>
    <row r="391" spans="37:38" s="4" customFormat="1">
      <c r="AK391" s="3">
        <v>385</v>
      </c>
      <c r="AL391" s="163">
        <v>1.0414561933986777</v>
      </c>
    </row>
    <row r="392" spans="37:38" s="4" customFormat="1">
      <c r="AK392" s="3">
        <v>386</v>
      </c>
      <c r="AL392" s="163">
        <v>1.0434931063569879</v>
      </c>
    </row>
    <row r="393" spans="37:38" s="4" customFormat="1">
      <c r="AK393" s="3">
        <v>387</v>
      </c>
      <c r="AL393" s="163">
        <v>1.0455280156035271</v>
      </c>
    </row>
    <row r="394" spans="37:38" s="4" customFormat="1">
      <c r="AK394" s="3">
        <v>388</v>
      </c>
      <c r="AL394" s="163">
        <v>1.0475609229012959</v>
      </c>
    </row>
    <row r="395" spans="37:38" s="4" customFormat="1">
      <c r="AK395" s="3">
        <v>389</v>
      </c>
      <c r="AL395" s="163">
        <v>1.0495918300124378</v>
      </c>
    </row>
    <row r="396" spans="37:38" s="4" customFormat="1">
      <c r="AK396" s="3">
        <v>390</v>
      </c>
      <c r="AL396" s="163">
        <v>1.0516207386982399</v>
      </c>
    </row>
    <row r="397" spans="37:38" s="4" customFormat="1">
      <c r="AK397" s="3">
        <v>391</v>
      </c>
      <c r="AL397" s="163">
        <v>1.0536476507191326</v>
      </c>
    </row>
    <row r="398" spans="37:38" s="4" customFormat="1">
      <c r="AK398" s="3">
        <v>392</v>
      </c>
      <c r="AL398" s="163">
        <v>1.0556725678346908</v>
      </c>
    </row>
    <row r="399" spans="37:38" s="4" customFormat="1">
      <c r="AK399" s="3">
        <v>393</v>
      </c>
      <c r="AL399" s="163">
        <v>1.0576954918036319</v>
      </c>
    </row>
    <row r="400" spans="37:38" s="4" customFormat="1">
      <c r="AK400" s="3">
        <v>394</v>
      </c>
      <c r="AL400" s="163">
        <v>1.0597164243838189</v>
      </c>
    </row>
    <row r="401" spans="37:38" s="4" customFormat="1">
      <c r="AK401" s="3">
        <v>395</v>
      </c>
      <c r="AL401" s="163">
        <v>1.061735367332258</v>
      </c>
    </row>
    <row r="402" spans="37:38" s="4" customFormat="1">
      <c r="AK402" s="3">
        <v>396</v>
      </c>
      <c r="AL402" s="163">
        <v>1.0637523224051006</v>
      </c>
    </row>
    <row r="403" spans="37:38" s="4" customFormat="1">
      <c r="AK403" s="3">
        <v>397</v>
      </c>
      <c r="AL403" s="163">
        <v>1.0657672913576421</v>
      </c>
    </row>
    <row r="404" spans="37:38" s="4" customFormat="1">
      <c r="AK404" s="3">
        <v>398</v>
      </c>
      <c r="AL404" s="163">
        <v>1.0677802759443233</v>
      </c>
    </row>
    <row r="405" spans="37:38" s="4" customFormat="1">
      <c r="AK405" s="3">
        <v>399</v>
      </c>
      <c r="AL405" s="163">
        <v>1.0697912779187295</v>
      </c>
    </row>
    <row r="406" spans="37:38" s="4" customFormat="1">
      <c r="AK406" s="3">
        <v>400</v>
      </c>
      <c r="AL406" s="163">
        <v>1.0718002990335915</v>
      </c>
    </row>
    <row r="407" spans="37:38" s="4" customFormat="1">
      <c r="AK407" s="3">
        <v>401</v>
      </c>
      <c r="AL407" s="163">
        <v>1.073807341040786</v>
      </c>
    </row>
    <row r="408" spans="37:38" s="4" customFormat="1">
      <c r="AK408" s="3">
        <v>402</v>
      </c>
      <c r="AL408" s="163">
        <v>1.0758124056913334</v>
      </c>
    </row>
    <row r="409" spans="37:38" s="4" customFormat="1">
      <c r="AK409" s="3">
        <v>403</v>
      </c>
      <c r="AL409" s="163">
        <v>1.0778154947354024</v>
      </c>
    </row>
    <row r="410" spans="37:38" s="4" customFormat="1">
      <c r="AK410" s="3">
        <v>404</v>
      </c>
      <c r="AL410" s="163">
        <v>1.0798166099223059</v>
      </c>
    </row>
    <row r="411" spans="37:38" s="4" customFormat="1">
      <c r="AK411" s="3">
        <v>405</v>
      </c>
      <c r="AL411" s="163">
        <v>1.0818157530005033</v>
      </c>
    </row>
    <row r="412" spans="37:38" s="4" customFormat="1">
      <c r="AK412" s="3">
        <v>406</v>
      </c>
      <c r="AL412" s="163">
        <v>1.0838129257176004</v>
      </c>
    </row>
    <row r="413" spans="37:38" s="4" customFormat="1">
      <c r="AK413" s="3">
        <v>407</v>
      </c>
      <c r="AL413" s="163">
        <v>1.0858081298203495</v>
      </c>
    </row>
    <row r="414" spans="37:38" s="4" customFormat="1">
      <c r="AK414" s="3">
        <v>408</v>
      </c>
      <c r="AL414" s="163">
        <v>1.08780136705465</v>
      </c>
    </row>
    <row r="415" spans="37:38" s="4" customFormat="1">
      <c r="AK415" s="3">
        <v>409</v>
      </c>
      <c r="AL415" s="163">
        <v>1.0897926391655466</v>
      </c>
    </row>
    <row r="416" spans="37:38" s="4" customFormat="1">
      <c r="AK416" s="3">
        <v>410</v>
      </c>
      <c r="AL416" s="163">
        <v>1.091781947897233</v>
      </c>
    </row>
    <row r="417" spans="37:38" s="4" customFormat="1">
      <c r="AK417" s="3">
        <v>411</v>
      </c>
      <c r="AL417" s="163">
        <v>1.0937692949930491</v>
      </c>
    </row>
    <row r="418" spans="37:38" s="4" customFormat="1">
      <c r="AK418" s="3">
        <v>412</v>
      </c>
      <c r="AL418" s="163">
        <v>1.095754682195482</v>
      </c>
    </row>
    <row r="419" spans="37:38" s="4" customFormat="1">
      <c r="AK419" s="3">
        <v>413</v>
      </c>
      <c r="AL419" s="163">
        <v>1.0977381112461668</v>
      </c>
    </row>
    <row r="420" spans="37:38" s="4" customFormat="1">
      <c r="AK420" s="3">
        <v>414</v>
      </c>
      <c r="AL420" s="163">
        <v>1.0997195838858866</v>
      </c>
    </row>
    <row r="421" spans="37:38" s="4" customFormat="1">
      <c r="AK421" s="3">
        <v>415</v>
      </c>
      <c r="AL421" s="163">
        <v>1.1016991018545719</v>
      </c>
    </row>
    <row r="422" spans="37:38" s="4" customFormat="1">
      <c r="AK422" s="3">
        <v>416</v>
      </c>
      <c r="AL422" s="163">
        <v>1.1036766668913014</v>
      </c>
    </row>
    <row r="423" spans="37:38" s="4" customFormat="1">
      <c r="AK423" s="3">
        <v>417</v>
      </c>
      <c r="AL423" s="163">
        <v>1.1056522807343026</v>
      </c>
    </row>
    <row r="424" spans="37:38" s="4" customFormat="1">
      <c r="AK424" s="3">
        <v>418</v>
      </c>
      <c r="AL424" s="163">
        <v>1.1076259451209507</v>
      </c>
    </row>
    <row r="425" spans="37:38" s="4" customFormat="1">
      <c r="AK425" s="3">
        <v>419</v>
      </c>
      <c r="AL425" s="163">
        <v>1.1095976617877703</v>
      </c>
    </row>
    <row r="426" spans="37:38" s="4" customFormat="1">
      <c r="AK426" s="3">
        <v>420</v>
      </c>
      <c r="AL426" s="163">
        <v>1.1115674324704348</v>
      </c>
    </row>
    <row r="427" spans="37:38" s="4" customFormat="1">
      <c r="AK427" s="3">
        <v>421</v>
      </c>
      <c r="AL427" s="163">
        <v>1.1135352589037661</v>
      </c>
    </row>
    <row r="428" spans="37:38" s="4" customFormat="1">
      <c r="AK428" s="3">
        <v>422</v>
      </c>
      <c r="AL428" s="163">
        <v>1.1155011428217361</v>
      </c>
    </row>
    <row r="429" spans="37:38" s="4" customFormat="1">
      <c r="AK429" s="3">
        <v>423</v>
      </c>
      <c r="AL429" s="163">
        <v>1.1174650859574657</v>
      </c>
    </row>
    <row r="430" spans="37:38" s="4" customFormat="1">
      <c r="AK430" s="3">
        <v>424</v>
      </c>
      <c r="AL430" s="163">
        <v>1.119427090043225</v>
      </c>
    </row>
    <row r="431" spans="37:38" s="4" customFormat="1">
      <c r="AK431" s="3">
        <v>425</v>
      </c>
      <c r="AL431" s="163">
        <v>1.121387156810435</v>
      </c>
    </row>
    <row r="432" spans="37:38" s="4" customFormat="1">
      <c r="AK432" s="3">
        <v>426</v>
      </c>
      <c r="AL432" s="163">
        <v>1.1233452879896653</v>
      </c>
    </row>
    <row r="433" spans="37:38" s="4" customFormat="1">
      <c r="AK433" s="3">
        <v>427</v>
      </c>
      <c r="AL433" s="163">
        <v>1.1253014853106367</v>
      </c>
    </row>
    <row r="434" spans="37:38" s="4" customFormat="1">
      <c r="AK434" s="3">
        <v>428</v>
      </c>
      <c r="AL434" s="163">
        <v>1.1272557505022198</v>
      </c>
    </row>
    <row r="435" spans="37:38" s="4" customFormat="1">
      <c r="AK435" s="3">
        <v>429</v>
      </c>
      <c r="AL435" s="163">
        <v>1.1292080852924362</v>
      </c>
    </row>
    <row r="436" spans="37:38" s="4" customFormat="1">
      <c r="AK436" s="3">
        <v>430</v>
      </c>
      <c r="AL436" s="163">
        <v>1.131158491408458</v>
      </c>
    </row>
    <row r="437" spans="37:38" s="4" customFormat="1">
      <c r="AK437" s="3">
        <v>431</v>
      </c>
      <c r="AL437" s="163">
        <v>1.1331069705766073</v>
      </c>
    </row>
    <row r="438" spans="37:38" s="4" customFormat="1">
      <c r="AK438" s="3">
        <v>432</v>
      </c>
      <c r="AL438" s="163">
        <v>1.1350535245223583</v>
      </c>
    </row>
    <row r="439" spans="37:38" s="4" customFormat="1">
      <c r="AK439" s="3">
        <v>433</v>
      </c>
      <c r="AL439" s="163">
        <v>1.1369981549703367</v>
      </c>
    </row>
    <row r="440" spans="37:38" s="4" customFormat="1">
      <c r="AK440" s="3">
        <v>434</v>
      </c>
      <c r="AL440" s="163">
        <v>1.1389408636443188</v>
      </c>
    </row>
    <row r="441" spans="37:38" s="4" customFormat="1">
      <c r="AK441" s="3">
        <v>435</v>
      </c>
      <c r="AL441" s="163">
        <v>1.1408816522672329</v>
      </c>
    </row>
    <row r="442" spans="37:38" s="4" customFormat="1">
      <c r="AK442" s="3">
        <v>436</v>
      </c>
      <c r="AL442" s="163">
        <v>1.1428205225611592</v>
      </c>
    </row>
    <row r="443" spans="37:38" s="4" customFormat="1">
      <c r="AK443" s="3">
        <v>437</v>
      </c>
      <c r="AL443" s="163">
        <v>1.1447574762473296</v>
      </c>
    </row>
    <row r="444" spans="37:38" s="4" customFormat="1">
      <c r="AK444" s="3">
        <v>438</v>
      </c>
      <c r="AL444" s="163">
        <v>1.1466925150461289</v>
      </c>
    </row>
    <row r="445" spans="37:38" s="4" customFormat="1">
      <c r="AK445" s="3">
        <v>439</v>
      </c>
      <c r="AL445" s="163">
        <v>1.1486256406770927</v>
      </c>
    </row>
    <row r="446" spans="37:38" s="4" customFormat="1">
      <c r="AK446" s="3">
        <v>440</v>
      </c>
      <c r="AL446" s="163">
        <v>1.1505568548589107</v>
      </c>
    </row>
    <row r="447" spans="37:38" s="4" customFormat="1">
      <c r="AK447" s="3">
        <v>441</v>
      </c>
      <c r="AL447" s="163">
        <v>1.1524861593094242</v>
      </c>
    </row>
    <row r="448" spans="37:38" s="4" customFormat="1">
      <c r="AK448" s="3">
        <v>442</v>
      </c>
      <c r="AL448" s="163">
        <v>1.1544135557456288</v>
      </c>
    </row>
    <row r="449" spans="37:38" s="4" customFormat="1">
      <c r="AK449" s="3">
        <v>443</v>
      </c>
      <c r="AL449" s="163">
        <v>1.1563390458836715</v>
      </c>
    </row>
    <row r="450" spans="37:38" s="4" customFormat="1">
      <c r="AK450" s="3">
        <v>444</v>
      </c>
      <c r="AL450" s="163">
        <v>1.1582626314388542</v>
      </c>
    </row>
    <row r="451" spans="37:38" s="4" customFormat="1">
      <c r="AK451" s="3">
        <v>445</v>
      </c>
      <c r="AL451" s="163">
        <v>1.1601843141256309</v>
      </c>
    </row>
    <row r="452" spans="37:38" s="4" customFormat="1">
      <c r="AK452" s="3">
        <v>446</v>
      </c>
      <c r="AL452" s="163">
        <v>1.1621040956576101</v>
      </c>
    </row>
    <row r="453" spans="37:38" s="4" customFormat="1">
      <c r="AK453" s="3">
        <v>447</v>
      </c>
      <c r="AL453" s="163">
        <v>1.1640219777475538</v>
      </c>
    </row>
    <row r="454" spans="37:38" s="4" customFormat="1">
      <c r="AK454" s="3">
        <v>448</v>
      </c>
      <c r="AL454" s="163">
        <v>1.1659379621073778</v>
      </c>
    </row>
    <row r="455" spans="37:38" s="4" customFormat="1">
      <c r="AK455" s="3">
        <v>449</v>
      </c>
      <c r="AL455" s="163">
        <v>1.1678520504481524</v>
      </c>
    </row>
    <row r="456" spans="37:38" s="4" customFormat="1">
      <c r="AK456" s="3">
        <v>450</v>
      </c>
      <c r="AL456" s="163">
        <v>1.1697642444801026</v>
      </c>
    </row>
    <row r="457" spans="37:38" s="4" customFormat="1">
      <c r="AK457" s="3">
        <v>451</v>
      </c>
      <c r="AL457" s="163">
        <v>1.1716745459126072</v>
      </c>
    </row>
    <row r="458" spans="37:38" s="4" customFormat="1">
      <c r="AK458" s="3">
        <v>452</v>
      </c>
      <c r="AL458" s="163">
        <v>1.1735829564541997</v>
      </c>
    </row>
    <row r="459" spans="37:38" s="4" customFormat="1">
      <c r="AK459" s="3">
        <v>453</v>
      </c>
      <c r="AL459" s="163">
        <v>1.1754894778125702</v>
      </c>
    </row>
    <row r="460" spans="37:38" s="4" customFormat="1">
      <c r="AK460" s="3">
        <v>454</v>
      </c>
      <c r="AL460" s="163">
        <v>1.1773941116945612</v>
      </c>
    </row>
    <row r="461" spans="37:38" s="4" customFormat="1">
      <c r="AK461" s="3">
        <v>455</v>
      </c>
      <c r="AL461" s="163">
        <v>1.1792968598061728</v>
      </c>
    </row>
    <row r="462" spans="37:38" s="4" customFormat="1">
      <c r="AK462" s="3">
        <v>456</v>
      </c>
      <c r="AL462" s="163">
        <v>1.1811977238525595</v>
      </c>
    </row>
    <row r="463" spans="37:38" s="4" customFormat="1">
      <c r="AK463" s="3">
        <v>457</v>
      </c>
      <c r="AL463" s="163">
        <v>1.1830967055380315</v>
      </c>
    </row>
    <row r="464" spans="37:38" s="4" customFormat="1">
      <c r="AK464" s="3">
        <v>458</v>
      </c>
      <c r="AL464" s="163">
        <v>1.184993806566055</v>
      </c>
    </row>
    <row r="465" spans="37:38" s="4" customFormat="1">
      <c r="AK465" s="3">
        <v>459</v>
      </c>
      <c r="AL465" s="163">
        <v>1.1868890286392526</v>
      </c>
    </row>
    <row r="466" spans="37:38" s="4" customFormat="1">
      <c r="AK466" s="3">
        <v>460</v>
      </c>
      <c r="AL466" s="163">
        <v>1.1887823734594027</v>
      </c>
    </row>
    <row r="467" spans="37:38" s="4" customFormat="1">
      <c r="AK467" s="3">
        <v>461</v>
      </c>
      <c r="AL467" s="163">
        <v>1.1906738427274399</v>
      </c>
    </row>
    <row r="468" spans="37:38" s="4" customFormat="1">
      <c r="AK468" s="3">
        <v>462</v>
      </c>
      <c r="AL468" s="163">
        <v>1.1925634381434553</v>
      </c>
    </row>
    <row r="469" spans="37:38" s="4" customFormat="1">
      <c r="AK469" s="3">
        <v>463</v>
      </c>
      <c r="AL469" s="163">
        <v>1.1944511614066975</v>
      </c>
    </row>
    <row r="470" spans="37:38" s="4" customFormat="1">
      <c r="AK470" s="3">
        <v>464</v>
      </c>
      <c r="AL470" s="163">
        <v>1.1963370142155716</v>
      </c>
    </row>
    <row r="471" spans="37:38" s="4" customFormat="1">
      <c r="AK471" s="3">
        <v>465</v>
      </c>
      <c r="AL471" s="163">
        <v>1.1982209982676395</v>
      </c>
    </row>
    <row r="472" spans="37:38" s="4" customFormat="1">
      <c r="AK472" s="3">
        <v>466</v>
      </c>
      <c r="AL472" s="163">
        <v>1.2001031152596213</v>
      </c>
    </row>
    <row r="473" spans="37:38" s="4" customFormat="1">
      <c r="AK473" s="3">
        <v>467</v>
      </c>
      <c r="AL473" s="163">
        <v>1.201983366887394</v>
      </c>
    </row>
    <row r="474" spans="37:38" s="4" customFormat="1">
      <c r="AK474" s="3">
        <v>468</v>
      </c>
      <c r="AL474" s="163">
        <v>1.2038617548459916</v>
      </c>
    </row>
    <row r="475" spans="37:38" s="4" customFormat="1">
      <c r="AK475" s="3">
        <v>469</v>
      </c>
      <c r="AL475" s="163">
        <v>1.2057382808296078</v>
      </c>
    </row>
    <row r="476" spans="37:38" s="4" customFormat="1">
      <c r="AK476" s="3">
        <v>470</v>
      </c>
      <c r="AL476" s="163">
        <v>1.2076129465315921</v>
      </c>
    </row>
    <row r="477" spans="37:38" s="4" customFormat="1">
      <c r="AK477" s="3">
        <v>471</v>
      </c>
      <c r="AL477" s="163">
        <v>1.2094857536444543</v>
      </c>
    </row>
    <row r="478" spans="37:38" s="4" customFormat="1">
      <c r="AK478" s="3">
        <v>472</v>
      </c>
      <c r="AL478" s="163">
        <v>1.2113567038598612</v>
      </c>
    </row>
    <row r="479" spans="37:38" s="4" customFormat="1">
      <c r="AK479" s="3">
        <v>473</v>
      </c>
      <c r="AL479" s="163">
        <v>1.2132257988686383</v>
      </c>
    </row>
    <row r="480" spans="37:38" s="4" customFormat="1">
      <c r="AK480" s="3">
        <v>474</v>
      </c>
      <c r="AL480" s="163">
        <v>1.2150930403607714</v>
      </c>
    </row>
    <row r="481" spans="37:38" s="4" customFormat="1">
      <c r="AK481" s="3">
        <v>475</v>
      </c>
      <c r="AL481" s="163">
        <v>1.216958430025403</v>
      </c>
    </row>
    <row r="482" spans="37:38" s="4" customFormat="1">
      <c r="AK482" s="3">
        <v>476</v>
      </c>
      <c r="AL482" s="163">
        <v>1.2188219695508364</v>
      </c>
    </row>
    <row r="483" spans="37:38" s="4" customFormat="1">
      <c r="AK483" s="3">
        <v>477</v>
      </c>
      <c r="AL483" s="163">
        <v>1.2206836606245333</v>
      </c>
    </row>
    <row r="484" spans="37:38" s="4" customFormat="1">
      <c r="AK484" s="3">
        <v>478</v>
      </c>
      <c r="AL484" s="163">
        <v>1.2225435049331159</v>
      </c>
    </row>
    <row r="485" spans="37:38" s="4" customFormat="1">
      <c r="AK485" s="3">
        <v>479</v>
      </c>
      <c r="AL485" s="163">
        <v>1.224401504162365</v>
      </c>
    </row>
    <row r="486" spans="37:38" s="4" customFormat="1">
      <c r="AK486" s="3">
        <v>480</v>
      </c>
      <c r="AL486" s="163">
        <v>1.2262576599972224</v>
      </c>
    </row>
    <row r="487" spans="37:38" s="4" customFormat="1">
      <c r="AK487" s="3">
        <v>481</v>
      </c>
      <c r="AL487" s="163">
        <v>1.2281119741217887</v>
      </c>
    </row>
    <row r="488" spans="37:38" s="4" customFormat="1">
      <c r="AK488" s="3">
        <v>482</v>
      </c>
      <c r="AL488" s="163">
        <v>1.2299644482193255</v>
      </c>
    </row>
    <row r="489" spans="37:38" s="4" customFormat="1">
      <c r="AK489" s="3">
        <v>483</v>
      </c>
      <c r="AL489" s="163">
        <v>1.2318150839722548</v>
      </c>
    </row>
    <row r="490" spans="37:38" s="4" customFormat="1">
      <c r="AK490" s="3">
        <v>484</v>
      </c>
      <c r="AL490" s="163">
        <v>1.2336638830621591</v>
      </c>
    </row>
    <row r="491" spans="37:38" s="4" customFormat="1">
      <c r="AK491" s="3">
        <v>485</v>
      </c>
      <c r="AL491" s="163">
        <v>1.235510847169782</v>
      </c>
    </row>
    <row r="492" spans="37:38" s="4" customFormat="1">
      <c r="AK492" s="3">
        <v>486</v>
      </c>
      <c r="AL492" s="163">
        <v>1.2373559779750276</v>
      </c>
    </row>
    <row r="493" spans="37:38" s="4" customFormat="1">
      <c r="AK493" s="3">
        <v>487</v>
      </c>
      <c r="AL493" s="163">
        <v>1.2391992771569615</v>
      </c>
    </row>
    <row r="494" spans="37:38" s="4" customFormat="1">
      <c r="AK494" s="3">
        <v>488</v>
      </c>
      <c r="AL494" s="163">
        <v>1.2410407463938107</v>
      </c>
    </row>
    <row r="495" spans="37:38" s="4" customFormat="1">
      <c r="AK495" s="3">
        <v>489</v>
      </c>
      <c r="AL495" s="163">
        <v>1.2428803873629628</v>
      </c>
    </row>
    <row r="496" spans="37:38" s="4" customFormat="1">
      <c r="AK496" s="3">
        <v>490</v>
      </c>
      <c r="AL496" s="163">
        <v>1.244718201740969</v>
      </c>
    </row>
    <row r="497" spans="37:38" s="4" customFormat="1">
      <c r="AK497" s="3">
        <v>491</v>
      </c>
      <c r="AL497" s="163">
        <v>1.2465541912035405</v>
      </c>
    </row>
    <row r="498" spans="37:38" s="4" customFormat="1">
      <c r="AK498" s="3">
        <v>492</v>
      </c>
      <c r="AL498" s="163">
        <v>1.2483883574255517</v>
      </c>
    </row>
    <row r="499" spans="37:38" s="4" customFormat="1">
      <c r="AK499" s="3">
        <v>493</v>
      </c>
      <c r="AL499" s="163">
        <v>1.2502207020810385</v>
      </c>
    </row>
    <row r="500" spans="37:38" s="4" customFormat="1">
      <c r="AK500" s="3">
        <v>494</v>
      </c>
      <c r="AL500" s="163">
        <v>1.2520512268432005</v>
      </c>
    </row>
    <row r="501" spans="37:38" s="4" customFormat="1">
      <c r="AK501" s="3">
        <v>495</v>
      </c>
      <c r="AL501" s="163">
        <v>1.2538799333843986</v>
      </c>
    </row>
    <row r="502" spans="37:38" s="4" customFormat="1">
      <c r="AK502" s="3">
        <v>496</v>
      </c>
      <c r="AL502" s="163">
        <v>1.2557068233761568</v>
      </c>
    </row>
    <row r="503" spans="37:38" s="4" customFormat="1">
      <c r="AK503" s="3">
        <v>497</v>
      </c>
      <c r="AL503" s="163">
        <v>1.257531898489163</v>
      </c>
    </row>
    <row r="504" spans="37:38" s="4" customFormat="1">
      <c r="AK504" s="3">
        <v>498</v>
      </c>
      <c r="AL504" s="163">
        <v>1.2593551603932673</v>
      </c>
    </row>
    <row r="505" spans="37:38" s="4" customFormat="1">
      <c r="AK505" s="3">
        <v>499</v>
      </c>
      <c r="AL505" s="163">
        <v>1.2611766107574833</v>
      </c>
    </row>
    <row r="506" spans="37:38" s="4" customFormat="1">
      <c r="AK506" s="3">
        <v>500</v>
      </c>
      <c r="AL506" s="163">
        <v>1.2629962512499886</v>
      </c>
    </row>
    <row r="507" spans="37:38" s="4" customFormat="1">
      <c r="AK507" s="3">
        <v>501</v>
      </c>
      <c r="AL507" s="163">
        <v>1.2648140835381243</v>
      </c>
    </row>
    <row r="508" spans="37:38" s="4" customFormat="1">
      <c r="AK508" s="3">
        <v>502</v>
      </c>
      <c r="AL508" s="163">
        <v>1.2666301092883954</v>
      </c>
    </row>
    <row r="509" spans="37:38" s="4" customFormat="1">
      <c r="AK509" s="3">
        <v>503</v>
      </c>
      <c r="AL509" s="163">
        <v>1.2684443301664707</v>
      </c>
    </row>
    <row r="510" spans="37:38" s="4" customFormat="1">
      <c r="AK510" s="3">
        <v>504</v>
      </c>
      <c r="AL510" s="163">
        <v>1.2702567478371838</v>
      </c>
    </row>
    <row r="511" spans="37:38" s="4" customFormat="1">
      <c r="AK511" s="3">
        <v>505</v>
      </c>
      <c r="AL511" s="163">
        <v>1.2720673639645326</v>
      </c>
    </row>
    <row r="512" spans="37:38" s="4" customFormat="1">
      <c r="AK512" s="3">
        <v>506</v>
      </c>
      <c r="AL512" s="163">
        <v>1.27387618021168</v>
      </c>
    </row>
    <row r="513" spans="37:38" s="4" customFormat="1">
      <c r="AK513" s="3">
        <v>507</v>
      </c>
      <c r="AL513" s="163">
        <v>1.2756831982409529</v>
      </c>
    </row>
    <row r="514" spans="37:38" s="4" customFormat="1">
      <c r="AK514" s="3">
        <v>508</v>
      </c>
      <c r="AL514" s="163">
        <v>1.2774884197138436</v>
      </c>
    </row>
    <row r="515" spans="37:38" s="4" customFormat="1">
      <c r="AK515" s="3">
        <v>509</v>
      </c>
      <c r="AL515" s="163">
        <v>1.2792918462910097</v>
      </c>
    </row>
    <row r="516" spans="37:38" s="4" customFormat="1">
      <c r="AK516" s="3">
        <v>510</v>
      </c>
      <c r="AL516" s="163">
        <v>1.2810934796322744</v>
      </c>
    </row>
    <row r="517" spans="37:38" s="4" customFormat="1">
      <c r="AK517" s="3">
        <v>511</v>
      </c>
      <c r="AL517" s="163">
        <v>1.282893321396626</v>
      </c>
    </row>
    <row r="518" spans="37:38" s="4" customFormat="1">
      <c r="AK518" s="3">
        <v>512</v>
      </c>
      <c r="AL518" s="163">
        <v>1.2846913732422192</v>
      </c>
    </row>
    <row r="519" spans="37:38" s="4" customFormat="1">
      <c r="AK519" s="3">
        <v>513</v>
      </c>
      <c r="AL519" s="163">
        <v>1.2864876368263738</v>
      </c>
    </row>
    <row r="520" spans="37:38" s="4" customFormat="1">
      <c r="AK520" s="3">
        <v>514</v>
      </c>
      <c r="AL520" s="163">
        <v>1.2882821138055762</v>
      </c>
    </row>
    <row r="521" spans="37:38" s="4" customFormat="1">
      <c r="AK521" s="3">
        <v>515</v>
      </c>
      <c r="AL521" s="163">
        <v>1.2900748058354796</v>
      </c>
    </row>
    <row r="522" spans="37:38" s="4" customFormat="1">
      <c r="AK522" s="3">
        <v>516</v>
      </c>
      <c r="AL522" s="163">
        <v>1.2918657145709018</v>
      </c>
    </row>
    <row r="523" spans="37:38" s="4" customFormat="1">
      <c r="AK523" s="3">
        <v>517</v>
      </c>
      <c r="AL523" s="163">
        <v>1.2936548416658302</v>
      </c>
    </row>
    <row r="524" spans="37:38" s="4" customFormat="1">
      <c r="AK524" s="3">
        <v>518</v>
      </c>
      <c r="AL524" s="163">
        <v>1.2954421887734171</v>
      </c>
    </row>
    <row r="525" spans="37:38" s="4" customFormat="1">
      <c r="AK525" s="3">
        <v>519</v>
      </c>
      <c r="AL525" s="163">
        <v>1.2972277575459814</v>
      </c>
    </row>
    <row r="526" spans="37:38" s="4" customFormat="1">
      <c r="AK526" s="3">
        <v>520</v>
      </c>
      <c r="AL526" s="163">
        <v>1.2990115496350108</v>
      </c>
    </row>
    <row r="527" spans="37:38" s="4" customFormat="1">
      <c r="AK527" s="3">
        <v>521</v>
      </c>
      <c r="AL527" s="163">
        <v>1.3007935666911592</v>
      </c>
    </row>
    <row r="528" spans="37:38" s="4" customFormat="1">
      <c r="AK528" s="3">
        <v>522</v>
      </c>
      <c r="AL528" s="163">
        <v>1.3025738103642492</v>
      </c>
    </row>
    <row r="529" spans="37:38" s="4" customFormat="1">
      <c r="AK529" s="3">
        <v>523</v>
      </c>
      <c r="AL529" s="163">
        <v>1.3043522823032698</v>
      </c>
    </row>
    <row r="530" spans="37:38" s="4" customFormat="1">
      <c r="AK530" s="3">
        <v>524</v>
      </c>
      <c r="AL530" s="163">
        <v>1.3061289841563792</v>
      </c>
    </row>
    <row r="531" spans="37:38" s="4" customFormat="1">
      <c r="AK531" s="3">
        <v>525</v>
      </c>
      <c r="AL531" s="163">
        <v>1.3079039175709026</v>
      </c>
    </row>
    <row r="532" spans="37:38" s="4" customFormat="1">
      <c r="AK532" s="3">
        <v>526</v>
      </c>
      <c r="AL532" s="163">
        <v>1.3096770841933343</v>
      </c>
    </row>
    <row r="533" spans="37:38" s="4" customFormat="1">
      <c r="AK533" s="3">
        <v>527</v>
      </c>
      <c r="AL533" s="163">
        <v>1.3114484856693374</v>
      </c>
    </row>
    <row r="534" spans="37:38" s="4" customFormat="1">
      <c r="AK534" s="3">
        <v>528</v>
      </c>
      <c r="AL534" s="163">
        <v>1.3132181236437428</v>
      </c>
    </row>
    <row r="535" spans="37:38" s="4" customFormat="1">
      <c r="AK535" s="3">
        <v>529</v>
      </c>
      <c r="AL535" s="163">
        <v>1.3149859997605511</v>
      </c>
    </row>
    <row r="536" spans="37:38" s="4" customFormat="1">
      <c r="AK536" s="3">
        <v>530</v>
      </c>
      <c r="AL536" s="163">
        <v>1.3167521156629309</v>
      </c>
    </row>
    <row r="537" spans="37:38" s="4" customFormat="1">
      <c r="AK537" s="3">
        <v>531</v>
      </c>
      <c r="AL537" s="163">
        <v>1.3185164729932215</v>
      </c>
    </row>
    <row r="538" spans="37:38" s="4" customFormat="1">
      <c r="AK538" s="3">
        <v>532</v>
      </c>
      <c r="AL538" s="163">
        <v>1.3202790733929304</v>
      </c>
    </row>
    <row r="539" spans="37:38" s="4" customFormat="1">
      <c r="AK539" s="3">
        <v>533</v>
      </c>
      <c r="AL539" s="163">
        <v>1.3220399185027349</v>
      </c>
    </row>
    <row r="540" spans="37:38" s="4" customFormat="1">
      <c r="AK540" s="3">
        <v>534</v>
      </c>
      <c r="AL540" s="163">
        <v>1.3237990099624832</v>
      </c>
    </row>
    <row r="541" spans="37:38" s="4" customFormat="1">
      <c r="AK541" s="3">
        <v>535</v>
      </c>
      <c r="AL541" s="163">
        <v>1.3255563494111919</v>
      </c>
    </row>
    <row r="542" spans="37:38" s="4" customFormat="1">
      <c r="AK542" s="3">
        <v>536</v>
      </c>
      <c r="AL542" s="163">
        <v>1.3273119384870484</v>
      </c>
    </row>
    <row r="543" spans="37:38" s="4" customFormat="1">
      <c r="AK543" s="3">
        <v>537</v>
      </c>
      <c r="AL543" s="163">
        <v>1.3290657788274109</v>
      </c>
    </row>
    <row r="544" spans="37:38" s="4" customFormat="1">
      <c r="AK544" s="3">
        <v>538</v>
      </c>
      <c r="AL544" s="163">
        <v>1.3308178720688073</v>
      </c>
    </row>
    <row r="545" spans="37:38" s="4" customFormat="1">
      <c r="AK545" s="3">
        <v>539</v>
      </c>
      <c r="AL545" s="163">
        <v>1.3325682198469375</v>
      </c>
    </row>
    <row r="546" spans="37:38" s="4" customFormat="1">
      <c r="AK546" s="3">
        <v>540</v>
      </c>
      <c r="AL546" s="163">
        <v>1.3343168237966707</v>
      </c>
    </row>
    <row r="547" spans="37:38" s="4" customFormat="1">
      <c r="AK547" s="3">
        <v>541</v>
      </c>
      <c r="AL547" s="163">
        <v>1.336063685552048</v>
      </c>
    </row>
    <row r="548" spans="37:38" s="4" customFormat="1">
      <c r="AK548" s="3">
        <v>542</v>
      </c>
      <c r="AL548" s="163">
        <v>1.3378088067462821</v>
      </c>
    </row>
    <row r="549" spans="37:38" s="4" customFormat="1">
      <c r="AK549" s="3">
        <v>543</v>
      </c>
      <c r="AL549" s="163">
        <v>1.3395521890117559</v>
      </c>
    </row>
    <row r="550" spans="37:38" s="4" customFormat="1">
      <c r="AK550" s="3">
        <v>544</v>
      </c>
      <c r="AL550" s="163">
        <v>1.3412938339800258</v>
      </c>
    </row>
    <row r="551" spans="37:38" s="4" customFormat="1">
      <c r="AK551" s="3">
        <v>545</v>
      </c>
      <c r="AL551" s="163">
        <v>1.3430337432818185</v>
      </c>
    </row>
    <row r="552" spans="37:38" s="4" customFormat="1">
      <c r="AK552" s="3">
        <v>546</v>
      </c>
      <c r="AL552" s="163">
        <v>1.344771918547033</v>
      </c>
    </row>
    <row r="553" spans="37:38" s="4" customFormat="1">
      <c r="AK553" s="3">
        <v>547</v>
      </c>
      <c r="AL553" s="163">
        <v>1.3465083614047411</v>
      </c>
    </row>
    <row r="554" spans="37:38" s="4" customFormat="1">
      <c r="AK554" s="3">
        <v>548</v>
      </c>
      <c r="AL554" s="163">
        <v>1.3482430734831858</v>
      </c>
    </row>
    <row r="555" spans="37:38" s="4" customFormat="1">
      <c r="AK555" s="3">
        <v>549</v>
      </c>
      <c r="AL555" s="163">
        <v>1.3499760564097845</v>
      </c>
    </row>
    <row r="556" spans="37:38" s="4" customFormat="1">
      <c r="AK556" s="3">
        <v>550</v>
      </c>
      <c r="AL556" s="163">
        <v>1.3517073118111249</v>
      </c>
    </row>
    <row r="557" spans="37:38" s="4" customFormat="1">
      <c r="AK557" s="3">
        <v>551</v>
      </c>
      <c r="AL557" s="163">
        <v>1.3534368413129694</v>
      </c>
    </row>
    <row r="558" spans="37:38" s="4" customFormat="1">
      <c r="AK558" s="3">
        <v>552</v>
      </c>
      <c r="AL558" s="163">
        <v>1.3551646465402536</v>
      </c>
    </row>
    <row r="559" spans="37:38" s="4" customFormat="1">
      <c r="AK559" s="3">
        <v>553</v>
      </c>
      <c r="AL559" s="163">
        <v>1.3568907291170849</v>
      </c>
    </row>
    <row r="560" spans="37:38" s="4" customFormat="1">
      <c r="AK560" s="3">
        <v>554</v>
      </c>
      <c r="AL560" s="163">
        <v>1.3586150906667454</v>
      </c>
    </row>
    <row r="561" spans="37:38" s="4" customFormat="1">
      <c r="AK561" s="3">
        <v>555</v>
      </c>
      <c r="AL561" s="163">
        <v>1.3603377328116908</v>
      </c>
    </row>
    <row r="562" spans="37:38" s="4" customFormat="1">
      <c r="AK562" s="3">
        <v>556</v>
      </c>
      <c r="AL562" s="163">
        <v>1.3620586571735496</v>
      </c>
    </row>
    <row r="563" spans="37:38" s="4" customFormat="1">
      <c r="AK563" s="3">
        <v>557</v>
      </c>
      <c r="AL563" s="163">
        <v>1.3637778653731258</v>
      </c>
    </row>
    <row r="564" spans="37:38" s="4" customFormat="1">
      <c r="AK564" s="3">
        <v>558</v>
      </c>
      <c r="AL564" s="163">
        <v>1.3654953590303964</v>
      </c>
    </row>
    <row r="565" spans="37:38" s="4" customFormat="1">
      <c r="AK565" s="3">
        <v>559</v>
      </c>
      <c r="AL565" s="163">
        <v>1.3672111397645133</v>
      </c>
    </row>
    <row r="566" spans="37:38" s="4" customFormat="1">
      <c r="AK566" s="3">
        <v>560</v>
      </c>
      <c r="AL566" s="163">
        <v>1.3689252091938031</v>
      </c>
    </row>
    <row r="567" spans="37:38" s="4" customFormat="1">
      <c r="AK567" s="3">
        <v>561</v>
      </c>
      <c r="AL567" s="163">
        <v>1.3706375689357664</v>
      </c>
    </row>
    <row r="568" spans="37:38" s="4" customFormat="1">
      <c r="AK568" s="3">
        <v>562</v>
      </c>
      <c r="AL568" s="163">
        <v>1.3723482206070801</v>
      </c>
    </row>
    <row r="569" spans="37:38" s="4" customFormat="1">
      <c r="AK569" s="3">
        <v>563</v>
      </c>
      <c r="AL569" s="163">
        <v>1.3740571658235943</v>
      </c>
    </row>
    <row r="570" spans="37:38" s="4" customFormat="1">
      <c r="AK570" s="3">
        <v>564</v>
      </c>
      <c r="AL570" s="163">
        <v>1.3757644062003369</v>
      </c>
    </row>
    <row r="571" spans="37:38" s="4" customFormat="1">
      <c r="AK571" s="3">
        <v>565</v>
      </c>
      <c r="AL571" s="163">
        <v>1.3774699433515083</v>
      </c>
    </row>
    <row r="572" spans="37:38" s="4" customFormat="1">
      <c r="AK572" s="3">
        <v>566</v>
      </c>
      <c r="AL572" s="163">
        <v>1.3791737788904872</v>
      </c>
    </row>
    <row r="573" spans="37:38" s="4" customFormat="1">
      <c r="AK573" s="3">
        <v>567</v>
      </c>
      <c r="AL573" s="163">
        <v>1.380875914429827</v>
      </c>
    </row>
    <row r="574" spans="37:38" s="4" customFormat="1">
      <c r="AK574" s="3">
        <v>568</v>
      </c>
      <c r="AL574" s="163">
        <v>1.3825763515812568</v>
      </c>
    </row>
    <row r="575" spans="37:38" s="4" customFormat="1">
      <c r="AK575" s="3">
        <v>569</v>
      </c>
      <c r="AL575" s="163">
        <v>1.3842750919556823</v>
      </c>
    </row>
    <row r="576" spans="37:38" s="4" customFormat="1">
      <c r="AK576" s="3">
        <v>570</v>
      </c>
      <c r="AL576" s="163">
        <v>1.3859721371631857</v>
      </c>
    </row>
    <row r="577" spans="37:38" s="4" customFormat="1">
      <c r="AK577" s="3">
        <v>571</v>
      </c>
      <c r="AL577" s="163">
        <v>1.3876674888130263</v>
      </c>
    </row>
    <row r="578" spans="37:38" s="4" customFormat="1">
      <c r="AK578" s="3">
        <v>572</v>
      </c>
      <c r="AL578" s="163">
        <v>1.389361148513639</v>
      </c>
    </row>
    <row r="579" spans="37:38" s="4" customFormat="1">
      <c r="AK579" s="3">
        <v>573</v>
      </c>
      <c r="AL579" s="163">
        <v>1.3910531178726364</v>
      </c>
    </row>
    <row r="580" spans="37:38" s="4" customFormat="1">
      <c r="AK580" s="3">
        <v>574</v>
      </c>
      <c r="AL580" s="163">
        <v>1.3927433984968078</v>
      </c>
    </row>
    <row r="581" spans="37:38" s="4" customFormat="1">
      <c r="AK581" s="3">
        <v>575</v>
      </c>
      <c r="AL581" s="163">
        <v>1.39443199199212</v>
      </c>
    </row>
    <row r="582" spans="37:38" s="4" customFormat="1">
      <c r="AK582" s="3">
        <v>576</v>
      </c>
      <c r="AL582" s="163">
        <v>1.3961188999637193</v>
      </c>
    </row>
    <row r="583" spans="37:38" s="4" customFormat="1">
      <c r="AK583" s="3">
        <v>577</v>
      </c>
      <c r="AL583" s="163">
        <v>1.3978041240159249</v>
      </c>
    </row>
    <row r="584" spans="37:38" s="4" customFormat="1">
      <c r="AK584" s="3">
        <v>578</v>
      </c>
      <c r="AL584" s="163">
        <v>1.3994876657522388</v>
      </c>
    </row>
    <row r="585" spans="37:38" s="4" customFormat="1">
      <c r="AK585" s="3">
        <v>579</v>
      </c>
      <c r="AL585" s="163">
        <v>1.4011695267753379</v>
      </c>
    </row>
    <row r="586" spans="37:38" s="4" customFormat="1">
      <c r="AK586" s="3">
        <v>580</v>
      </c>
      <c r="AL586" s="163">
        <v>1.402849708687079</v>
      </c>
    </row>
    <row r="587" spans="37:38" s="4" customFormat="1">
      <c r="AK587" s="3">
        <v>581</v>
      </c>
      <c r="AL587" s="163">
        <v>1.4045282130884966</v>
      </c>
    </row>
    <row r="588" spans="37:38" s="4" customFormat="1">
      <c r="AK588" s="3">
        <v>582</v>
      </c>
      <c r="AL588" s="163">
        <v>1.406205041579804</v>
      </c>
    </row>
    <row r="589" spans="37:38" s="4" customFormat="1">
      <c r="AK589" s="3">
        <v>583</v>
      </c>
      <c r="AL589" s="163">
        <v>1.4078801957603928</v>
      </c>
    </row>
    <row r="590" spans="37:38" s="4" customFormat="1">
      <c r="AK590" s="3">
        <v>584</v>
      </c>
      <c r="AL590" s="163">
        <v>1.4095536772288348</v>
      </c>
    </row>
    <row r="591" spans="37:38" s="4" customFormat="1">
      <c r="AK591" s="3">
        <v>585</v>
      </c>
      <c r="AL591" s="163">
        <v>1.41122548758288</v>
      </c>
    </row>
    <row r="592" spans="37:38" s="4" customFormat="1">
      <c r="AK592" s="3">
        <v>586</v>
      </c>
      <c r="AL592" s="163">
        <v>1.4128956284194576</v>
      </c>
    </row>
    <row r="593" spans="37:38" s="4" customFormat="1">
      <c r="AK593" s="3">
        <v>587</v>
      </c>
      <c r="AL593" s="163">
        <v>1.4145641013346768</v>
      </c>
    </row>
    <row r="594" spans="37:38" s="4" customFormat="1">
      <c r="AK594" s="3">
        <v>588</v>
      </c>
      <c r="AL594" s="163">
        <v>1.4162309079238264</v>
      </c>
    </row>
    <row r="595" spans="37:38" s="4" customFormat="1">
      <c r="AK595" s="3">
        <v>589</v>
      </c>
      <c r="AL595" s="163">
        <v>1.4178960497813746</v>
      </c>
    </row>
    <row r="596" spans="37:38" s="4" customFormat="1">
      <c r="AK596" s="3">
        <v>590</v>
      </c>
      <c r="AL596" s="163">
        <v>1.419559528500971</v>
      </c>
    </row>
    <row r="597" spans="37:38" s="4" customFormat="1">
      <c r="AK597" s="3">
        <v>591</v>
      </c>
      <c r="AL597" s="163">
        <v>1.4212213456754437</v>
      </c>
    </row>
    <row r="598" spans="37:38" s="4" customFormat="1">
      <c r="AK598" s="3">
        <v>592</v>
      </c>
      <c r="AL598" s="163">
        <v>1.4228815028968018</v>
      </c>
    </row>
    <row r="599" spans="37:38" s="4" customFormat="1">
      <c r="AK599" s="3">
        <v>593</v>
      </c>
      <c r="AL599" s="163">
        <v>1.4245400017562369</v>
      </c>
    </row>
    <row r="600" spans="37:38" s="4" customFormat="1">
      <c r="AK600" s="3">
        <v>594</v>
      </c>
      <c r="AL600" s="163">
        <v>1.4261968438441184</v>
      </c>
    </row>
    <row r="601" spans="37:38" s="4" customFormat="1">
      <c r="AK601" s="3">
        <v>595</v>
      </c>
      <c r="AL601" s="163">
        <v>1.4278520307499987</v>
      </c>
    </row>
    <row r="602" spans="37:38" s="4" customFormat="1">
      <c r="AK602" s="3">
        <v>596</v>
      </c>
      <c r="AL602" s="163">
        <v>1.4295055640626106</v>
      </c>
    </row>
    <row r="603" spans="37:38" s="4" customFormat="1">
      <c r="AK603" s="3">
        <v>597</v>
      </c>
      <c r="AL603" s="163">
        <v>1.4311574453698686</v>
      </c>
    </row>
    <row r="604" spans="37:38" s="4" customFormat="1">
      <c r="AK604" s="3">
        <v>598</v>
      </c>
      <c r="AL604" s="163">
        <v>1.4328076762588684</v>
      </c>
    </row>
    <row r="605" spans="37:38" s="4" customFormat="1">
      <c r="AK605" s="3">
        <v>599</v>
      </c>
      <c r="AL605" s="163">
        <v>1.434456258315888</v>
      </c>
    </row>
    <row r="606" spans="37:38" s="4" customFormat="1">
      <c r="AK606" s="3">
        <v>600</v>
      </c>
      <c r="AL606" s="163">
        <v>1.4361031931263861</v>
      </c>
    </row>
    <row r="607" spans="37:38" s="4" customFormat="1">
      <c r="AK607" s="3">
        <v>601</v>
      </c>
      <c r="AL607" s="163">
        <v>1.4377484822750053</v>
      </c>
    </row>
    <row r="608" spans="37:38" s="4" customFormat="1">
      <c r="AK608" s="3">
        <v>602</v>
      </c>
      <c r="AL608" s="163">
        <v>1.4393921273455688</v>
      </c>
    </row>
    <row r="609" spans="37:38" s="4" customFormat="1">
      <c r="AK609" s="3">
        <v>603</v>
      </c>
      <c r="AL609" s="163">
        <v>1.4410341299210834</v>
      </c>
    </row>
    <row r="610" spans="37:38" s="4" customFormat="1">
      <c r="AK610" s="3">
        <v>604</v>
      </c>
      <c r="AL610" s="163">
        <v>1.442674491583738</v>
      </c>
    </row>
    <row r="611" spans="37:38" s="4" customFormat="1">
      <c r="AK611" s="3">
        <v>605</v>
      </c>
      <c r="AL611" s="163">
        <v>1.4443132139149037</v>
      </c>
    </row>
    <row r="612" spans="37:38" s="4" customFormat="1">
      <c r="AK612" s="3">
        <v>606</v>
      </c>
      <c r="AL612" s="163">
        <v>1.4459502984951365</v>
      </c>
    </row>
    <row r="613" spans="37:38" s="4" customFormat="1">
      <c r="AK613" s="3">
        <v>607</v>
      </c>
      <c r="AL613" s="163">
        <v>1.4475857469041735</v>
      </c>
    </row>
    <row r="614" spans="37:38" s="4" customFormat="1">
      <c r="AK614" s="3">
        <v>608</v>
      </c>
      <c r="AL614" s="163">
        <v>1.4492195607209368</v>
      </c>
    </row>
    <row r="615" spans="37:38" s="4" customFormat="1">
      <c r="AK615" s="3">
        <v>609</v>
      </c>
      <c r="AL615" s="163">
        <v>1.4508517415235307</v>
      </c>
    </row>
    <row r="616" spans="37:38" s="4" customFormat="1">
      <c r="AK616" s="3">
        <v>610</v>
      </c>
      <c r="AL616" s="163">
        <v>1.4524822908892443</v>
      </c>
    </row>
    <row r="617" spans="37:38" s="4" customFormat="1">
      <c r="AK617" s="3">
        <v>611</v>
      </c>
      <c r="AL617" s="163">
        <v>1.4541112103945499</v>
      </c>
    </row>
    <row r="618" spans="37:38" s="4" customFormat="1">
      <c r="AK618" s="3">
        <v>612</v>
      </c>
      <c r="AL618" s="163">
        <v>1.4557385016151045</v>
      </c>
    </row>
    <row r="619" spans="37:38" s="4" customFormat="1">
      <c r="AK619" s="3">
        <v>613</v>
      </c>
      <c r="AL619" s="163">
        <v>1.457364166125749</v>
      </c>
    </row>
    <row r="620" spans="37:38" s="4" customFormat="1">
      <c r="AK620" s="3">
        <v>614</v>
      </c>
      <c r="AL620" s="163">
        <v>1.4589882055005088</v>
      </c>
    </row>
    <row r="621" spans="37:38" s="4" customFormat="1">
      <c r="AK621" s="3">
        <v>615</v>
      </c>
      <c r="AL621" s="163">
        <v>1.4606106213125947</v>
      </c>
    </row>
    <row r="622" spans="37:38" s="4" customFormat="1">
      <c r="AK622" s="3">
        <v>616</v>
      </c>
      <c r="AL622" s="163">
        <v>1.4622314151344007</v>
      </c>
    </row>
    <row r="623" spans="37:38" s="4" customFormat="1">
      <c r="AK623" s="3">
        <v>617</v>
      </c>
      <c r="AL623" s="163">
        <v>1.4638505885375075</v>
      </c>
    </row>
    <row r="624" spans="37:38" s="4" customFormat="1">
      <c r="AK624" s="3">
        <v>618</v>
      </c>
      <c r="AL624" s="163">
        <v>1.4654681430926804</v>
      </c>
    </row>
    <row r="625" spans="37:38" s="4" customFormat="1">
      <c r="AK625" s="3">
        <v>619</v>
      </c>
      <c r="AL625" s="163">
        <v>1.4670840803698699</v>
      </c>
    </row>
    <row r="626" spans="37:38" s="4" customFormat="1">
      <c r="AK626" s="3">
        <v>620</v>
      </c>
      <c r="AL626" s="163">
        <v>1.4686984019382119</v>
      </c>
    </row>
    <row r="627" spans="37:38" s="4" customFormat="1">
      <c r="AK627" s="3">
        <v>621</v>
      </c>
      <c r="AL627" s="163">
        <v>1.4703111093660288</v>
      </c>
    </row>
    <row r="628" spans="37:38" s="4" customFormat="1">
      <c r="AK628" s="3">
        <v>622</v>
      </c>
      <c r="AL628" s="163">
        <v>1.4719222042208282</v>
      </c>
    </row>
    <row r="629" spans="37:38" s="4" customFormat="1">
      <c r="AK629" s="3">
        <v>623</v>
      </c>
      <c r="AL629" s="163">
        <v>1.4735316880693046</v>
      </c>
    </row>
    <row r="630" spans="37:38" s="4" customFormat="1">
      <c r="AK630" s="3">
        <v>624</v>
      </c>
      <c r="AL630" s="163">
        <v>1.475139562477338</v>
      </c>
    </row>
    <row r="631" spans="37:38" s="4" customFormat="1">
      <c r="AK631" s="3">
        <v>625</v>
      </c>
      <c r="AL631" s="163">
        <v>1.4767458290099953</v>
      </c>
    </row>
    <row r="632" spans="37:38" s="4" customFormat="1">
      <c r="AK632" s="3">
        <v>626</v>
      </c>
      <c r="AL632" s="163">
        <v>1.4783504892315302</v>
      </c>
    </row>
    <row r="633" spans="37:38" s="4" customFormat="1">
      <c r="AK633" s="3">
        <v>627</v>
      </c>
      <c r="AL633" s="163">
        <v>1.4799535447053833</v>
      </c>
    </row>
    <row r="634" spans="37:38" s="4" customFormat="1">
      <c r="AK634" s="3">
        <v>628</v>
      </c>
      <c r="AL634" s="163">
        <v>1.4815549969941815</v>
      </c>
    </row>
    <row r="635" spans="37:38" s="4" customFormat="1">
      <c r="AK635" s="3">
        <v>629</v>
      </c>
      <c r="AL635" s="163">
        <v>1.4831548476597398</v>
      </c>
    </row>
    <row r="636" spans="37:38" s="4" customFormat="1">
      <c r="AK636" s="3">
        <v>630</v>
      </c>
      <c r="AL636" s="163">
        <v>1.4847530982630612</v>
      </c>
    </row>
    <row r="637" spans="37:38" s="4" customFormat="1">
      <c r="AK637" s="3">
        <v>631</v>
      </c>
      <c r="AL637" s="163">
        <v>1.4863497503643341</v>
      </c>
    </row>
    <row r="638" spans="37:38" s="4" customFormat="1">
      <c r="AK638" s="3">
        <v>632</v>
      </c>
      <c r="AL638" s="163">
        <v>1.4879448055229361</v>
      </c>
    </row>
    <row r="639" spans="37:38" s="4" customFormat="1">
      <c r="AK639" s="3">
        <v>633</v>
      </c>
      <c r="AL639" s="163">
        <v>1.4895382652974329</v>
      </c>
    </row>
    <row r="640" spans="37:38" s="4" customFormat="1">
      <c r="AK640" s="3">
        <v>634</v>
      </c>
      <c r="AL640" s="163">
        <v>1.4911301312455785</v>
      </c>
    </row>
    <row r="641" spans="37:38" s="4" customFormat="1">
      <c r="AK641" s="3">
        <v>635</v>
      </c>
      <c r="AL641" s="163">
        <v>1.4927204049243143</v>
      </c>
    </row>
    <row r="642" spans="37:38" s="4" customFormat="1">
      <c r="AK642" s="3">
        <v>636</v>
      </c>
      <c r="AL642" s="163">
        <v>1.4943090878897707</v>
      </c>
    </row>
    <row r="643" spans="37:38" s="4" customFormat="1">
      <c r="AK643" s="3">
        <v>637</v>
      </c>
      <c r="AL643" s="163">
        <v>1.4958961816972678</v>
      </c>
    </row>
    <row r="644" spans="37:38" s="4" customFormat="1">
      <c r="AK644" s="3">
        <v>638</v>
      </c>
      <c r="AL644" s="163">
        <v>1.4974816879013122</v>
      </c>
    </row>
    <row r="645" spans="37:38" s="4" customFormat="1">
      <c r="AK645" s="3">
        <v>639</v>
      </c>
      <c r="AL645" s="163">
        <v>1.4990656080556022</v>
      </c>
    </row>
    <row r="646" spans="37:38" s="4" customFormat="1">
      <c r="AK646" s="3">
        <v>640</v>
      </c>
      <c r="AL646" s="163">
        <v>1.5006479437130238</v>
      </c>
    </row>
    <row r="647" spans="37:38" s="4" customFormat="1">
      <c r="AK647" s="3">
        <v>641</v>
      </c>
      <c r="AL647" s="163">
        <v>1.5022286964256524</v>
      </c>
    </row>
    <row r="648" spans="37:38" s="4" customFormat="1">
      <c r="AK648" s="3">
        <v>642</v>
      </c>
      <c r="AL648" s="163">
        <v>1.5038078677447537</v>
      </c>
    </row>
    <row r="649" spans="37:38" s="4" customFormat="1">
      <c r="AK649" s="3">
        <v>643</v>
      </c>
      <c r="AL649" s="163">
        <v>1.5053854592207834</v>
      </c>
    </row>
    <row r="650" spans="37:38" s="4" customFormat="1">
      <c r="AK650" s="3">
        <v>644</v>
      </c>
      <c r="AL650" s="163">
        <v>1.5069614724033851</v>
      </c>
    </row>
    <row r="651" spans="37:38" s="4" customFormat="1">
      <c r="AK651" s="3">
        <v>645</v>
      </c>
      <c r="AL651" s="163">
        <v>1.5085359088413959</v>
      </c>
    </row>
    <row r="652" spans="37:38" s="4" customFormat="1">
      <c r="AK652" s="3">
        <v>646</v>
      </c>
      <c r="AL652" s="163">
        <v>1.5101087700828408</v>
      </c>
    </row>
    <row r="653" spans="37:38" s="4" customFormat="1">
      <c r="AK653" s="3">
        <v>647</v>
      </c>
      <c r="AL653" s="163">
        <v>1.5116800576749359</v>
      </c>
    </row>
    <row r="654" spans="37:38" s="4" customFormat="1">
      <c r="AK654" s="3">
        <v>648</v>
      </c>
      <c r="AL654" s="163">
        <v>1.5132497731640882</v>
      </c>
    </row>
    <row r="655" spans="37:38" s="4" customFormat="1">
      <c r="AK655" s="3">
        <v>649</v>
      </c>
      <c r="AL655" s="163">
        <v>1.5148179180958958</v>
      </c>
    </row>
    <row r="656" spans="37:38" s="4" customFormat="1">
      <c r="AK656" s="3">
        <v>650</v>
      </c>
      <c r="AL656" s="163">
        <v>1.5163844940151474</v>
      </c>
    </row>
    <row r="657" spans="37:38" s="4" customFormat="1">
      <c r="AK657" s="3">
        <v>651</v>
      </c>
      <c r="AL657" s="163">
        <v>1.5179495024658241</v>
      </c>
    </row>
    <row r="658" spans="37:38" s="4" customFormat="1">
      <c r="AK658" s="3">
        <v>652</v>
      </c>
      <c r="AL658" s="163">
        <v>1.5195129449910958</v>
      </c>
    </row>
    <row r="659" spans="37:38" s="4" customFormat="1">
      <c r="AK659" s="3">
        <v>653</v>
      </c>
      <c r="AL659" s="163">
        <v>1.5210748231333273</v>
      </c>
    </row>
    <row r="660" spans="37:38" s="4" customFormat="1">
      <c r="AK660" s="3">
        <v>654</v>
      </c>
      <c r="AL660" s="163">
        <v>1.5226351384340733</v>
      </c>
    </row>
    <row r="661" spans="37:38" s="4" customFormat="1">
      <c r="AK661" s="3">
        <v>655</v>
      </c>
      <c r="AL661" s="163">
        <v>1.5241938924340803</v>
      </c>
    </row>
    <row r="662" spans="37:38" s="4" customFormat="1">
      <c r="AK662" s="3">
        <v>656</v>
      </c>
      <c r="AL662" s="163">
        <v>1.5257510866732884</v>
      </c>
    </row>
    <row r="663" spans="37:38" s="4" customFormat="1">
      <c r="AK663" s="3">
        <v>657</v>
      </c>
      <c r="AL663" s="163">
        <v>1.527306722690829</v>
      </c>
    </row>
    <row r="664" spans="37:38" s="4" customFormat="1">
      <c r="AK664" s="3">
        <v>658</v>
      </c>
      <c r="AL664" s="163">
        <v>1.5288608020250265</v>
      </c>
    </row>
    <row r="665" spans="37:38" s="4" customFormat="1">
      <c r="AK665" s="3">
        <v>659</v>
      </c>
      <c r="AL665" s="163">
        <v>1.5304133262133977</v>
      </c>
    </row>
    <row r="666" spans="37:38" s="4" customFormat="1">
      <c r="AK666" s="3">
        <v>660</v>
      </c>
      <c r="AL666" s="163">
        <v>1.5319642967926526</v>
      </c>
    </row>
    <row r="667" spans="37:38" s="4" customFormat="1">
      <c r="AK667" s="3">
        <v>661</v>
      </c>
      <c r="AL667" s="163">
        <v>1.5335137152986942</v>
      </c>
    </row>
    <row r="668" spans="37:38" s="4" customFormat="1">
      <c r="AK668" s="3">
        <v>662</v>
      </c>
      <c r="AL668" s="163">
        <v>1.5350615832666183</v>
      </c>
    </row>
    <row r="669" spans="37:38" s="4" customFormat="1">
      <c r="AK669" s="3">
        <v>663</v>
      </c>
      <c r="AL669" s="163">
        <v>1.5366079022307153</v>
      </c>
    </row>
    <row r="670" spans="37:38" s="4" customFormat="1">
      <c r="AK670" s="3">
        <v>664</v>
      </c>
      <c r="AL670" s="163">
        <v>1.5381526737244686</v>
      </c>
    </row>
    <row r="671" spans="37:38" s="4" customFormat="1">
      <c r="AK671" s="3">
        <v>665</v>
      </c>
      <c r="AL671" s="163">
        <v>1.5396958992805552</v>
      </c>
    </row>
    <row r="672" spans="37:38" s="4" customFormat="1">
      <c r="AK672" s="3">
        <v>666</v>
      </c>
      <c r="AL672" s="163">
        <v>1.5412375804308462</v>
      </c>
    </row>
    <row r="673" spans="37:38" s="4" customFormat="1">
      <c r="AK673" s="3">
        <v>667</v>
      </c>
      <c r="AL673" s="163">
        <v>1.54277771870641</v>
      </c>
    </row>
    <row r="674" spans="37:38" s="4" customFormat="1">
      <c r="AK674" s="3">
        <v>668</v>
      </c>
      <c r="AL674" s="163">
        <v>1.544316315637499</v>
      </c>
    </row>
    <row r="675" spans="37:38" s="4" customFormat="1">
      <c r="AK675" s="3">
        <v>669</v>
      </c>
      <c r="AL675" s="163">
        <v>1.5458533727535748</v>
      </c>
    </row>
    <row r="676" spans="37:38" s="4" customFormat="1">
      <c r="AK676" s="3">
        <v>670</v>
      </c>
      <c r="AL676" s="163">
        <v>1.5473888915832841</v>
      </c>
    </row>
    <row r="677" spans="37:38" s="4" customFormat="1">
      <c r="AK677" s="3">
        <v>671</v>
      </c>
      <c r="AL677" s="163">
        <v>1.5489228736544713</v>
      </c>
    </row>
    <row r="678" spans="37:38" s="4" customFormat="1">
      <c r="AK678" s="3">
        <v>672</v>
      </c>
      <c r="AL678" s="163">
        <v>1.5504553204941756</v>
      </c>
    </row>
    <row r="679" spans="37:38" s="4" customFormat="1">
      <c r="AK679" s="3">
        <v>673</v>
      </c>
      <c r="AL679" s="163">
        <v>1.5519862336286314</v>
      </c>
    </row>
    <row r="680" spans="37:38" s="4" customFormat="1">
      <c r="AK680" s="3">
        <v>674</v>
      </c>
      <c r="AL680" s="163">
        <v>1.5535156145832694</v>
      </c>
    </row>
    <row r="681" spans="37:38" s="4" customFormat="1">
      <c r="AK681" s="3">
        <v>675</v>
      </c>
      <c r="AL681" s="163">
        <v>1.5550434648827141</v>
      </c>
    </row>
    <row r="682" spans="37:38" s="4" customFormat="1">
      <c r="AK682" s="3">
        <v>676</v>
      </c>
      <c r="AL682" s="163">
        <v>1.5565697860507886</v>
      </c>
    </row>
    <row r="683" spans="37:38" s="4" customFormat="1">
      <c r="AK683" s="3">
        <v>677</v>
      </c>
      <c r="AL683" s="163">
        <v>1.558094579610509</v>
      </c>
    </row>
    <row r="684" spans="37:38" s="4" customFormat="1">
      <c r="AK684" s="3">
        <v>678</v>
      </c>
      <c r="AL684" s="163">
        <v>1.5596178470840902</v>
      </c>
    </row>
    <row r="685" spans="37:38" s="4" customFormat="1">
      <c r="AK685" s="3">
        <v>679</v>
      </c>
      <c r="AL685" s="163">
        <v>1.5611395899929423</v>
      </c>
    </row>
    <row r="686" spans="37:38" s="4" customFormat="1">
      <c r="AK686" s="3">
        <v>680</v>
      </c>
      <c r="AL686" s="163">
        <v>1.5626598098576725</v>
      </c>
    </row>
    <row r="687" spans="37:38" s="4" customFormat="1">
      <c r="AK687" s="3">
        <v>681</v>
      </c>
      <c r="AL687" s="163">
        <v>1.5641785081980832</v>
      </c>
    </row>
    <row r="688" spans="37:38" s="4" customFormat="1">
      <c r="AK688" s="3">
        <v>682</v>
      </c>
      <c r="AL688" s="163">
        <v>1.5656956865331764</v>
      </c>
    </row>
    <row r="689" spans="37:38" s="4" customFormat="1">
      <c r="AK689" s="3">
        <v>683</v>
      </c>
      <c r="AL689" s="163">
        <v>1.5672113463811497</v>
      </c>
    </row>
    <row r="690" spans="37:38" s="4" customFormat="1">
      <c r="AK690" s="3">
        <v>684</v>
      </c>
      <c r="AL690" s="163">
        <v>1.5687254892593974</v>
      </c>
    </row>
    <row r="691" spans="37:38" s="4" customFormat="1">
      <c r="AK691" s="3">
        <v>685</v>
      </c>
      <c r="AL691" s="163">
        <v>1.5702381166845121</v>
      </c>
    </row>
    <row r="692" spans="37:38" s="4" customFormat="1">
      <c r="AK692" s="3">
        <v>686</v>
      </c>
      <c r="AL692" s="163">
        <v>1.5717492301722846</v>
      </c>
    </row>
    <row r="693" spans="37:38" s="4" customFormat="1">
      <c r="AK693" s="3">
        <v>687</v>
      </c>
      <c r="AL693" s="163">
        <v>1.5732588312377025</v>
      </c>
    </row>
    <row r="694" spans="37:38" s="4" customFormat="1">
      <c r="AK694" s="3">
        <v>688</v>
      </c>
      <c r="AL694" s="163">
        <v>1.5747669213949527</v>
      </c>
    </row>
    <row r="695" spans="37:38" s="4" customFormat="1">
      <c r="AK695" s="3">
        <v>689</v>
      </c>
      <c r="AL695" s="163">
        <v>1.5762735021574192</v>
      </c>
    </row>
    <row r="696" spans="37:38" s="4" customFormat="1">
      <c r="AK696" s="3">
        <v>690</v>
      </c>
      <c r="AL696" s="163">
        <v>1.5777785750376851</v>
      </c>
    </row>
    <row r="697" spans="37:38" s="4" customFormat="1">
      <c r="AK697" s="3">
        <v>691</v>
      </c>
      <c r="AL697" s="163">
        <v>1.579282141547532</v>
      </c>
    </row>
    <row r="698" spans="37:38" s="4" customFormat="1">
      <c r="AK698" s="3">
        <v>692</v>
      </c>
      <c r="AL698" s="163">
        <v>1.5807842031979398</v>
      </c>
    </row>
    <row r="699" spans="37:38" s="4" customFormat="1">
      <c r="AK699" s="3">
        <v>693</v>
      </c>
      <c r="AL699" s="163">
        <v>1.582284761499088</v>
      </c>
    </row>
    <row r="700" spans="37:38" s="4" customFormat="1">
      <c r="AK700" s="3">
        <v>694</v>
      </c>
      <c r="AL700" s="163">
        <v>1.5837838179603552</v>
      </c>
    </row>
    <row r="701" spans="37:38" s="4" customFormat="1">
      <c r="AK701" s="3">
        <v>695</v>
      </c>
      <c r="AL701" s="163">
        <v>1.5852813740903187</v>
      </c>
    </row>
    <row r="702" spans="37:38" s="4" customFormat="1">
      <c r="AK702" s="3">
        <v>696</v>
      </c>
      <c r="AL702" s="163">
        <v>1.5867774313967558</v>
      </c>
    </row>
    <row r="703" spans="37:38" s="4" customFormat="1">
      <c r="AK703" s="3">
        <v>697</v>
      </c>
      <c r="AL703" s="163">
        <v>1.5882719913866441</v>
      </c>
    </row>
    <row r="704" spans="37:38" s="4" customFormat="1">
      <c r="AK704" s="3">
        <v>698</v>
      </c>
      <c r="AL704" s="163">
        <v>1.5897650555661602</v>
      </c>
    </row>
    <row r="705" spans="37:38" s="4" customFormat="1">
      <c r="AK705" s="3">
        <v>699</v>
      </c>
      <c r="AL705" s="163">
        <v>1.5912566254406815</v>
      </c>
    </row>
    <row r="706" spans="37:38" s="4" customFormat="1">
      <c r="AK706" s="3">
        <v>700</v>
      </c>
      <c r="AL706" s="163">
        <v>1.5927467025147846</v>
      </c>
    </row>
    <row r="707" spans="37:38" s="4" customFormat="1">
      <c r="AK707" s="3">
        <v>701</v>
      </c>
      <c r="AL707" s="163">
        <v>1.5942352882922475</v>
      </c>
    </row>
    <row r="708" spans="37:38" s="4" customFormat="1">
      <c r="AK708" s="3">
        <v>702</v>
      </c>
      <c r="AL708" s="163">
        <v>1.5957223842760484</v>
      </c>
    </row>
    <row r="709" spans="37:38" s="4" customFormat="1">
      <c r="AK709" s="3">
        <v>703</v>
      </c>
      <c r="AL709" s="163">
        <v>1.5972079919683666</v>
      </c>
    </row>
    <row r="710" spans="37:38" s="4" customFormat="1">
      <c r="AK710" s="3">
        <v>704</v>
      </c>
      <c r="AL710" s="163">
        <v>1.5986921128705827</v>
      </c>
    </row>
    <row r="711" spans="37:38" s="4" customFormat="1">
      <c r="AK711" s="3">
        <v>705</v>
      </c>
      <c r="AL711" s="163">
        <v>1.6001747484832769</v>
      </c>
    </row>
    <row r="712" spans="37:38" s="4" customFormat="1">
      <c r="AK712" s="3">
        <v>706</v>
      </c>
      <c r="AL712" s="163">
        <v>1.6016559003062327</v>
      </c>
    </row>
    <row r="713" spans="37:38" s="4" customFormat="1">
      <c r="AK713" s="3">
        <v>707</v>
      </c>
      <c r="AL713" s="163">
        <v>1.6031355698384344</v>
      </c>
    </row>
    <row r="714" spans="37:38" s="4" customFormat="1">
      <c r="AK714" s="3">
        <v>708</v>
      </c>
      <c r="AL714" s="163">
        <v>1.6046137585780678</v>
      </c>
    </row>
    <row r="715" spans="37:38" s="4" customFormat="1">
      <c r="AK715" s="3">
        <v>709</v>
      </c>
      <c r="AL715" s="163">
        <v>1.6060904680225205</v>
      </c>
    </row>
    <row r="716" spans="37:38" s="4" customFormat="1">
      <c r="AK716" s="3">
        <v>710</v>
      </c>
      <c r="AL716" s="163">
        <v>1.6075656996683825</v>
      </c>
    </row>
    <row r="717" spans="37:38" s="4" customFormat="1">
      <c r="AK717" s="3">
        <v>711</v>
      </c>
      <c r="AL717" s="163">
        <v>1.6090394550114469</v>
      </c>
    </row>
    <row r="718" spans="37:38" s="4" customFormat="1">
      <c r="AK718" s="3">
        <v>712</v>
      </c>
      <c r="AL718" s="163">
        <v>1.6105117355467078</v>
      </c>
    </row>
    <row r="719" spans="37:38" s="4" customFormat="1">
      <c r="AK719" s="3">
        <v>713</v>
      </c>
      <c r="AL719" s="163">
        <v>1.6119825427683623</v>
      </c>
    </row>
    <row r="720" spans="37:38" s="4" customFormat="1">
      <c r="AK720" s="3">
        <v>714</v>
      </c>
      <c r="AL720" s="163">
        <v>1.6134518781698108</v>
      </c>
    </row>
    <row r="721" spans="37:38" s="4" customFormat="1">
      <c r="AK721" s="3">
        <v>715</v>
      </c>
      <c r="AL721" s="163">
        <v>1.6149197432436573</v>
      </c>
    </row>
    <row r="722" spans="37:38" s="4" customFormat="1">
      <c r="AK722" s="3">
        <v>716</v>
      </c>
      <c r="AL722" s="163">
        <v>1.6163861394817074</v>
      </c>
    </row>
    <row r="723" spans="37:38" s="4" customFormat="1">
      <c r="AK723" s="3">
        <v>717</v>
      </c>
      <c r="AL723" s="163">
        <v>1.6178510683749709</v>
      </c>
    </row>
    <row r="724" spans="37:38" s="4" customFormat="1">
      <c r="AK724" s="3">
        <v>718</v>
      </c>
      <c r="AL724" s="163">
        <v>1.6193145314136621</v>
      </c>
    </row>
    <row r="725" spans="37:38" s="4" customFormat="1">
      <c r="AK725" s="3">
        <v>719</v>
      </c>
      <c r="AL725" s="163">
        <v>1.620776530087197</v>
      </c>
    </row>
    <row r="726" spans="37:38" s="4" customFormat="1">
      <c r="AK726" s="3">
        <v>720</v>
      </c>
      <c r="AL726" s="163">
        <v>1.6222370658841976</v>
      </c>
    </row>
    <row r="727" spans="37:38" s="4" customFormat="1">
      <c r="AK727" s="3">
        <v>721</v>
      </c>
      <c r="AL727" s="163">
        <v>1.6236961402924881</v>
      </c>
    </row>
    <row r="728" spans="37:38" s="4" customFormat="1">
      <c r="AK728" s="3">
        <v>722</v>
      </c>
      <c r="AL728" s="163">
        <v>1.6251537547990986</v>
      </c>
    </row>
    <row r="729" spans="37:38" s="4" customFormat="1">
      <c r="AK729" s="3">
        <v>723</v>
      </c>
      <c r="AL729" s="163">
        <v>1.6266099108902632</v>
      </c>
    </row>
    <row r="730" spans="37:38" s="4" customFormat="1">
      <c r="AK730" s="3">
        <v>724</v>
      </c>
      <c r="AL730" s="163">
        <v>1.6280646100514204</v>
      </c>
    </row>
    <row r="731" spans="37:38" s="4" customFormat="1">
      <c r="AK731" s="3">
        <v>725</v>
      </c>
      <c r="AL731" s="163">
        <v>1.6295178537672139</v>
      </c>
    </row>
    <row r="732" spans="37:38" s="4" customFormat="1">
      <c r="AK732" s="3">
        <v>726</v>
      </c>
      <c r="AL732" s="163">
        <v>1.6309696435214927</v>
      </c>
    </row>
    <row r="733" spans="37:38" s="4" customFormat="1">
      <c r="AK733" s="3">
        <v>727</v>
      </c>
      <c r="AL733" s="163">
        <v>1.632419980797309</v>
      </c>
    </row>
    <row r="734" spans="37:38" s="4" customFormat="1">
      <c r="AK734" s="3">
        <v>728</v>
      </c>
      <c r="AL734" s="163">
        <v>1.6338688670769228</v>
      </c>
    </row>
    <row r="735" spans="37:38" s="4" customFormat="1">
      <c r="AK735" s="3">
        <v>729</v>
      </c>
      <c r="AL735" s="163">
        <v>1.6353163038417988</v>
      </c>
    </row>
    <row r="736" spans="37:38" s="4" customFormat="1">
      <c r="AK736" s="3">
        <v>730</v>
      </c>
      <c r="AL736" s="163">
        <v>1.636762292572608</v>
      </c>
    </row>
    <row r="737" spans="37:38" s="4" customFormat="1">
      <c r="AK737" s="3">
        <v>731</v>
      </c>
      <c r="AL737" s="163">
        <v>1.6382068347492262</v>
      </c>
    </row>
    <row r="738" spans="37:38" s="4" customFormat="1">
      <c r="AK738" s="3">
        <v>732</v>
      </c>
      <c r="AL738" s="163">
        <v>1.6396499318507367</v>
      </c>
    </row>
    <row r="739" spans="37:38" s="4" customFormat="1">
      <c r="AK739" s="3">
        <v>733</v>
      </c>
      <c r="AL739" s="163">
        <v>1.6410915853554275</v>
      </c>
    </row>
    <row r="740" spans="37:38" s="4" customFormat="1">
      <c r="AK740" s="3">
        <v>734</v>
      </c>
      <c r="AL740" s="163">
        <v>1.6425317967407949</v>
      </c>
    </row>
    <row r="741" spans="37:38" s="4" customFormat="1">
      <c r="AK741" s="3">
        <v>735</v>
      </c>
      <c r="AL741" s="163">
        <v>1.6439705674835403</v>
      </c>
    </row>
    <row r="742" spans="37:38" s="4" customFormat="1">
      <c r="AK742" s="3">
        <v>736</v>
      </c>
      <c r="AL742" s="163">
        <v>1.6454078990595733</v>
      </c>
    </row>
    <row r="743" spans="37:38" s="4" customFormat="1">
      <c r="AK743" s="3">
        <v>737</v>
      </c>
      <c r="AL743" s="163">
        <v>1.6468437929440098</v>
      </c>
    </row>
    <row r="744" spans="37:38" s="4" customFormat="1">
      <c r="AK744" s="3">
        <v>738</v>
      </c>
      <c r="AL744" s="163">
        <v>1.6482782506111728</v>
      </c>
    </row>
    <row r="745" spans="37:38" s="4" customFormat="1">
      <c r="AK745" s="3">
        <v>739</v>
      </c>
      <c r="AL745" s="163">
        <v>1.6497112735345933</v>
      </c>
    </row>
    <row r="746" spans="37:38" s="4" customFormat="1">
      <c r="AK746" s="3">
        <v>740</v>
      </c>
      <c r="AL746" s="163">
        <v>1.6511428631870095</v>
      </c>
    </row>
    <row r="747" spans="37:38" s="4" customFormat="1">
      <c r="AK747" s="3">
        <v>741</v>
      </c>
      <c r="AL747" s="163">
        <v>1.6525730210403675</v>
      </c>
    </row>
    <row r="748" spans="37:38" s="4" customFormat="1">
      <c r="AK748" s="3">
        <v>742</v>
      </c>
      <c r="AL748" s="163">
        <v>1.6540017485658218</v>
      </c>
    </row>
    <row r="749" spans="37:38" s="4" customFormat="1">
      <c r="AK749" s="3">
        <v>743</v>
      </c>
      <c r="AL749" s="163">
        <v>1.6554290472337334</v>
      </c>
    </row>
    <row r="750" spans="37:38" s="4" customFormat="1">
      <c r="AK750" s="3">
        <v>744</v>
      </c>
      <c r="AL750" s="163">
        <v>1.6568549185136745</v>
      </c>
    </row>
    <row r="751" spans="37:38" s="4" customFormat="1">
      <c r="AK751" s="3">
        <v>745</v>
      </c>
      <c r="AL751" s="163">
        <v>1.6582793638744231</v>
      </c>
    </row>
    <row r="752" spans="37:38" s="4" customFormat="1">
      <c r="AK752" s="3">
        <v>746</v>
      </c>
      <c r="AL752" s="163">
        <v>1.6597023847839674</v>
      </c>
    </row>
    <row r="753" spans="37:38" s="4" customFormat="1">
      <c r="AK753" s="3">
        <v>747</v>
      </c>
      <c r="AL753" s="163">
        <v>1.6611239827095037</v>
      </c>
    </row>
    <row r="754" spans="37:38" s="4" customFormat="1">
      <c r="AK754" s="3">
        <v>748</v>
      </c>
      <c r="AL754" s="163">
        <v>1.6625441591174384</v>
      </c>
    </row>
    <row r="755" spans="37:38" s="4" customFormat="1">
      <c r="AK755" s="3">
        <v>749</v>
      </c>
      <c r="AL755" s="163">
        <v>1.6639629154733859</v>
      </c>
    </row>
    <row r="756" spans="37:38" s="4" customFormat="1">
      <c r="AK756" s="3">
        <v>750</v>
      </c>
      <c r="AL756" s="163">
        <v>1.6653802532421713</v>
      </c>
    </row>
    <row r="757" spans="37:38" s="4" customFormat="1">
      <c r="AK757" s="3">
        <v>751</v>
      </c>
      <c r="AL757" s="163">
        <v>1.6667961738878281</v>
      </c>
    </row>
    <row r="758" spans="37:38" s="4" customFormat="1">
      <c r="AK758" s="3">
        <v>752</v>
      </c>
      <c r="AL758" s="163">
        <v>1.6682106788736006</v>
      </c>
    </row>
    <row r="759" spans="37:38" s="4" customFormat="1">
      <c r="AK759" s="3">
        <v>753</v>
      </c>
      <c r="AL759" s="163">
        <v>1.6696237696619425</v>
      </c>
    </row>
    <row r="760" spans="37:38" s="4" customFormat="1">
      <c r="AK760" s="3">
        <v>754</v>
      </c>
      <c r="AL760" s="163">
        <v>1.671035447714518</v>
      </c>
    </row>
    <row r="761" spans="37:38" s="4" customFormat="1">
      <c r="AK761" s="3">
        <v>755</v>
      </c>
      <c r="AL761" s="163">
        <v>1.6724457144922011</v>
      </c>
    </row>
    <row r="762" spans="37:38" s="4" customFormat="1">
      <c r="AK762" s="3">
        <v>756</v>
      </c>
      <c r="AL762" s="163">
        <v>1.673854571455077</v>
      </c>
    </row>
    <row r="763" spans="37:38" s="4" customFormat="1">
      <c r="AK763" s="3">
        <v>757</v>
      </c>
      <c r="AL763" s="163">
        <v>1.675262020062442</v>
      </c>
    </row>
    <row r="764" spans="37:38" s="4" customFormat="1">
      <c r="AK764" s="3">
        <v>758</v>
      </c>
      <c r="AL764" s="163">
        <v>1.6766680617728023</v>
      </c>
    </row>
    <row r="765" spans="37:38" s="4" customFormat="1">
      <c r="AK765" s="3">
        <v>759</v>
      </c>
      <c r="AL765" s="163">
        <v>1.6780726980438752</v>
      </c>
    </row>
    <row r="766" spans="37:38" s="4" customFormat="1">
      <c r="AK766" s="3">
        <v>760</v>
      </c>
      <c r="AL766" s="163">
        <v>1.6794759303325899</v>
      </c>
    </row>
    <row r="767" spans="37:38" s="4" customFormat="1">
      <c r="AK767" s="3">
        <v>761</v>
      </c>
      <c r="AL767" s="163">
        <v>1.6808777600950873</v>
      </c>
    </row>
    <row r="768" spans="37:38" s="4" customFormat="1">
      <c r="AK768" s="3">
        <v>762</v>
      </c>
      <c r="AL768" s="163">
        <v>1.6822781887867184</v>
      </c>
    </row>
    <row r="769" spans="37:38" s="4" customFormat="1">
      <c r="AK769" s="3">
        <v>763</v>
      </c>
      <c r="AL769" s="163">
        <v>1.6836772178620485</v>
      </c>
    </row>
    <row r="770" spans="37:38" s="4" customFormat="1">
      <c r="AK770" s="3">
        <v>764</v>
      </c>
      <c r="AL770" s="163">
        <v>1.6850748487748526</v>
      </c>
    </row>
    <row r="771" spans="37:38" s="4" customFormat="1">
      <c r="AK771" s="3">
        <v>765</v>
      </c>
      <c r="AL771" s="163">
        <v>1.6864710829781191</v>
      </c>
    </row>
    <row r="772" spans="37:38" s="4" customFormat="1">
      <c r="AK772" s="3">
        <v>766</v>
      </c>
      <c r="AL772" s="163">
        <v>1.6878659219240482</v>
      </c>
    </row>
    <row r="773" spans="37:38" s="4" customFormat="1">
      <c r="AK773" s="3">
        <v>767</v>
      </c>
      <c r="AL773" s="163">
        <v>1.6892593670640534</v>
      </c>
    </row>
    <row r="774" spans="37:38" s="4" customFormat="1">
      <c r="AK774" s="3">
        <v>768</v>
      </c>
      <c r="AL774" s="163">
        <v>1.6906514198487599</v>
      </c>
    </row>
    <row r="775" spans="37:38" s="4" customFormat="1">
      <c r="AK775" s="3">
        <v>769</v>
      </c>
      <c r="AL775" s="163">
        <v>1.6920420817280077</v>
      </c>
    </row>
    <row r="776" spans="37:38" s="4" customFormat="1">
      <c r="AK776" s="3">
        <v>770</v>
      </c>
      <c r="AL776" s="163">
        <v>1.6934313541508474</v>
      </c>
    </row>
    <row r="777" spans="37:38" s="4" customFormat="1">
      <c r="AK777" s="3">
        <v>771</v>
      </c>
      <c r="AL777" s="163">
        <v>1.6948192385655441</v>
      </c>
    </row>
    <row r="778" spans="37:38" s="4" customFormat="1">
      <c r="AK778" s="3">
        <v>772</v>
      </c>
      <c r="AL778" s="163">
        <v>1.6962057364195768</v>
      </c>
    </row>
    <row r="779" spans="37:38" s="4" customFormat="1">
      <c r="AK779" s="3">
        <v>773</v>
      </c>
      <c r="AL779" s="163">
        <v>1.6975908491596374</v>
      </c>
    </row>
    <row r="780" spans="37:38" s="4" customFormat="1">
      <c r="AK780" s="3">
        <v>774</v>
      </c>
      <c r="AL780" s="163">
        <v>1.6989745782316332</v>
      </c>
    </row>
    <row r="781" spans="37:38" s="4" customFormat="1">
      <c r="AK781" s="3">
        <v>775</v>
      </c>
      <c r="AL781" s="163">
        <v>1.7003569250806836</v>
      </c>
    </row>
    <row r="782" spans="37:38" s="4" customFormat="1">
      <c r="AK782" s="3">
        <v>776</v>
      </c>
      <c r="AL782" s="163">
        <v>1.7017378911511221</v>
      </c>
    </row>
    <row r="783" spans="37:38" s="4" customFormat="1">
      <c r="AK783" s="3">
        <v>777</v>
      </c>
      <c r="AL783" s="163">
        <v>1.7031174778864986</v>
      </c>
    </row>
    <row r="784" spans="37:38" s="4" customFormat="1">
      <c r="AK784" s="3">
        <v>778</v>
      </c>
      <c r="AL784" s="163">
        <v>1.7044956867295766</v>
      </c>
    </row>
    <row r="785" spans="37:38" s="4" customFormat="1">
      <c r="AK785" s="3">
        <v>779</v>
      </c>
      <c r="AL785" s="163">
        <v>1.7058725191223334</v>
      </c>
    </row>
    <row r="786" spans="37:38" s="4" customFormat="1">
      <c r="AK786" s="3">
        <v>780</v>
      </c>
      <c r="AL786" s="163">
        <v>1.7072479765059625</v>
      </c>
    </row>
    <row r="787" spans="37:38" s="4" customFormat="1">
      <c r="AK787" s="3">
        <v>781</v>
      </c>
      <c r="AL787" s="163">
        <v>1.7086220603208715</v>
      </c>
    </row>
    <row r="788" spans="37:38" s="4" customFormat="1">
      <c r="AK788" s="3">
        <v>782</v>
      </c>
      <c r="AL788" s="163">
        <v>1.7099947720066848</v>
      </c>
    </row>
    <row r="789" spans="37:38" s="4" customFormat="1">
      <c r="AK789" s="3">
        <v>783</v>
      </c>
      <c r="AL789" s="163">
        <v>1.7113661130022413</v>
      </c>
    </row>
    <row r="790" spans="37:38" s="4" customFormat="1">
      <c r="AK790" s="3">
        <v>784</v>
      </c>
      <c r="AL790" s="163">
        <v>1.712736084745595</v>
      </c>
    </row>
    <row r="791" spans="37:38" s="4" customFormat="1">
      <c r="AK791" s="3">
        <v>785</v>
      </c>
      <c r="AL791" s="163">
        <v>1.714104688674017</v>
      </c>
    </row>
    <row r="792" spans="37:38" s="4" customFormat="1">
      <c r="AK792" s="3">
        <v>786</v>
      </c>
      <c r="AL792" s="163">
        <v>1.7154719262239935</v>
      </c>
    </row>
    <row r="793" spans="37:38" s="4" customFormat="1">
      <c r="AK793" s="3">
        <v>787</v>
      </c>
      <c r="AL793" s="163">
        <v>1.7168377988312282</v>
      </c>
    </row>
    <row r="794" spans="37:38" s="4" customFormat="1">
      <c r="AK794" s="3">
        <v>788</v>
      </c>
      <c r="AL794" s="163">
        <v>1.718202307930639</v>
      </c>
    </row>
    <row r="795" spans="37:38" s="4" customFormat="1">
      <c r="AK795" s="3">
        <v>789</v>
      </c>
      <c r="AL795" s="163">
        <v>1.7195654549563628</v>
      </c>
    </row>
    <row r="796" spans="37:38" s="4" customFormat="1">
      <c r="AK796" s="3">
        <v>790</v>
      </c>
      <c r="AL796" s="163">
        <v>1.7209272413417518</v>
      </c>
    </row>
    <row r="797" spans="37:38" s="4" customFormat="1">
      <c r="AK797" s="3">
        <v>791</v>
      </c>
      <c r="AL797" s="163">
        <v>1.7222876685193758</v>
      </c>
    </row>
    <row r="798" spans="37:38" s="4" customFormat="1">
      <c r="AK798" s="3">
        <v>792</v>
      </c>
      <c r="AL798" s="163">
        <v>1.7236467379210216</v>
      </c>
    </row>
    <row r="799" spans="37:38" s="4" customFormat="1">
      <c r="AK799" s="3">
        <v>793</v>
      </c>
      <c r="AL799" s="163">
        <v>1.7250044509776932</v>
      </c>
    </row>
    <row r="800" spans="37:38" s="4" customFormat="1">
      <c r="AK800" s="3">
        <v>794</v>
      </c>
      <c r="AL800" s="163">
        <v>1.7263608091196119</v>
      </c>
    </row>
    <row r="801" spans="37:38" s="4" customFormat="1">
      <c r="AK801" s="3">
        <v>795</v>
      </c>
      <c r="AL801" s="163">
        <v>1.7277158137762174</v>
      </c>
    </row>
    <row r="802" spans="37:38" s="4" customFormat="1">
      <c r="AK802" s="3">
        <v>796</v>
      </c>
      <c r="AL802" s="163">
        <v>1.7290694663761668</v>
      </c>
    </row>
    <row r="803" spans="37:38" s="4" customFormat="1">
      <c r="AK803" s="3">
        <v>797</v>
      </c>
      <c r="AL803" s="163">
        <v>1.7304217683473353</v>
      </c>
    </row>
    <row r="804" spans="37:38" s="4" customFormat="1">
      <c r="AK804" s="3">
        <v>798</v>
      </c>
      <c r="AL804" s="163">
        <v>1.7317727211168166</v>
      </c>
    </row>
    <row r="805" spans="37:38" s="4" customFormat="1">
      <c r="AK805" s="3">
        <v>799</v>
      </c>
      <c r="AL805" s="163">
        <v>1.7331223261109223</v>
      </c>
    </row>
    <row r="806" spans="37:38" s="4" customFormat="1">
      <c r="AK806" s="3">
        <v>800</v>
      </c>
      <c r="AL806" s="163">
        <v>1.7344705847551829</v>
      </c>
    </row>
    <row r="807" spans="37:38" s="4" customFormat="1">
      <c r="AK807" s="3">
        <v>801</v>
      </c>
      <c r="AL807" s="163">
        <v>1.7358174984743484</v>
      </c>
    </row>
    <row r="808" spans="37:38" s="4" customFormat="1">
      <c r="AK808" s="3">
        <v>802</v>
      </c>
      <c r="AL808" s="163">
        <v>1.7371630686923867</v>
      </c>
    </row>
    <row r="809" spans="37:38" s="4" customFormat="1">
      <c r="AK809" s="3">
        <v>803</v>
      </c>
      <c r="AL809" s="163">
        <v>1.7385072968324853</v>
      </c>
    </row>
    <row r="810" spans="37:38" s="4" customFormat="1">
      <c r="AK810" s="3">
        <v>804</v>
      </c>
      <c r="AL810" s="163">
        <v>1.7398501843170511</v>
      </c>
    </row>
    <row r="811" spans="37:38" s="4" customFormat="1">
      <c r="AK811" s="3">
        <v>805</v>
      </c>
      <c r="AL811" s="163">
        <v>1.7411917325677109</v>
      </c>
    </row>
    <row r="812" spans="37:38" s="4" customFormat="1">
      <c r="AK812" s="3">
        <v>806</v>
      </c>
      <c r="AL812" s="163">
        <v>1.7425319430053101</v>
      </c>
    </row>
    <row r="813" spans="37:38" s="4" customFormat="1">
      <c r="AK813" s="3">
        <v>807</v>
      </c>
      <c r="AL813" s="163">
        <v>1.7438708170499158</v>
      </c>
    </row>
    <row r="814" spans="37:38" s="4" customFormat="1">
      <c r="AK814" s="3">
        <v>808</v>
      </c>
      <c r="AL814" s="163">
        <v>1.7452083561208129</v>
      </c>
    </row>
    <row r="815" spans="37:38" s="4" customFormat="1">
      <c r="AK815" s="3">
        <v>809</v>
      </c>
      <c r="AL815" s="163">
        <v>1.7465445616365085</v>
      </c>
    </row>
    <row r="816" spans="37:38" s="4" customFormat="1">
      <c r="AK816" s="3">
        <v>810</v>
      </c>
      <c r="AL816" s="163">
        <v>1.7478794350147293</v>
      </c>
    </row>
    <row r="817" spans="37:38" s="4" customFormat="1">
      <c r="AK817" s="3">
        <v>811</v>
      </c>
      <c r="AL817" s="163">
        <v>1.7492129776724232</v>
      </c>
    </row>
    <row r="818" spans="37:38" s="4" customFormat="1">
      <c r="AK818" s="3">
        <v>812</v>
      </c>
      <c r="AL818" s="163">
        <v>1.7505451910257579</v>
      </c>
    </row>
    <row r="819" spans="37:38" s="4" customFormat="1">
      <c r="AK819" s="3">
        <v>813</v>
      </c>
      <c r="AL819" s="163">
        <v>1.7518760764901231</v>
      </c>
    </row>
    <row r="820" spans="37:38" s="4" customFormat="1">
      <c r="AK820" s="3">
        <v>814</v>
      </c>
      <c r="AL820" s="163">
        <v>1.7532056354801293</v>
      </c>
    </row>
    <row r="821" spans="37:38" s="4" customFormat="1">
      <c r="AK821" s="3">
        <v>815</v>
      </c>
      <c r="AL821" s="163">
        <v>1.754533869409608</v>
      </c>
    </row>
    <row r="822" spans="37:38" s="4" customFormat="1">
      <c r="AK822" s="3">
        <v>816</v>
      </c>
      <c r="AL822" s="163">
        <v>1.7558607796916128</v>
      </c>
    </row>
    <row r="823" spans="37:38" s="4" customFormat="1">
      <c r="AK823" s="3">
        <v>817</v>
      </c>
      <c r="AL823" s="163">
        <v>1.757186367738419</v>
      </c>
    </row>
    <row r="824" spans="37:38" s="4" customFormat="1">
      <c r="AK824" s="3">
        <v>818</v>
      </c>
      <c r="AL824" s="163">
        <v>1.7585106349615236</v>
      </c>
    </row>
    <row r="825" spans="37:38" s="4" customFormat="1">
      <c r="AK825" s="3">
        <v>819</v>
      </c>
      <c r="AL825" s="163">
        <v>1.759833582771646</v>
      </c>
    </row>
    <row r="826" spans="37:38" s="4" customFormat="1">
      <c r="AK826" s="3">
        <v>820</v>
      </c>
      <c r="AL826" s="163">
        <v>1.7611552125787275</v>
      </c>
    </row>
    <row r="827" spans="37:38" s="4" customFormat="1">
      <c r="AK827" s="3">
        <v>821</v>
      </c>
      <c r="AL827" s="163">
        <v>1.762475525791932</v>
      </c>
    </row>
    <row r="828" spans="37:38" s="4" customFormat="1">
      <c r="AK828" s="3">
        <v>822</v>
      </c>
      <c r="AL828" s="163">
        <v>1.7637945238196466</v>
      </c>
    </row>
    <row r="829" spans="37:38" s="4" customFormat="1">
      <c r="AK829" s="3">
        <v>823</v>
      </c>
      <c r="AL829" s="163">
        <v>1.7651122080694803</v>
      </c>
    </row>
    <row r="830" spans="37:38" s="4" customFormat="1">
      <c r="AK830" s="3">
        <v>824</v>
      </c>
      <c r="AL830" s="163">
        <v>1.7664285799482655</v>
      </c>
    </row>
    <row r="831" spans="37:38" s="4" customFormat="1">
      <c r="AK831" s="3">
        <v>825</v>
      </c>
      <c r="AL831" s="163">
        <v>1.7677436408620586</v>
      </c>
    </row>
    <row r="832" spans="37:38" s="4" customFormat="1">
      <c r="AK832" s="3">
        <v>826</v>
      </c>
      <c r="AL832" s="163">
        <v>1.7690573922161379</v>
      </c>
    </row>
    <row r="833" spans="37:38" s="4" customFormat="1">
      <c r="AK833" s="3">
        <v>827</v>
      </c>
      <c r="AL833" s="163">
        <v>1.7703698354150061</v>
      </c>
    </row>
    <row r="834" spans="37:38" s="4" customFormat="1">
      <c r="AK834" s="3">
        <v>828</v>
      </c>
      <c r="AL834" s="163">
        <v>1.77168097186239</v>
      </c>
    </row>
    <row r="835" spans="37:38" s="4" customFormat="1">
      <c r="AK835" s="3">
        <v>829</v>
      </c>
      <c r="AL835" s="163">
        <v>1.7729908029612405</v>
      </c>
    </row>
    <row r="836" spans="37:38" s="4" customFormat="1">
      <c r="AK836" s="3">
        <v>830</v>
      </c>
      <c r="AL836" s="163">
        <v>1.7742993301137309</v>
      </c>
    </row>
    <row r="837" spans="37:38" s="4" customFormat="1">
      <c r="AK837" s="3">
        <v>831</v>
      </c>
      <c r="AL837" s="163">
        <v>1.7756065547212605</v>
      </c>
    </row>
    <row r="838" spans="37:38" s="4" customFormat="1">
      <c r="AK838" s="3">
        <v>832</v>
      </c>
      <c r="AL838" s="163">
        <v>1.776912478184453</v>
      </c>
    </row>
    <row r="839" spans="37:38" s="4" customFormat="1">
      <c r="AK839" s="3">
        <v>833</v>
      </c>
      <c r="AL839" s="163">
        <v>1.7782171019031559</v>
      </c>
    </row>
    <row r="840" spans="37:38" s="4" customFormat="1">
      <c r="AK840" s="3">
        <v>834</v>
      </c>
      <c r="AL840" s="163">
        <v>1.779520427276442</v>
      </c>
    </row>
    <row r="841" spans="37:38" s="4" customFormat="1">
      <c r="AK841" s="3">
        <v>835</v>
      </c>
      <c r="AL841" s="163">
        <v>1.7808224557026093</v>
      </c>
    </row>
    <row r="842" spans="37:38" s="4" customFormat="1">
      <c r="AK842" s="3">
        <v>836</v>
      </c>
      <c r="AL842" s="163">
        <v>1.7821231885791813</v>
      </c>
    </row>
    <row r="843" spans="37:38" s="4" customFormat="1">
      <c r="AK843" s="3">
        <v>837</v>
      </c>
      <c r="AL843" s="163">
        <v>1.7834226273029059</v>
      </c>
    </row>
    <row r="844" spans="37:38" s="4" customFormat="1">
      <c r="AK844" s="3">
        <v>838</v>
      </c>
      <c r="AL844" s="163">
        <v>1.7847207732697576</v>
      </c>
    </row>
    <row r="845" spans="37:38" s="4" customFormat="1">
      <c r="AK845" s="3">
        <v>839</v>
      </c>
      <c r="AL845" s="163">
        <v>1.786017627874936</v>
      </c>
    </row>
    <row r="846" spans="37:38" s="4" customFormat="1">
      <c r="AK846" s="3">
        <v>840</v>
      </c>
      <c r="AL846" s="163">
        <v>1.7873131925128674</v>
      </c>
    </row>
    <row r="847" spans="37:38" s="4" customFormat="1">
      <c r="AK847" s="3">
        <v>841</v>
      </c>
      <c r="AL847" s="163">
        <v>1.7886074685772033</v>
      </c>
    </row>
    <row r="848" spans="37:38" s="4" customFormat="1">
      <c r="AK848" s="3">
        <v>842</v>
      </c>
      <c r="AL848" s="163">
        <v>1.7899004574608224</v>
      </c>
    </row>
    <row r="849" spans="37:38" s="4" customFormat="1">
      <c r="AK849" s="3">
        <v>843</v>
      </c>
      <c r="AL849" s="163">
        <v>1.7911921605558292</v>
      </c>
    </row>
    <row r="850" spans="37:38" s="4" customFormat="1">
      <c r="AK850" s="3">
        <v>844</v>
      </c>
      <c r="AL850" s="163">
        <v>1.7924825792535553</v>
      </c>
    </row>
    <row r="851" spans="37:38" s="4" customFormat="1">
      <c r="AK851" s="3">
        <v>845</v>
      </c>
      <c r="AL851" s="163">
        <v>1.7937717149445593</v>
      </c>
    </row>
    <row r="852" spans="37:38" s="4" customFormat="1">
      <c r="AK852" s="3">
        <v>846</v>
      </c>
      <c r="AL852" s="163">
        <v>1.7950595690186264</v>
      </c>
    </row>
    <row r="853" spans="37:38" s="4" customFormat="1">
      <c r="AK853" s="3">
        <v>847</v>
      </c>
      <c r="AL853" s="163">
        <v>1.7963461428647696</v>
      </c>
    </row>
    <row r="854" spans="37:38" s="4" customFormat="1">
      <c r="AK854" s="3">
        <v>848</v>
      </c>
      <c r="AL854" s="163">
        <v>1.797631437871229</v>
      </c>
    </row>
    <row r="855" spans="37:38" s="4" customFormat="1">
      <c r="AK855" s="3">
        <v>849</v>
      </c>
      <c r="AL855" s="163">
        <v>1.7989154554254723</v>
      </c>
    </row>
    <row r="856" spans="37:38" s="4" customFormat="1">
      <c r="AK856" s="3">
        <v>850</v>
      </c>
      <c r="AL856" s="163">
        <v>1.8001981969141949</v>
      </c>
    </row>
    <row r="857" spans="37:38" s="4" customFormat="1">
      <c r="AK857" s="3">
        <v>851</v>
      </c>
      <c r="AL857" s="163">
        <v>1.8014796637233204</v>
      </c>
    </row>
    <row r="858" spans="37:38" s="4" customFormat="1">
      <c r="AK858" s="3">
        <v>852</v>
      </c>
      <c r="AL858" s="163">
        <v>1.8027598572380008</v>
      </c>
    </row>
    <row r="859" spans="37:38" s="4" customFormat="1">
      <c r="AK859" s="3">
        <v>853</v>
      </c>
      <c r="AL859" s="163">
        <v>1.804038778842616</v>
      </c>
    </row>
    <row r="860" spans="37:38" s="4" customFormat="1">
      <c r="AK860" s="3">
        <v>854</v>
      </c>
      <c r="AL860" s="163">
        <v>1.8053164299207745</v>
      </c>
    </row>
    <row r="861" spans="37:38" s="4" customFormat="1">
      <c r="AK861" s="3">
        <v>855</v>
      </c>
      <c r="AL861" s="163">
        <v>1.8065928118553138</v>
      </c>
    </row>
    <row r="862" spans="37:38" s="4" customFormat="1">
      <c r="AK862" s="3">
        <v>856</v>
      </c>
      <c r="AL862" s="163">
        <v>1.8078679260282997</v>
      </c>
    </row>
    <row r="863" spans="37:38" s="4" customFormat="1">
      <c r="AK863" s="3">
        <v>857</v>
      </c>
      <c r="AL863" s="163">
        <v>1.8091417738210274</v>
      </c>
    </row>
    <row r="864" spans="37:38" s="4" customFormat="1">
      <c r="AK864" s="3">
        <v>858</v>
      </c>
      <c r="AL864" s="163">
        <v>1.8104143566140221</v>
      </c>
    </row>
    <row r="865" spans="37:38" s="4" customFormat="1">
      <c r="AK865" s="3">
        <v>859</v>
      </c>
      <c r="AL865" s="163">
        <v>1.811685675787037</v>
      </c>
    </row>
    <row r="866" spans="37:38" s="4" customFormat="1">
      <c r="AK866" s="3">
        <v>860</v>
      </c>
      <c r="AL866" s="163">
        <v>1.8129557327190564</v>
      </c>
    </row>
    <row r="867" spans="37:38" s="4" customFormat="1">
      <c r="AK867" s="3">
        <v>861</v>
      </c>
      <c r="AL867" s="163">
        <v>1.8142245287882932</v>
      </c>
    </row>
    <row r="868" spans="37:38" s="4" customFormat="1">
      <c r="AK868" s="3">
        <v>862</v>
      </c>
      <c r="AL868" s="163">
        <v>1.8154920653721915</v>
      </c>
    </row>
    <row r="869" spans="37:38" s="4" customFormat="1">
      <c r="AK869" s="3">
        <v>863</v>
      </c>
      <c r="AL869" s="163">
        <v>1.8167583438474244</v>
      </c>
    </row>
    <row r="870" spans="37:38" s="4" customFormat="1">
      <c r="AK870" s="3">
        <v>864</v>
      </c>
      <c r="AL870" s="163">
        <v>1.8180233655898956</v>
      </c>
    </row>
    <row r="871" spans="37:38" s="4" customFormat="1">
      <c r="AK871" s="3">
        <v>865</v>
      </c>
      <c r="AL871" s="163">
        <v>1.8192871319747406</v>
      </c>
    </row>
    <row r="872" spans="37:38" s="4" customFormat="1">
      <c r="AK872" s="3">
        <v>866</v>
      </c>
      <c r="AL872" s="163">
        <v>1.820549644376324</v>
      </c>
    </row>
    <row r="873" spans="37:38" s="4" customFormat="1">
      <c r="AK873" s="3">
        <v>867</v>
      </c>
      <c r="AL873" s="163">
        <v>1.821810904168242</v>
      </c>
    </row>
    <row r="874" spans="37:38" s="4" customFormat="1">
      <c r="AK874" s="3">
        <v>868</v>
      </c>
      <c r="AL874" s="163">
        <v>1.823070912723322</v>
      </c>
    </row>
    <row r="875" spans="37:38" s="4" customFormat="1">
      <c r="AK875" s="3">
        <v>869</v>
      </c>
      <c r="AL875" s="163">
        <v>1.8243296714136228</v>
      </c>
    </row>
    <row r="876" spans="37:38" s="4" customFormat="1">
      <c r="AK876" s="3">
        <v>870</v>
      </c>
      <c r="AL876" s="163">
        <v>1.8255871816104343</v>
      </c>
    </row>
    <row r="877" spans="37:38" s="4" customFormat="1">
      <c r="AK877" s="3">
        <v>871</v>
      </c>
      <c r="AL877" s="163">
        <v>1.8268434446842774</v>
      </c>
    </row>
    <row r="878" spans="37:38" s="4" customFormat="1">
      <c r="AK878" s="3">
        <v>872</v>
      </c>
      <c r="AL878" s="163">
        <v>1.8280984620049072</v>
      </c>
    </row>
    <row r="879" spans="37:38" s="4" customFormat="1">
      <c r="AK879" s="3">
        <v>873</v>
      </c>
      <c r="AL879" s="163">
        <v>1.8293522349413078</v>
      </c>
    </row>
    <row r="880" spans="37:38" s="4" customFormat="1">
      <c r="AK880" s="3">
        <v>874</v>
      </c>
      <c r="AL880" s="163">
        <v>1.8306047648616981</v>
      </c>
    </row>
    <row r="881" spans="37:38" s="4" customFormat="1">
      <c r="AK881" s="3">
        <v>875</v>
      </c>
      <c r="AL881" s="163">
        <v>1.8318560531335273</v>
      </c>
    </row>
    <row r="882" spans="37:38" s="4" customFormat="1">
      <c r="AK882" s="3">
        <v>876</v>
      </c>
      <c r="AL882" s="163">
        <v>1.8331061011234786</v>
      </c>
    </row>
    <row r="883" spans="37:38" s="4" customFormat="1">
      <c r="AK883" s="3">
        <v>877</v>
      </c>
      <c r="AL883" s="163">
        <v>1.834354910197467</v>
      </c>
    </row>
    <row r="884" spans="37:38" s="4" customFormat="1">
      <c r="AK884" s="3">
        <v>878</v>
      </c>
      <c r="AL884" s="163">
        <v>1.835602481720642</v>
      </c>
    </row>
    <row r="885" spans="37:38" s="4" customFormat="1">
      <c r="AK885" s="3">
        <v>879</v>
      </c>
      <c r="AL885" s="163">
        <v>1.836848817057384</v>
      </c>
    </row>
    <row r="886" spans="37:38" s="4" customFormat="1">
      <c r="AK886" s="3">
        <v>880</v>
      </c>
      <c r="AL886" s="163">
        <v>1.8380939175713082</v>
      </c>
    </row>
    <row r="887" spans="37:38" s="4" customFormat="1">
      <c r="AK887" s="3">
        <v>881</v>
      </c>
      <c r="AL887" s="163">
        <v>1.839337784625263</v>
      </c>
    </row>
    <row r="888" spans="37:38" s="4" customFormat="1">
      <c r="AK888" s="3">
        <v>882</v>
      </c>
      <c r="AL888" s="163">
        <v>1.8405804195813302</v>
      </c>
    </row>
    <row r="889" spans="37:38" s="4" customFormat="1">
      <c r="AK889" s="3">
        <v>883</v>
      </c>
      <c r="AL889" s="163">
        <v>1.8418218238008257</v>
      </c>
    </row>
    <row r="890" spans="37:38" s="4" customFormat="1">
      <c r="AK890" s="3">
        <v>884</v>
      </c>
      <c r="AL890" s="163">
        <v>1.8430619986442995</v>
      </c>
    </row>
    <row r="891" spans="37:38" s="4" customFormat="1">
      <c r="AK891" s="3">
        <v>885</v>
      </c>
      <c r="AL891" s="163">
        <v>1.8443009454715353</v>
      </c>
    </row>
    <row r="892" spans="37:38" s="4" customFormat="1">
      <c r="AK892" s="3">
        <v>886</v>
      </c>
      <c r="AL892" s="163">
        <v>1.845538665641552</v>
      </c>
    </row>
    <row r="893" spans="37:38" s="4" customFormat="1">
      <c r="AK893" s="3">
        <v>887</v>
      </c>
      <c r="AL893" s="163">
        <v>1.8467751605126028</v>
      </c>
    </row>
    <row r="894" spans="37:38" s="4" customFormat="1">
      <c r="AK894" s="3">
        <v>888</v>
      </c>
      <c r="AL894" s="163">
        <v>1.848010431442175</v>
      </c>
    </row>
    <row r="895" spans="37:38" s="4" customFormat="1">
      <c r="AK895" s="3">
        <v>889</v>
      </c>
      <c r="AL895" s="163">
        <v>1.8492444797869916</v>
      </c>
    </row>
    <row r="896" spans="37:38" s="4" customFormat="1">
      <c r="AK896" s="3">
        <v>890</v>
      </c>
      <c r="AL896" s="163">
        <v>1.8504773069030112</v>
      </c>
    </row>
    <row r="897" spans="37:38" s="4" customFormat="1">
      <c r="AK897" s="3">
        <v>891</v>
      </c>
      <c r="AL897" s="163">
        <v>1.8517089141454259</v>
      </c>
    </row>
    <row r="898" spans="37:38" s="4" customFormat="1">
      <c r="AK898" s="3">
        <v>892</v>
      </c>
      <c r="AL898" s="163">
        <v>1.8529393028686656</v>
      </c>
    </row>
    <row r="899" spans="37:38" s="4" customFormat="1">
      <c r="AK899" s="3">
        <v>893</v>
      </c>
      <c r="AL899" s="163">
        <v>1.8541684744263944</v>
      </c>
    </row>
    <row r="900" spans="37:38" s="4" customFormat="1">
      <c r="AK900" s="3">
        <v>894</v>
      </c>
      <c r="AL900" s="163">
        <v>1.855396430171512</v>
      </c>
    </row>
    <row r="901" spans="37:38" s="4" customFormat="1">
      <c r="AK901" s="3">
        <v>895</v>
      </c>
      <c r="AL901" s="163">
        <v>1.8566231714561556</v>
      </c>
    </row>
    <row r="902" spans="37:38" s="4" customFormat="1">
      <c r="AK902" s="3">
        <v>896</v>
      </c>
      <c r="AL902" s="163">
        <v>1.8578486996316979</v>
      </c>
    </row>
    <row r="903" spans="37:38" s="4" customFormat="1">
      <c r="AK903" s="3">
        <v>897</v>
      </c>
      <c r="AL903" s="163">
        <v>1.8590730160487479</v>
      </c>
    </row>
    <row r="904" spans="37:38" s="4" customFormat="1">
      <c r="AK904" s="3">
        <v>898</v>
      </c>
      <c r="AL904" s="163">
        <v>1.8602961220571506</v>
      </c>
    </row>
    <row r="905" spans="37:38" s="4" customFormat="1">
      <c r="AK905" s="3">
        <v>899</v>
      </c>
      <c r="AL905" s="163">
        <v>1.861518019005989</v>
      </c>
    </row>
    <row r="906" spans="37:38" s="4" customFormat="1">
      <c r="AK906" s="3">
        <v>900</v>
      </c>
      <c r="AL906" s="163">
        <v>1.8627387082435827</v>
      </c>
    </row>
    <row r="907" spans="37:38" s="4" customFormat="1">
      <c r="AK907" s="3">
        <v>901</v>
      </c>
      <c r="AL907" s="163">
        <v>1.8639581911174872</v>
      </c>
    </row>
    <row r="908" spans="37:38" s="4" customFormat="1">
      <c r="AK908" s="3">
        <v>902</v>
      </c>
      <c r="AL908" s="163">
        <v>1.8651764689744978</v>
      </c>
    </row>
    <row r="909" spans="37:38" s="4" customFormat="1">
      <c r="AK909" s="3">
        <v>903</v>
      </c>
      <c r="AL909" s="163">
        <v>1.8663935431606458</v>
      </c>
    </row>
    <row r="910" spans="37:38" s="4" customFormat="1">
      <c r="AK910" s="3">
        <v>904</v>
      </c>
      <c r="AL910" s="163">
        <v>1.8676094150211997</v>
      </c>
    </row>
    <row r="911" spans="37:38" s="4" customFormat="1">
      <c r="AK911" s="3">
        <v>905</v>
      </c>
      <c r="AL911" s="163">
        <v>1.8688240859006666</v>
      </c>
    </row>
    <row r="912" spans="37:38" s="4" customFormat="1">
      <c r="AK912" s="3">
        <v>906</v>
      </c>
      <c r="AL912" s="163">
        <v>1.8700375571427921</v>
      </c>
    </row>
    <row r="913" spans="37:38" s="4" customFormat="1">
      <c r="AK913" s="3">
        <v>907</v>
      </c>
      <c r="AL913" s="163">
        <v>1.8712498300905596</v>
      </c>
    </row>
    <row r="914" spans="37:38" s="4" customFormat="1">
      <c r="AK914" s="3">
        <v>908</v>
      </c>
      <c r="AL914" s="163">
        <v>1.872460906086191</v>
      </c>
    </row>
    <row r="915" spans="37:38" s="4" customFormat="1">
      <c r="AK915" s="3">
        <v>909</v>
      </c>
      <c r="AL915" s="163">
        <v>1.8736707864711464</v>
      </c>
    </row>
    <row r="916" spans="37:38" s="4" customFormat="1">
      <c r="AK916" s="3">
        <v>910</v>
      </c>
      <c r="AL916" s="163">
        <v>1.8748794725861251</v>
      </c>
    </row>
    <row r="917" spans="37:38" s="4" customFormat="1">
      <c r="AK917" s="3">
        <v>911</v>
      </c>
      <c r="AL917" s="163">
        <v>1.8760869657710653</v>
      </c>
    </row>
    <row r="918" spans="37:38" s="4" customFormat="1">
      <c r="AK918" s="3">
        <v>912</v>
      </c>
      <c r="AL918" s="163">
        <v>1.877293267365145</v>
      </c>
    </row>
    <row r="919" spans="37:38" s="4" customFormat="1">
      <c r="AK919" s="3">
        <v>913</v>
      </c>
      <c r="AL919" s="163">
        <v>1.8784983787067806</v>
      </c>
    </row>
    <row r="920" spans="37:38" s="4" customFormat="1">
      <c r="AK920" s="3">
        <v>914</v>
      </c>
      <c r="AL920" s="163">
        <v>1.8797023011336287</v>
      </c>
    </row>
    <row r="921" spans="37:38" s="4" customFormat="1">
      <c r="AK921" s="3">
        <v>915</v>
      </c>
      <c r="AL921" s="163">
        <v>1.8809050359825854</v>
      </c>
    </row>
    <row r="922" spans="37:38" s="4" customFormat="1">
      <c r="AK922" s="3">
        <v>916</v>
      </c>
      <c r="AL922" s="163">
        <v>1.8821065845897862</v>
      </c>
    </row>
    <row r="923" spans="37:38" s="4" customFormat="1">
      <c r="AK923" s="3">
        <v>917</v>
      </c>
      <c r="AL923" s="163">
        <v>1.8833069482906077</v>
      </c>
    </row>
    <row r="924" spans="37:38" s="4" customFormat="1">
      <c r="AK924" s="3">
        <v>918</v>
      </c>
      <c r="AL924" s="163">
        <v>1.8845061284196662</v>
      </c>
    </row>
    <row r="925" spans="37:38" s="4" customFormat="1">
      <c r="AK925" s="3">
        <v>919</v>
      </c>
      <c r="AL925" s="163">
        <v>1.8857041263108185</v>
      </c>
    </row>
    <row r="926" spans="37:38" s="4" customFormat="1">
      <c r="AK926" s="3">
        <v>920</v>
      </c>
      <c r="AL926" s="163">
        <v>1.8869009432971615</v>
      </c>
    </row>
    <row r="927" spans="37:38" s="4" customFormat="1">
      <c r="AK927" s="3">
        <v>921</v>
      </c>
      <c r="AL927" s="163">
        <v>1.8880965807110346</v>
      </c>
    </row>
    <row r="928" spans="37:38" s="4" customFormat="1">
      <c r="AK928" s="3">
        <v>922</v>
      </c>
      <c r="AL928" s="163">
        <v>1.8892910398840166</v>
      </c>
    </row>
    <row r="929" spans="37:38" s="4" customFormat="1">
      <c r="AK929" s="3">
        <v>923</v>
      </c>
      <c r="AL929" s="163">
        <v>1.8904843221469279</v>
      </c>
    </row>
    <row r="930" spans="37:38" s="4" customFormat="1">
      <c r="AK930" s="3">
        <v>924</v>
      </c>
      <c r="AL930" s="163">
        <v>1.89167642882983</v>
      </c>
    </row>
    <row r="931" spans="37:38" s="4" customFormat="1">
      <c r="AK931" s="3">
        <v>925</v>
      </c>
      <c r="AL931" s="163">
        <v>1.8928673612620275</v>
      </c>
    </row>
    <row r="932" spans="37:38" s="4" customFormat="1">
      <c r="AK932" s="3">
        <v>926</v>
      </c>
      <c r="AL932" s="163">
        <v>1.8940571207720649</v>
      </c>
    </row>
    <row r="933" spans="37:38" s="4" customFormat="1">
      <c r="AK933" s="3">
        <v>927</v>
      </c>
      <c r="AL933" s="163">
        <v>1.8952457086877292</v>
      </c>
    </row>
    <row r="934" spans="37:38" s="4" customFormat="1">
      <c r="AK934" s="3">
        <v>928</v>
      </c>
      <c r="AL934" s="163">
        <v>1.8964331263360503</v>
      </c>
    </row>
    <row r="935" spans="37:38" s="4" customFormat="1">
      <c r="AK935" s="3">
        <v>929</v>
      </c>
      <c r="AL935" s="163">
        <v>1.8976193750432993</v>
      </c>
    </row>
    <row r="936" spans="37:38" s="4" customFormat="1">
      <c r="AK936" s="3">
        <v>930</v>
      </c>
      <c r="AL936" s="163">
        <v>1.8988044561349897</v>
      </c>
    </row>
    <row r="937" spans="37:38" s="4" customFormat="1">
      <c r="AK937" s="3">
        <v>931</v>
      </c>
      <c r="AL937" s="163">
        <v>1.8999883709358791</v>
      </c>
    </row>
    <row r="938" spans="37:38" s="4" customFormat="1">
      <c r="AK938" s="3">
        <v>932</v>
      </c>
      <c r="AL938" s="163">
        <v>1.9011711207699671</v>
      </c>
    </row>
    <row r="939" spans="37:38" s="4" customFormat="1">
      <c r="AK939" s="3">
        <v>933</v>
      </c>
      <c r="AL939" s="163">
        <v>1.9023527069604957</v>
      </c>
    </row>
    <row r="940" spans="37:38" s="4" customFormat="1">
      <c r="AK940" s="3">
        <v>934</v>
      </c>
      <c r="AL940" s="163">
        <v>1.903533130829951</v>
      </c>
    </row>
    <row r="941" spans="37:38" s="4" customFormat="1">
      <c r="AK941" s="3">
        <v>935</v>
      </c>
      <c r="AL941" s="163">
        <v>1.9047123937000621</v>
      </c>
    </row>
    <row r="942" spans="37:38" s="4" customFormat="1">
      <c r="AK942" s="3">
        <v>936</v>
      </c>
      <c r="AL942" s="163">
        <v>1.9058904968918016</v>
      </c>
    </row>
    <row r="943" spans="37:38" s="4" customFormat="1">
      <c r="AK943" s="3">
        <v>937</v>
      </c>
      <c r="AL943" s="163">
        <v>1.9070674417253863</v>
      </c>
    </row>
    <row r="944" spans="37:38" s="4" customFormat="1">
      <c r="AK944" s="3">
        <v>938</v>
      </c>
      <c r="AL944" s="163">
        <v>1.9082432295202769</v>
      </c>
    </row>
    <row r="945" spans="37:38" s="4" customFormat="1">
      <c r="AK945" s="3">
        <v>939</v>
      </c>
      <c r="AL945" s="163">
        <v>1.909417861595178</v>
      </c>
    </row>
    <row r="946" spans="37:38" s="4" customFormat="1">
      <c r="AK946" s="3">
        <v>940</v>
      </c>
      <c r="AL946" s="163">
        <v>1.9105913392680378</v>
      </c>
    </row>
    <row r="947" spans="37:38" s="4" customFormat="1">
      <c r="AK947" s="3">
        <v>941</v>
      </c>
      <c r="AL947" s="163">
        <v>1.9117636638560507</v>
      </c>
    </row>
    <row r="948" spans="37:38" s="4" customFormat="1">
      <c r="AK948" s="3">
        <v>942</v>
      </c>
      <c r="AL948" s="163">
        <v>1.9129348366756544</v>
      </c>
    </row>
    <row r="949" spans="37:38" s="4" customFormat="1">
      <c r="AK949" s="3">
        <v>943</v>
      </c>
      <c r="AL949" s="163">
        <v>1.9141048590425314</v>
      </c>
    </row>
    <row r="950" spans="37:38" s="4" customFormat="1">
      <c r="AK950" s="3">
        <v>944</v>
      </c>
      <c r="AL950" s="163">
        <v>1.9152737322716107</v>
      </c>
    </row>
    <row r="951" spans="37:38" s="4" customFormat="1">
      <c r="AK951" s="3">
        <v>945</v>
      </c>
      <c r="AL951" s="163">
        <v>1.9164414576770654</v>
      </c>
    </row>
    <row r="952" spans="37:38" s="4" customFormat="1">
      <c r="AK952" s="3">
        <v>946</v>
      </c>
      <c r="AL952" s="163">
        <v>1.9176080365723136</v>
      </c>
    </row>
    <row r="953" spans="37:38" s="4" customFormat="1">
      <c r="AK953" s="3">
        <v>947</v>
      </c>
      <c r="AL953" s="163">
        <v>1.9187734702700199</v>
      </c>
    </row>
    <row r="954" spans="37:38" s="4" customFormat="1">
      <c r="AK954" s="3">
        <v>948</v>
      </c>
      <c r="AL954" s="163">
        <v>1.9199377600820946</v>
      </c>
    </row>
    <row r="955" spans="37:38" s="4" customFormat="1">
      <c r="AK955" s="3">
        <v>949</v>
      </c>
      <c r="AL955" s="163">
        <v>1.9211009073196936</v>
      </c>
    </row>
    <row r="956" spans="37:38" s="4" customFormat="1">
      <c r="AK956" s="3">
        <v>950</v>
      </c>
      <c r="AL956" s="163">
        <v>1.9222629132932194</v>
      </c>
    </row>
    <row r="957" spans="37:38" s="4" customFormat="1">
      <c r="AK957" s="3">
        <v>951</v>
      </c>
      <c r="AL957" s="163">
        <v>1.9234237793123201</v>
      </c>
    </row>
    <row r="958" spans="37:38" s="4" customFormat="1">
      <c r="AK958" s="3">
        <v>952</v>
      </c>
      <c r="AL958" s="163">
        <v>1.9245835066858912</v>
      </c>
    </row>
    <row r="959" spans="37:38" s="4" customFormat="1">
      <c r="AK959" s="3">
        <v>953</v>
      </c>
      <c r="AL959" s="163">
        <v>1.9257420967220742</v>
      </c>
    </row>
    <row r="960" spans="37:38" s="4" customFormat="1">
      <c r="AK960" s="3">
        <v>954</v>
      </c>
      <c r="AL960" s="163">
        <v>1.9268995507282576</v>
      </c>
    </row>
    <row r="961" spans="37:38" s="4" customFormat="1">
      <c r="AK961" s="3">
        <v>955</v>
      </c>
      <c r="AL961" s="163">
        <v>1.928055870011077</v>
      </c>
    </row>
    <row r="962" spans="37:38" s="4" customFormat="1">
      <c r="AK962" s="3">
        <v>956</v>
      </c>
      <c r="AL962" s="163">
        <v>1.9292110558764166</v>
      </c>
    </row>
    <row r="963" spans="37:38" s="4" customFormat="1">
      <c r="AK963" s="3">
        <v>957</v>
      </c>
      <c r="AL963" s="163">
        <v>1.9303651096294054</v>
      </c>
    </row>
    <row r="964" spans="37:38" s="4" customFormat="1">
      <c r="AK964" s="3">
        <v>958</v>
      </c>
      <c r="AL964" s="163">
        <v>1.9315180325744223</v>
      </c>
    </row>
    <row r="965" spans="37:38" s="4" customFormat="1">
      <c r="AK965" s="3">
        <v>959</v>
      </c>
      <c r="AL965" s="163">
        <v>1.9326698260150927</v>
      </c>
    </row>
    <row r="966" spans="37:38" s="4" customFormat="1">
      <c r="AK966" s="3">
        <v>960</v>
      </c>
      <c r="AL966" s="163">
        <v>1.9338204912542905</v>
      </c>
    </row>
    <row r="967" spans="37:38" s="4" customFormat="1">
      <c r="AK967" s="3">
        <v>961</v>
      </c>
      <c r="AL967" s="163">
        <v>1.9349700295941381</v>
      </c>
    </row>
    <row r="968" spans="37:38" s="4" customFormat="1">
      <c r="AK968" s="3">
        <v>962</v>
      </c>
      <c r="AL968" s="163">
        <v>1.9361184423360052</v>
      </c>
    </row>
    <row r="969" spans="37:38" s="4" customFormat="1">
      <c r="AK969" s="3">
        <v>963</v>
      </c>
      <c r="AL969" s="163">
        <v>1.9372657307805112</v>
      </c>
    </row>
    <row r="970" spans="37:38" s="4" customFormat="1">
      <c r="AK970" s="3">
        <v>964</v>
      </c>
      <c r="AL970" s="163">
        <v>1.9384118962275239</v>
      </c>
    </row>
    <row r="971" spans="37:38" s="4" customFormat="1">
      <c r="AK971" s="3">
        <v>965</v>
      </c>
      <c r="AL971" s="163">
        <v>1.9395569399761592</v>
      </c>
    </row>
    <row r="972" spans="37:38" s="4" customFormat="1">
      <c r="AK972" s="3">
        <v>966</v>
      </c>
      <c r="AL972" s="163">
        <v>1.9407008633247833</v>
      </c>
    </row>
    <row r="973" spans="37:38" s="4" customFormat="1">
      <c r="AK973" s="3">
        <v>967</v>
      </c>
      <c r="AL973" s="163">
        <v>1.9418436675710105</v>
      </c>
    </row>
    <row r="974" spans="37:38" s="4" customFormat="1">
      <c r="AK974" s="3">
        <v>968</v>
      </c>
      <c r="AL974" s="163">
        <v>1.9429853540117057</v>
      </c>
    </row>
    <row r="975" spans="37:38" s="4" customFormat="1">
      <c r="AK975" s="3">
        <v>969</v>
      </c>
      <c r="AL975" s="163">
        <v>1.9441259239429827</v>
      </c>
    </row>
    <row r="976" spans="37:38" s="4" customFormat="1">
      <c r="AK976" s="3">
        <v>970</v>
      </c>
      <c r="AL976" s="163">
        <v>1.9452653786602054</v>
      </c>
    </row>
    <row r="977" spans="37:38" s="4" customFormat="1">
      <c r="AK977" s="3">
        <v>971</v>
      </c>
      <c r="AL977" s="163">
        <v>1.9464037194579873</v>
      </c>
    </row>
    <row r="978" spans="37:38" s="4" customFormat="1">
      <c r="AK978" s="3">
        <v>972</v>
      </c>
      <c r="AL978" s="163">
        <v>1.9475409476301928</v>
      </c>
    </row>
    <row r="979" spans="37:38" s="4" customFormat="1">
      <c r="AK979" s="3">
        <v>973</v>
      </c>
      <c r="AL979" s="163">
        <v>1.948677064469936</v>
      </c>
    </row>
    <row r="980" spans="37:38" s="4" customFormat="1">
      <c r="AK980" s="3">
        <v>974</v>
      </c>
      <c r="AL980" s="163">
        <v>1.9498120712695821</v>
      </c>
    </row>
    <row r="981" spans="37:38" s="4" customFormat="1">
      <c r="AK981" s="3">
        <v>975</v>
      </c>
      <c r="AL981" s="163">
        <v>1.9509459693207467</v>
      </c>
    </row>
    <row r="982" spans="37:38" s="4" customFormat="1">
      <c r="AK982" s="3">
        <v>976</v>
      </c>
      <c r="AL982" s="163">
        <v>1.9520787599142964</v>
      </c>
    </row>
    <row r="983" spans="37:38" s="4" customFormat="1">
      <c r="AK983" s="3">
        <v>977</v>
      </c>
      <c r="AL983" s="163">
        <v>1.9532104443403486</v>
      </c>
    </row>
    <row r="984" spans="37:38" s="4" customFormat="1">
      <c r="AK984" s="3">
        <v>978</v>
      </c>
      <c r="AL984" s="163">
        <v>1.9543410238882728</v>
      </c>
    </row>
    <row r="985" spans="37:38" s="4" customFormat="1">
      <c r="AK985" s="3">
        <v>979</v>
      </c>
      <c r="AL985" s="163">
        <v>1.9554704998466894</v>
      </c>
    </row>
    <row r="986" spans="37:38" s="4" customFormat="1">
      <c r="AK986" s="3">
        <v>980</v>
      </c>
      <c r="AL986" s="163">
        <v>1.9565988735034705</v>
      </c>
    </row>
    <row r="987" spans="37:38" s="4" customFormat="1">
      <c r="AK987" s="3">
        <v>981</v>
      </c>
      <c r="AL987" s="163">
        <v>1.95772614614574</v>
      </c>
    </row>
    <row r="988" spans="37:38" s="4" customFormat="1">
      <c r="AK988" s="3">
        <v>982</v>
      </c>
      <c r="AL988" s="163">
        <v>1.9588523190598743</v>
      </c>
    </row>
    <row r="989" spans="37:38" s="4" customFormat="1">
      <c r="AK989" s="3">
        <v>983</v>
      </c>
      <c r="AL989" s="163">
        <v>1.959977393531501</v>
      </c>
    </row>
    <row r="990" spans="37:38" s="4" customFormat="1">
      <c r="AK990" s="3">
        <v>984</v>
      </c>
      <c r="AL990" s="163">
        <v>1.9611013708455007</v>
      </c>
    </row>
    <row r="991" spans="37:38" s="4" customFormat="1">
      <c r="AK991" s="3">
        <v>985</v>
      </c>
      <c r="AL991" s="163">
        <v>1.9622242522860072</v>
      </c>
    </row>
    <row r="992" spans="37:38" s="4" customFormat="1">
      <c r="AK992" s="3">
        <v>986</v>
      </c>
      <c r="AL992" s="163">
        <v>1.9633460391364062</v>
      </c>
    </row>
    <row r="993" spans="37:38" s="4" customFormat="1">
      <c r="AK993" s="3">
        <v>987</v>
      </c>
      <c r="AL993" s="163">
        <v>1.9644667326793364</v>
      </c>
    </row>
    <row r="994" spans="37:38" s="4" customFormat="1">
      <c r="AK994" s="3">
        <v>988</v>
      </c>
      <c r="AL994" s="163">
        <v>1.9655863341966902</v>
      </c>
    </row>
    <row r="995" spans="37:38" s="4" customFormat="1">
      <c r="AK995" s="3">
        <v>989</v>
      </c>
      <c r="AL995" s="163">
        <v>1.9667048449696127</v>
      </c>
    </row>
    <row r="996" spans="37:38" s="4" customFormat="1">
      <c r="AK996" s="3">
        <v>990</v>
      </c>
      <c r="AL996" s="163">
        <v>1.9678222662785028</v>
      </c>
    </row>
    <row r="997" spans="37:38" s="4" customFormat="1">
      <c r="AK997" s="3">
        <v>991</v>
      </c>
      <c r="AL997" s="163">
        <v>1.9689385994030131</v>
      </c>
    </row>
    <row r="998" spans="37:38" s="4" customFormat="1">
      <c r="AK998" s="3">
        <v>992</v>
      </c>
      <c r="AL998" s="163">
        <v>1.9700538456220493</v>
      </c>
    </row>
    <row r="999" spans="37:38" s="4" customFormat="1">
      <c r="AK999" s="3">
        <v>993</v>
      </c>
      <c r="AL999" s="163">
        <v>1.9711680062137733</v>
      </c>
    </row>
    <row r="1000" spans="37:38" s="4" customFormat="1">
      <c r="AK1000" s="3">
        <v>994</v>
      </c>
      <c r="AL1000" s="163">
        <v>1.9722810824555979</v>
      </c>
    </row>
    <row r="1001" spans="37:38" s="4" customFormat="1">
      <c r="AK1001" s="3">
        <v>995</v>
      </c>
      <c r="AL1001" s="163">
        <v>1.9733930756241937</v>
      </c>
    </row>
    <row r="1002" spans="37:38" s="4" customFormat="1">
      <c r="AK1002" s="3">
        <v>996</v>
      </c>
      <c r="AL1002" s="163">
        <v>1.9745039869954839</v>
      </c>
    </row>
    <row r="1003" spans="37:38" s="4" customFormat="1">
      <c r="AK1003" s="3">
        <v>997</v>
      </c>
      <c r="AL1003" s="163">
        <v>1.9756138178446465</v>
      </c>
    </row>
    <row r="1004" spans="37:38" s="4" customFormat="1">
      <c r="AK1004" s="3">
        <v>998</v>
      </c>
      <c r="AL1004" s="163">
        <v>1.9767225694461157</v>
      </c>
    </row>
    <row r="1005" spans="37:38" s="4" customFormat="1">
      <c r="AK1005" s="3">
        <v>999</v>
      </c>
      <c r="AL1005" s="163">
        <v>1.9778302430735792</v>
      </c>
    </row>
    <row r="1006" spans="37:38" s="4" customFormat="1">
      <c r="AK1006" s="3">
        <v>1000</v>
      </c>
      <c r="AL1006" s="163">
        <v>1.9789368399999814</v>
      </c>
    </row>
    <row r="1007" spans="37:38" s="4" customFormat="1">
      <c r="AK1007" s="3">
        <v>1001</v>
      </c>
      <c r="AL1007" s="163">
        <v>1.9800423614975218</v>
      </c>
    </row>
    <row r="1008" spans="37:38" s="4" customFormat="1">
      <c r="AK1008" s="3">
        <v>1002</v>
      </c>
      <c r="AL1008" s="163">
        <v>1.9811468088376549</v>
      </c>
    </row>
    <row r="1009" spans="37:38" s="4" customFormat="1">
      <c r="AK1009" s="3">
        <v>1003</v>
      </c>
      <c r="AL1009" s="163">
        <v>1.9822501832910924</v>
      </c>
    </row>
    <row r="1010" spans="37:38" s="4" customFormat="1">
      <c r="AK1010" s="3">
        <v>1004</v>
      </c>
      <c r="AL1010" s="163">
        <v>1.9833524861278005</v>
      </c>
    </row>
    <row r="1011" spans="37:38" s="4" customFormat="1">
      <c r="AK1011" s="3">
        <v>1005</v>
      </c>
      <c r="AL1011" s="163">
        <v>1.9844537186170033</v>
      </c>
    </row>
    <row r="1012" spans="37:38" s="4" customFormat="1">
      <c r="AK1012" s="3">
        <v>1006</v>
      </c>
      <c r="AL1012" s="163">
        <v>1.9855538820271803</v>
      </c>
    </row>
    <row r="1013" spans="37:38" s="4" customFormat="1">
      <c r="AK1013" s="3">
        <v>1007</v>
      </c>
      <c r="AL1013" s="163">
        <v>1.9866529776260673</v>
      </c>
    </row>
    <row r="1014" spans="37:38" s="4" customFormat="1">
      <c r="AK1014" s="3">
        <v>1008</v>
      </c>
      <c r="AL1014" s="163">
        <v>1.9877510066806581</v>
      </c>
    </row>
    <row r="1015" spans="37:38" s="4" customFormat="1">
      <c r="AK1015" s="3">
        <v>1009</v>
      </c>
      <c r="AL1015" s="163">
        <v>1.9888479704572026</v>
      </c>
    </row>
    <row r="1016" spans="37:38" s="4" customFormat="1">
      <c r="AK1016" s="3">
        <v>1010</v>
      </c>
      <c r="AL1016" s="163">
        <v>1.9899438702212078</v>
      </c>
    </row>
    <row r="1017" spans="37:38" s="4" customFormat="1">
      <c r="AK1017" s="3">
        <v>1011</v>
      </c>
      <c r="AL1017" s="163">
        <v>1.9910387072374396</v>
      </c>
    </row>
    <row r="1018" spans="37:38" s="4" customFormat="1">
      <c r="AK1018" s="3">
        <v>1012</v>
      </c>
      <c r="AL1018" s="163">
        <v>1.9921324827699183</v>
      </c>
    </row>
    <row r="1019" spans="37:38" s="4" customFormat="1">
      <c r="AK1019" s="3">
        <v>1013</v>
      </c>
      <c r="AL1019" s="163">
        <v>1.9932251980819247</v>
      </c>
    </row>
    <row r="1020" spans="37:38" s="4" customFormat="1">
      <c r="AK1020" s="3">
        <v>1014</v>
      </c>
      <c r="AL1020" s="163">
        <v>1.9943168544359966</v>
      </c>
    </row>
    <row r="1021" spans="37:38" s="4" customFormat="1">
      <c r="AK1021" s="3">
        <v>1015</v>
      </c>
      <c r="AL1021" s="163">
        <v>1.9954074530939301</v>
      </c>
    </row>
    <row r="1022" spans="37:38" s="4" customFormat="1">
      <c r="AK1022" s="3">
        <v>1016</v>
      </c>
      <c r="AL1022" s="163">
        <v>1.9964969953167784</v>
      </c>
    </row>
    <row r="1023" spans="37:38" s="4" customFormat="1">
      <c r="AK1023" s="3">
        <v>1017</v>
      </c>
      <c r="AL1023" s="163">
        <v>1.9975854823648556</v>
      </c>
    </row>
    <row r="1024" spans="37:38" s="4" customFormat="1">
      <c r="AK1024" s="3">
        <v>1018</v>
      </c>
      <c r="AL1024" s="163">
        <v>1.9986729154977314</v>
      </c>
    </row>
    <row r="1025" spans="37:38" s="4" customFormat="1">
      <c r="AK1025" s="3">
        <v>1019</v>
      </c>
      <c r="AL1025" s="163">
        <v>1.9997592959742363</v>
      </c>
    </row>
    <row r="1026" spans="37:38" s="4" customFormat="1">
      <c r="AK1026" s="3">
        <v>1020</v>
      </c>
      <c r="AL1026" s="163">
        <v>2.0008446250524599</v>
      </c>
    </row>
    <row r="1027" spans="37:38" s="4" customFormat="1">
      <c r="AK1027" s="3">
        <v>1021</v>
      </c>
      <c r="AL1027" s="163">
        <v>2.0019289039897505</v>
      </c>
    </row>
    <row r="1028" spans="37:38" s="4" customFormat="1">
      <c r="AK1028" s="3">
        <v>1022</v>
      </c>
      <c r="AL1028" s="163">
        <v>2.0030121340427143</v>
      </c>
    </row>
    <row r="1029" spans="37:38" s="4" customFormat="1">
      <c r="AK1029" s="3">
        <v>1023</v>
      </c>
      <c r="AL1029" s="163">
        <v>2.0040943164672198</v>
      </c>
    </row>
    <row r="1030" spans="37:38" s="4" customFormat="1">
      <c r="AK1030" s="3">
        <v>1024</v>
      </c>
      <c r="AL1030" s="163">
        <v>2.0051754525183934</v>
      </c>
    </row>
    <row r="1031" spans="37:38" s="4" customFormat="1">
      <c r="AK1031" s="3">
        <v>1025</v>
      </c>
      <c r="AL1031" s="163">
        <v>2.0062555434506226</v>
      </c>
    </row>
    <row r="1032" spans="37:38" s="4" customFormat="1">
      <c r="AK1032" s="3">
        <v>1026</v>
      </c>
      <c r="AL1032" s="163">
        <v>2.0073345905175533</v>
      </c>
    </row>
    <row r="1033" spans="37:38" s="4" customFormat="1">
      <c r="AK1033" s="3">
        <v>1027</v>
      </c>
      <c r="AL1033" s="163">
        <v>2.0084125949720928</v>
      </c>
    </row>
    <row r="1034" spans="37:38" s="4" customFormat="1">
      <c r="AK1034" s="3">
        <v>1028</v>
      </c>
      <c r="AL1034" s="163">
        <v>2.0094895580664085</v>
      </c>
    </row>
    <row r="1035" spans="37:38" s="4" customFormat="1">
      <c r="AK1035" s="3">
        <v>1029</v>
      </c>
      <c r="AL1035" s="163">
        <v>2.0105654810519304</v>
      </c>
    </row>
    <row r="1036" spans="37:38" s="4" customFormat="1">
      <c r="AK1036" s="3">
        <v>1030</v>
      </c>
      <c r="AL1036" s="163">
        <v>2.0116403651793462</v>
      </c>
    </row>
    <row r="1037" spans="37:38" s="4" customFormat="1">
      <c r="AK1037" s="3">
        <v>1031</v>
      </c>
      <c r="AL1037" s="163">
        <v>2.0127142116986052</v>
      </c>
    </row>
    <row r="1038" spans="37:38" s="4" customFormat="1">
      <c r="AK1038" s="3">
        <v>1032</v>
      </c>
      <c r="AL1038" s="163">
        <v>2.0137870218589211</v>
      </c>
    </row>
    <row r="1039" spans="37:38" s="4" customFormat="1">
      <c r="AK1039" s="3">
        <v>1033</v>
      </c>
      <c r="AL1039" s="163">
        <v>2.0148587969087655</v>
      </c>
    </row>
    <row r="1040" spans="37:38" s="4" customFormat="1">
      <c r="AK1040" s="3">
        <v>1034</v>
      </c>
      <c r="AL1040" s="163">
        <v>2.0159295380958726</v>
      </c>
    </row>
    <row r="1041" spans="37:38" s="4" customFormat="1">
      <c r="AK1041" s="3">
        <v>1035</v>
      </c>
      <c r="AL1041" s="163">
        <v>2.016999246667238</v>
      </c>
    </row>
    <row r="1042" spans="37:38" s="4" customFormat="1">
      <c r="AK1042" s="3">
        <v>1036</v>
      </c>
      <c r="AL1042" s="163">
        <v>2.018067923869121</v>
      </c>
    </row>
    <row r="1043" spans="37:38" s="4" customFormat="1">
      <c r="AK1043" s="3">
        <v>1037</v>
      </c>
      <c r="AL1043" s="163">
        <v>2.0191355709470407</v>
      </c>
    </row>
    <row r="1044" spans="37:38" s="4" customFormat="1">
      <c r="AK1044" s="3">
        <v>1038</v>
      </c>
      <c r="AL1044" s="163">
        <v>2.0202021891457802</v>
      </c>
    </row>
    <row r="1045" spans="37:38" s="4" customFormat="1">
      <c r="AK1045" s="3">
        <v>1039</v>
      </c>
      <c r="AL1045" s="163">
        <v>2.0212677797093845</v>
      </c>
    </row>
    <row r="1046" spans="37:38" s="4" customFormat="1">
      <c r="AK1046" s="3">
        <v>1040</v>
      </c>
      <c r="AL1046" s="163">
        <v>2.02233234388116</v>
      </c>
    </row>
    <row r="1047" spans="37:38" s="4" customFormat="1">
      <c r="AK1047" s="3">
        <v>1041</v>
      </c>
      <c r="AL1047" s="163">
        <v>2.0233958829036789</v>
      </c>
    </row>
    <row r="1048" spans="37:38" s="4" customFormat="1">
      <c r="AK1048" s="3">
        <v>1042</v>
      </c>
      <c r="AL1048" s="163">
        <v>2.0244583980187745</v>
      </c>
    </row>
    <row r="1049" spans="37:38" s="4" customFormat="1">
      <c r="AK1049" s="3">
        <v>1043</v>
      </c>
      <c r="AL1049" s="163">
        <v>2.0255198904675424</v>
      </c>
    </row>
    <row r="1050" spans="37:38" s="4" customFormat="1">
      <c r="AK1050" s="3">
        <v>1044</v>
      </c>
      <c r="AL1050" s="163">
        <v>2.0265803614903426</v>
      </c>
    </row>
    <row r="1051" spans="37:38" s="4" customFormat="1">
      <c r="AK1051" s="3">
        <v>1045</v>
      </c>
      <c r="AL1051" s="163">
        <v>2.0276398123267998</v>
      </c>
    </row>
    <row r="1052" spans="37:38" s="4" customFormat="1">
      <c r="AK1052" s="3">
        <v>1046</v>
      </c>
      <c r="AL1052" s="163">
        <v>2.0286982442158017</v>
      </c>
    </row>
    <row r="1053" spans="37:38" s="4" customFormat="1">
      <c r="AK1053" s="3">
        <v>1047</v>
      </c>
      <c r="AL1053" s="163">
        <v>2.0297556583954997</v>
      </c>
    </row>
    <row r="1054" spans="37:38" s="4" customFormat="1">
      <c r="AK1054" s="3">
        <v>1048</v>
      </c>
      <c r="AL1054" s="163">
        <v>2.0308120561033078</v>
      </c>
    </row>
    <row r="1055" spans="37:38" s="4" customFormat="1">
      <c r="AK1055" s="3">
        <v>1049</v>
      </c>
      <c r="AL1055" s="163">
        <v>2.0318674385759077</v>
      </c>
    </row>
    <row r="1056" spans="37:38" s="4" customFormat="1">
      <c r="AK1056" s="3">
        <v>1050</v>
      </c>
      <c r="AL1056" s="163">
        <v>2.0329218070492439</v>
      </c>
    </row>
    <row r="1057" spans="37:38" s="4" customFormat="1">
      <c r="AK1057" s="3">
        <v>1051</v>
      </c>
      <c r="AL1057" s="163">
        <v>2.0339751627585239</v>
      </c>
    </row>
    <row r="1058" spans="37:38" s="4" customFormat="1">
      <c r="AK1058" s="3">
        <v>1052</v>
      </c>
      <c r="AL1058" s="163">
        <v>2.0350275069382233</v>
      </c>
    </row>
    <row r="1059" spans="37:38" s="4" customFormat="1">
      <c r="AK1059" s="3">
        <v>1053</v>
      </c>
      <c r="AL1059" s="163">
        <v>2.0360788408220811</v>
      </c>
    </row>
    <row r="1060" spans="37:38" s="4" customFormat="1">
      <c r="AK1060" s="3">
        <v>1054</v>
      </c>
      <c r="AL1060" s="163">
        <v>2.0371291656431008</v>
      </c>
    </row>
    <row r="1061" spans="37:38" s="4" customFormat="1">
      <c r="AK1061" s="3">
        <v>1055</v>
      </c>
      <c r="AL1061" s="163">
        <v>2.0381784826335521</v>
      </c>
    </row>
    <row r="1062" spans="37:38" s="4" customFormat="1">
      <c r="AK1062" s="3">
        <v>1056</v>
      </c>
      <c r="AL1062" s="163">
        <v>2.0392267930249712</v>
      </c>
    </row>
    <row r="1063" spans="37:38" s="4" customFormat="1">
      <c r="AK1063" s="3">
        <v>1057</v>
      </c>
      <c r="AL1063" s="163">
        <v>2.0402740980481586</v>
      </c>
    </row>
    <row r="1064" spans="37:38" s="4" customFormat="1">
      <c r="AK1064" s="3">
        <v>1058</v>
      </c>
      <c r="AL1064" s="163">
        <v>2.041320398933181</v>
      </c>
    </row>
    <row r="1065" spans="37:38" s="4" customFormat="1">
      <c r="AK1065" s="3">
        <v>1059</v>
      </c>
      <c r="AL1065" s="163">
        <v>2.0423656969093726</v>
      </c>
    </row>
    <row r="1066" spans="37:38" s="4" customFormat="1">
      <c r="AK1066" s="3">
        <v>1060</v>
      </c>
      <c r="AL1066" s="163">
        <v>2.0434099932053327</v>
      </c>
    </row>
    <row r="1067" spans="37:38" s="4" customFormat="1">
      <c r="AK1067" s="3">
        <v>1061</v>
      </c>
      <c r="AL1067" s="163">
        <v>2.0444532890489282</v>
      </c>
    </row>
    <row r="1068" spans="37:38" s="4" customFormat="1">
      <c r="AK1068" s="3">
        <v>1062</v>
      </c>
      <c r="AL1068" s="163">
        <v>2.0454955856672901</v>
      </c>
    </row>
    <row r="1069" spans="37:38" s="4" customFormat="1">
      <c r="AK1069" s="3">
        <v>1063</v>
      </c>
      <c r="AL1069" s="163">
        <v>2.0465368842868195</v>
      </c>
    </row>
    <row r="1070" spans="37:38" s="4" customFormat="1">
      <c r="AK1070" s="3">
        <v>1064</v>
      </c>
      <c r="AL1070" s="163">
        <v>2.0475771861331835</v>
      </c>
    </row>
    <row r="1071" spans="37:38" s="4" customFormat="1">
      <c r="AK1071" s="3">
        <v>1065</v>
      </c>
      <c r="AL1071" s="163">
        <v>2.0486164924313148</v>
      </c>
    </row>
    <row r="1072" spans="37:38" s="4" customFormat="1">
      <c r="AK1072" s="3">
        <v>1066</v>
      </c>
      <c r="AL1072" s="163">
        <v>2.0496548044054164</v>
      </c>
    </row>
    <row r="1073" spans="37:38" s="4" customFormat="1">
      <c r="AK1073" s="3">
        <v>1067</v>
      </c>
      <c r="AL1073" s="163">
        <v>2.0506921232789574</v>
      </c>
    </row>
    <row r="1074" spans="37:38" s="4" customFormat="1">
      <c r="AK1074" s="3">
        <v>1068</v>
      </c>
      <c r="AL1074" s="163">
        <v>2.0517284502746733</v>
      </c>
    </row>
    <row r="1075" spans="37:38" s="4" customFormat="1">
      <c r="AK1075" s="3">
        <v>1069</v>
      </c>
      <c r="AL1075" s="163">
        <v>2.0527637866145705</v>
      </c>
    </row>
    <row r="1076" spans="37:38" s="4" customFormat="1">
      <c r="AK1076" s="3">
        <v>1070</v>
      </c>
      <c r="AL1076" s="163">
        <v>2.0537981335199214</v>
      </c>
    </row>
    <row r="1077" spans="37:38" s="4" customFormat="1">
      <c r="AK1077" s="3">
        <v>1071</v>
      </c>
      <c r="AL1077" s="163">
        <v>2.0548314922112678</v>
      </c>
    </row>
    <row r="1078" spans="37:38" s="4" customFormat="1">
      <c r="AK1078" s="3">
        <v>1072</v>
      </c>
      <c r="AL1078" s="163">
        <v>2.0558638639084199</v>
      </c>
    </row>
    <row r="1079" spans="37:38" s="4" customFormat="1">
      <c r="AK1079" s="3">
        <v>1073</v>
      </c>
      <c r="AL1079" s="163">
        <v>2.0568952498304562</v>
      </c>
    </row>
    <row r="1080" spans="37:38" s="4" customFormat="1">
      <c r="AK1080" s="3">
        <v>1074</v>
      </c>
      <c r="AL1080" s="163">
        <v>2.057925651195724</v>
      </c>
    </row>
    <row r="1081" spans="37:38" s="4" customFormat="1">
      <c r="AK1081" s="3">
        <v>1075</v>
      </c>
      <c r="AL1081" s="163">
        <v>2.0589550692218417</v>
      </c>
    </row>
    <row r="1082" spans="37:38" s="4" customFormat="1">
      <c r="AK1082" s="3">
        <v>1076</v>
      </c>
      <c r="AL1082" s="163">
        <v>2.0599835051256945</v>
      </c>
    </row>
    <row r="1083" spans="37:38" s="4" customFormat="1">
      <c r="AK1083" s="3">
        <v>1077</v>
      </c>
      <c r="AL1083" s="163">
        <v>2.0610109601234372</v>
      </c>
    </row>
    <row r="1084" spans="37:38" s="4" customFormat="1">
      <c r="AK1084" s="3">
        <v>1078</v>
      </c>
      <c r="AL1084" s="163">
        <v>2.0620374354304953</v>
      </c>
    </row>
    <row r="1085" spans="37:38" s="4" customFormat="1">
      <c r="AK1085" s="3">
        <v>1079</v>
      </c>
      <c r="AL1085" s="163">
        <v>2.0630629322615648</v>
      </c>
    </row>
    <row r="1086" spans="37:38" s="4" customFormat="1">
      <c r="AK1086" s="3">
        <v>1080</v>
      </c>
      <c r="AL1086" s="163">
        <v>2.0640874518306096</v>
      </c>
    </row>
    <row r="1087" spans="37:38" s="4" customFormat="1">
      <c r="AK1087" s="3">
        <v>1081</v>
      </c>
      <c r="AL1087" s="163">
        <v>2.0651109953508655</v>
      </c>
    </row>
    <row r="1088" spans="37:38" s="4" customFormat="1">
      <c r="AK1088" s="3">
        <v>1082</v>
      </c>
      <c r="AL1088" s="163">
        <v>2.0661335640348382</v>
      </c>
    </row>
    <row r="1089" spans="37:38" s="4" customFormat="1">
      <c r="AK1089" s="3">
        <v>1083</v>
      </c>
      <c r="AL1089" s="163">
        <v>2.067155159094304</v>
      </c>
    </row>
    <row r="1090" spans="37:38" s="4" customFormat="1">
      <c r="AK1090" s="3">
        <v>1084</v>
      </c>
      <c r="AL1090" s="163">
        <v>2.0681757817403095</v>
      </c>
    </row>
    <row r="1091" spans="37:38" s="4" customFormat="1">
      <c r="AK1091" s="3">
        <v>1085</v>
      </c>
      <c r="AL1091" s="163">
        <v>2.0691954331831721</v>
      </c>
    </row>
    <row r="1092" spans="37:38" s="4" customFormat="1">
      <c r="AK1092" s="3">
        <v>1086</v>
      </c>
      <c r="AL1092" s="163">
        <v>2.0702141146324817</v>
      </c>
    </row>
    <row r="1093" spans="37:38" s="4" customFormat="1">
      <c r="AK1093" s="3">
        <v>1087</v>
      </c>
      <c r="AL1093" s="163">
        <v>2.0712318272970989</v>
      </c>
    </row>
    <row r="1094" spans="37:38" s="4" customFormat="1">
      <c r="AK1094" s="3">
        <v>1088</v>
      </c>
      <c r="AL1094" s="163">
        <v>2.072248572385154</v>
      </c>
    </row>
    <row r="1095" spans="37:38" s="4" customFormat="1">
      <c r="AK1095" s="3">
        <v>1089</v>
      </c>
      <c r="AL1095" s="163">
        <v>2.0732643511040516</v>
      </c>
    </row>
    <row r="1096" spans="37:38" s="4" customFormat="1">
      <c r="AK1096" s="3">
        <v>1090</v>
      </c>
      <c r="AL1096" s="163">
        <v>2.0742791646604664</v>
      </c>
    </row>
    <row r="1097" spans="37:38" s="4" customFormat="1">
      <c r="AK1097" s="3">
        <v>1091</v>
      </c>
      <c r="AL1097" s="163">
        <v>2.0752930142603461</v>
      </c>
    </row>
    <row r="1098" spans="37:38" s="4" customFormat="1">
      <c r="AK1098" s="3">
        <v>1092</v>
      </c>
      <c r="AL1098" s="163">
        <v>2.0763059011089102</v>
      </c>
    </row>
    <row r="1099" spans="37:38" s="4" customFormat="1">
      <c r="AK1099" s="3">
        <v>1093</v>
      </c>
      <c r="AL1099" s="163">
        <v>2.0773178264106509</v>
      </c>
    </row>
    <row r="1100" spans="37:38" s="4" customFormat="1">
      <c r="AK1100" s="3">
        <v>1094</v>
      </c>
      <c r="AL1100" s="163">
        <v>2.0783287913693318</v>
      </c>
    </row>
    <row r="1101" spans="37:38" s="4" customFormat="1">
      <c r="AK1101" s="3">
        <v>1095</v>
      </c>
      <c r="AL1101" s="163">
        <v>2.0793387971879906</v>
      </c>
    </row>
    <row r="1102" spans="37:38" s="4" customFormat="1">
      <c r="AK1102" s="3">
        <v>1096</v>
      </c>
      <c r="AL1102" s="163">
        <v>2.0803478450689386</v>
      </c>
    </row>
    <row r="1103" spans="37:38" s="4" customFormat="1">
      <c r="AK1103" s="3">
        <v>1097</v>
      </c>
      <c r="AL1103" s="163">
        <v>2.0813559362137579</v>
      </c>
    </row>
    <row r="1104" spans="37:38" s="4" customFormat="1">
      <c r="AK1104" s="3">
        <v>1098</v>
      </c>
      <c r="AL1104" s="163">
        <v>2.0823630718233055</v>
      </c>
    </row>
    <row r="1105" spans="37:38" s="4" customFormat="1">
      <c r="AK1105" s="3">
        <v>1099</v>
      </c>
      <c r="AL1105" s="163">
        <v>2.0833692530977124</v>
      </c>
    </row>
    <row r="1106" spans="37:38" s="4" customFormat="1">
      <c r="AK1106" s="3">
        <v>1100</v>
      </c>
      <c r="AL1106" s="163">
        <v>2.0843744812363809</v>
      </c>
    </row>
    <row r="1107" spans="37:38" s="4" customFormat="1">
      <c r="AK1107" s="3">
        <v>1101</v>
      </c>
      <c r="AL1107" s="163">
        <v>2.0853787574379901</v>
      </c>
    </row>
    <row r="1108" spans="37:38" s="4" customFormat="1">
      <c r="AK1108" s="3">
        <v>1102</v>
      </c>
      <c r="AL1108" s="163">
        <v>2.0863820829004918</v>
      </c>
    </row>
    <row r="1109" spans="37:38" s="4" customFormat="1">
      <c r="AK1109" s="3">
        <v>1103</v>
      </c>
      <c r="AL1109" s="163">
        <v>2.087384458821111</v>
      </c>
    </row>
    <row r="1110" spans="37:38" s="4" customFormat="1">
      <c r="AK1110" s="3">
        <v>1104</v>
      </c>
      <c r="AL1110" s="163">
        <v>2.0883858863963494</v>
      </c>
    </row>
    <row r="1111" spans="37:38" s="4" customFormat="1">
      <c r="AK1111" s="3">
        <v>1105</v>
      </c>
      <c r="AL1111" s="163">
        <v>2.089386366821981</v>
      </c>
    </row>
    <row r="1112" spans="37:38" s="4" customFormat="1">
      <c r="AK1112" s="3">
        <v>1106</v>
      </c>
      <c r="AL1112" s="163">
        <v>2.090385901293057</v>
      </c>
    </row>
    <row r="1113" spans="37:38" s="4" customFormat="1">
      <c r="AK1113" s="3">
        <v>1107</v>
      </c>
      <c r="AL1113" s="163">
        <v>2.0913844910039008</v>
      </c>
    </row>
    <row r="1114" spans="37:38" s="4" customFormat="1">
      <c r="AK1114" s="3">
        <v>1108</v>
      </c>
      <c r="AL1114" s="163">
        <v>2.0923821371481131</v>
      </c>
    </row>
    <row r="1115" spans="37:38" s="4" customFormat="1">
      <c r="AK1115" s="3">
        <v>1109</v>
      </c>
      <c r="AL1115" s="163">
        <v>2.093378840918569</v>
      </c>
    </row>
    <row r="1116" spans="37:38" s="4" customFormat="1">
      <c r="AK1116" s="3">
        <v>1110</v>
      </c>
      <c r="AL1116" s="163">
        <v>2.0943746035074202</v>
      </c>
    </row>
    <row r="1117" spans="37:38" s="4" customFormat="1">
      <c r="AK1117" s="3">
        <v>1111</v>
      </c>
      <c r="AL1117" s="163">
        <v>2.0953694261060924</v>
      </c>
    </row>
    <row r="1118" spans="37:38" s="4" customFormat="1">
      <c r="AK1118" s="3">
        <v>1112</v>
      </c>
      <c r="AL1118" s="163">
        <v>2.0963633099052879</v>
      </c>
    </row>
    <row r="1119" spans="37:38" s="4" customFormat="1">
      <c r="AK1119" s="3">
        <v>1113</v>
      </c>
      <c r="AL1119" s="163">
        <v>2.0973562560949852</v>
      </c>
    </row>
    <row r="1120" spans="37:38" s="4" customFormat="1">
      <c r="AK1120" s="3">
        <v>1114</v>
      </c>
      <c r="AL1120" s="163">
        <v>2.0983482658644399</v>
      </c>
    </row>
    <row r="1121" spans="37:38" s="4" customFormat="1">
      <c r="AK1121" s="3">
        <v>1115</v>
      </c>
      <c r="AL1121" s="163">
        <v>2.0993393404021825</v>
      </c>
    </row>
    <row r="1122" spans="37:38" s="4" customFormat="1">
      <c r="AK1122" s="3">
        <v>1116</v>
      </c>
      <c r="AL1122" s="163">
        <v>2.1003294808960207</v>
      </c>
    </row>
    <row r="1123" spans="37:38" s="4" customFormat="1">
      <c r="AK1123" s="3">
        <v>1117</v>
      </c>
      <c r="AL1123" s="163">
        <v>2.1013186885330399</v>
      </c>
    </row>
    <row r="1124" spans="37:38" s="4" customFormat="1">
      <c r="AK1124" s="3">
        <v>1118</v>
      </c>
      <c r="AL1124" s="163">
        <v>2.1023069644996011</v>
      </c>
    </row>
    <row r="1125" spans="37:38" s="4" customFormat="1">
      <c r="AK1125" s="3">
        <v>1119</v>
      </c>
      <c r="AL1125" s="163">
        <v>2.1032943099813433</v>
      </c>
    </row>
    <row r="1126" spans="37:38" s="4" customFormat="1">
      <c r="AK1126" s="3">
        <v>1120</v>
      </c>
      <c r="AL1126" s="163">
        <v>2.1042807261631835</v>
      </c>
    </row>
    <row r="1127" spans="37:38" s="4" customFormat="1">
      <c r="AK1127" s="3">
        <v>1121</v>
      </c>
      <c r="AL1127" s="163">
        <v>2.1052662142293137</v>
      </c>
    </row>
    <row r="1128" spans="37:38" s="4" customFormat="1">
      <c r="AK1128" s="3">
        <v>1122</v>
      </c>
      <c r="AL1128" s="163">
        <v>2.1062507753632063</v>
      </c>
    </row>
    <row r="1129" spans="37:38" s="4" customFormat="1">
      <c r="AK1129" s="3">
        <v>1123</v>
      </c>
      <c r="AL1129" s="163">
        <v>2.1072344107476106</v>
      </c>
    </row>
    <row r="1130" spans="37:38" s="4" customFormat="1">
      <c r="AK1130" s="3">
        <v>1124</v>
      </c>
      <c r="AL1130" s="163">
        <v>2.1082171215645538</v>
      </c>
    </row>
    <row r="1131" spans="37:38" s="4" customFormat="1">
      <c r="AK1131" s="3">
        <v>1125</v>
      </c>
      <c r="AL1131" s="163">
        <v>2.1091989089953427</v>
      </c>
    </row>
    <row r="1132" spans="37:38" s="4" customFormat="1">
      <c r="AK1132" s="3">
        <v>1126</v>
      </c>
      <c r="AL1132" s="163">
        <v>2.1101797742205597</v>
      </c>
    </row>
    <row r="1133" spans="37:38" s="4" customFormat="1">
      <c r="AK1133" s="3">
        <v>1127</v>
      </c>
      <c r="AL1133" s="163">
        <v>2.1111597184200686</v>
      </c>
    </row>
    <row r="1134" spans="37:38" s="4" customFormat="1">
      <c r="AK1134" s="3">
        <v>1128</v>
      </c>
      <c r="AL1134" s="163">
        <v>2.1121387427730109</v>
      </c>
    </row>
    <row r="1135" spans="37:38" s="4" customFormat="1">
      <c r="AK1135" s="3">
        <v>1129</v>
      </c>
      <c r="AL1135" s="163">
        <v>2.1131168484578073</v>
      </c>
    </row>
    <row r="1136" spans="37:38" s="4" customFormat="1">
      <c r="AK1136" s="3">
        <v>1130</v>
      </c>
      <c r="AL1136" s="163">
        <v>2.114094036652157</v>
      </c>
    </row>
    <row r="1137" spans="37:38" s="4" customFormat="1">
      <c r="AK1137" s="3">
        <v>1131</v>
      </c>
      <c r="AL1137" s="163">
        <v>2.1150703085330407</v>
      </c>
    </row>
    <row r="1138" spans="37:38" s="4" customFormat="1">
      <c r="AK1138" s="3">
        <v>1132</v>
      </c>
      <c r="AL1138" s="163">
        <v>2.1160456652767157</v>
      </c>
    </row>
    <row r="1139" spans="37:38" s="4" customFormat="1">
      <c r="AK1139" s="3">
        <v>1133</v>
      </c>
      <c r="AL1139" s="163">
        <v>2.1170201080587212</v>
      </c>
    </row>
    <row r="1140" spans="37:38" s="4" customFormat="1">
      <c r="AK1140" s="3">
        <v>1134</v>
      </c>
      <c r="AL1140" s="163">
        <v>2.1179936380538753</v>
      </c>
    </row>
    <row r="1141" spans="37:38" s="4" customFormat="1">
      <c r="AK1141" s="3">
        <v>1135</v>
      </c>
      <c r="AL1141" s="163">
        <v>2.1189662564362775</v>
      </c>
    </row>
    <row r="1142" spans="37:38" s="4" customFormat="1">
      <c r="AK1142" s="3">
        <v>1136</v>
      </c>
      <c r="AL1142" s="163">
        <v>2.1199379643793046</v>
      </c>
    </row>
    <row r="1143" spans="37:38" s="4" customFormat="1">
      <c r="AK1143" s="3">
        <v>1137</v>
      </c>
      <c r="AL1143" s="163">
        <v>2.1209087630556178</v>
      </c>
    </row>
    <row r="1144" spans="37:38" s="4" customFormat="1">
      <c r="AK1144" s="3">
        <v>1138</v>
      </c>
      <c r="AL1144" s="163">
        <v>2.1218786536371566</v>
      </c>
    </row>
    <row r="1145" spans="37:38" s="4" customFormat="1">
      <c r="AK1145" s="3">
        <v>1139</v>
      </c>
      <c r="AL1145" s="163">
        <v>2.1228476372951417</v>
      </c>
    </row>
    <row r="1146" spans="37:38" s="4" customFormat="1">
      <c r="AK1146" s="3">
        <v>1140</v>
      </c>
      <c r="AL1146" s="163">
        <v>2.1238157152000747</v>
      </c>
    </row>
    <row r="1147" spans="37:38" s="4" customFormat="1">
      <c r="AK1147" s="3">
        <v>1141</v>
      </c>
      <c r="AL1147" s="163">
        <v>2.1247828885217395</v>
      </c>
    </row>
    <row r="1148" spans="37:38" s="4" customFormat="1">
      <c r="AK1148" s="3">
        <v>1142</v>
      </c>
      <c r="AL1148" s="163">
        <v>2.1257491584291994</v>
      </c>
    </row>
    <row r="1149" spans="37:38" s="4" customFormat="1">
      <c r="AK1149" s="3">
        <v>1143</v>
      </c>
      <c r="AL1149" s="163">
        <v>2.1267145260908018</v>
      </c>
    </row>
    <row r="1150" spans="37:38" s="4" customFormat="1">
      <c r="AK1150" s="3">
        <v>1144</v>
      </c>
      <c r="AL1150" s="163">
        <v>2.1276789926741735</v>
      </c>
    </row>
    <row r="1151" spans="37:38" s="4" customFormat="1">
      <c r="AK1151" s="3">
        <v>1145</v>
      </c>
      <c r="AL1151" s="163">
        <v>2.1286425593462246</v>
      </c>
    </row>
    <row r="1152" spans="37:38" s="4" customFormat="1">
      <c r="AK1152" s="3">
        <v>1146</v>
      </c>
      <c r="AL1152" s="163">
        <v>2.1296052272731458</v>
      </c>
    </row>
    <row r="1153" spans="37:38" s="4" customFormat="1">
      <c r="AK1153" s="3">
        <v>1147</v>
      </c>
      <c r="AL1153" s="163">
        <v>2.1305669976204129</v>
      </c>
    </row>
    <row r="1154" spans="37:38" s="4" customFormat="1">
      <c r="AK1154" s="3">
        <v>1148</v>
      </c>
      <c r="AL1154" s="163">
        <v>2.1315278715527826</v>
      </c>
    </row>
    <row r="1155" spans="37:38" s="4" customFormat="1">
      <c r="AK1155" s="3">
        <v>1149</v>
      </c>
      <c r="AL1155" s="163">
        <v>2.1324878502342939</v>
      </c>
    </row>
    <row r="1156" spans="37:38" s="4" customFormat="1">
      <c r="AK1156" s="3">
        <v>1150</v>
      </c>
      <c r="AL1156" s="163">
        <v>2.1334469348282679</v>
      </c>
    </row>
    <row r="1157" spans="37:38" s="4" customFormat="1">
      <c r="AK1157" s="3">
        <v>1151</v>
      </c>
      <c r="AL1157" s="163">
        <v>2.1344051264973118</v>
      </c>
    </row>
    <row r="1158" spans="37:38" s="4" customFormat="1">
      <c r="AK1158" s="3">
        <v>1152</v>
      </c>
      <c r="AL1158" s="163">
        <v>2.1353624264033124</v>
      </c>
    </row>
    <row r="1159" spans="37:38" s="4" customFormat="1">
      <c r="AK1159" s="3">
        <v>1153</v>
      </c>
      <c r="AL1159" s="163">
        <v>2.1363188357074434</v>
      </c>
    </row>
    <row r="1160" spans="37:38" s="4" customFormat="1">
      <c r="AK1160" s="3">
        <v>1154</v>
      </c>
      <c r="AL1160" s="163">
        <v>2.1372743555701592</v>
      </c>
    </row>
    <row r="1161" spans="37:38" s="4" customFormat="1">
      <c r="AK1161" s="3">
        <v>1155</v>
      </c>
      <c r="AL1161" s="163">
        <v>2.1382289871511984</v>
      </c>
    </row>
    <row r="1162" spans="37:38" s="4" customFormat="1">
      <c r="AK1162" s="3">
        <v>1156</v>
      </c>
      <c r="AL1162" s="163">
        <v>2.1391827316095857</v>
      </c>
    </row>
    <row r="1163" spans="37:38" s="4" customFormat="1">
      <c r="AK1163" s="3">
        <v>1157</v>
      </c>
      <c r="AL1163" s="163">
        <v>2.1401355901036276</v>
      </c>
    </row>
    <row r="1164" spans="37:38" s="4" customFormat="1">
      <c r="AK1164" s="3">
        <v>1158</v>
      </c>
      <c r="AL1164" s="163">
        <v>2.1410875637909168</v>
      </c>
    </row>
    <row r="1165" spans="37:38" s="4" customFormat="1">
      <c r="AK1165" s="3">
        <v>1159</v>
      </c>
      <c r="AL1165" s="163">
        <v>2.1420386538283283</v>
      </c>
    </row>
    <row r="1166" spans="37:38" s="4" customFormat="1">
      <c r="AK1166" s="3">
        <v>1160</v>
      </c>
      <c r="AL1166" s="163">
        <v>2.1429888613720247</v>
      </c>
    </row>
    <row r="1167" spans="37:38" s="4" customFormat="1">
      <c r="AK1167" s="3">
        <v>1161</v>
      </c>
      <c r="AL1167" s="163">
        <v>2.1439381875774499</v>
      </c>
    </row>
    <row r="1168" spans="37:38" s="4" customFormat="1">
      <c r="AK1168" s="3">
        <v>1162</v>
      </c>
      <c r="AL1168" s="163">
        <v>2.1448866335993362</v>
      </c>
    </row>
    <row r="1169" spans="37:38" s="4" customFormat="1">
      <c r="AK1169" s="3">
        <v>1163</v>
      </c>
      <c r="AL1169" s="163">
        <v>2.1458342005916995</v>
      </c>
    </row>
    <row r="1170" spans="37:38" s="4" customFormat="1">
      <c r="AK1170" s="3">
        <v>1164</v>
      </c>
      <c r="AL1170" s="163">
        <v>2.1467808897078409</v>
      </c>
    </row>
    <row r="1171" spans="37:38" s="4" customFormat="1">
      <c r="AK1171" s="3">
        <v>1165</v>
      </c>
      <c r="AL1171" s="163">
        <v>2.1477267021003486</v>
      </c>
    </row>
    <row r="1172" spans="37:38" s="4" customFormat="1">
      <c r="AK1172" s="3">
        <v>1166</v>
      </c>
      <c r="AL1172" s="163">
        <v>2.1486716389210949</v>
      </c>
    </row>
    <row r="1173" spans="37:38" s="4" customFormat="1">
      <c r="AK1173" s="3">
        <v>1167</v>
      </c>
      <c r="AL1173" s="163">
        <v>2.1496157013212387</v>
      </c>
    </row>
    <row r="1174" spans="37:38" s="4" customFormat="1">
      <c r="AK1174" s="3">
        <v>1168</v>
      </c>
      <c r="AL1174" s="163">
        <v>2.1505588904512254</v>
      </c>
    </row>
    <row r="1175" spans="37:38" s="4" customFormat="1">
      <c r="AK1175" s="3">
        <v>1169</v>
      </c>
      <c r="AL1175" s="163">
        <v>2.1515012074607873</v>
      </c>
    </row>
    <row r="1176" spans="37:38" s="4" customFormat="1">
      <c r="AK1176" s="3">
        <v>1170</v>
      </c>
      <c r="AL1176" s="163">
        <v>2.1524426534989414</v>
      </c>
    </row>
    <row r="1177" spans="37:38" s="4" customFormat="1">
      <c r="AK1177" s="3">
        <v>1171</v>
      </c>
      <c r="AL1177" s="163">
        <v>2.1533832297139921</v>
      </c>
    </row>
    <row r="1178" spans="37:38" s="4" customFormat="1">
      <c r="AK1178" s="3">
        <v>1172</v>
      </c>
      <c r="AL1178" s="163">
        <v>2.1543229372535326</v>
      </c>
    </row>
    <row r="1179" spans="37:38" s="4" customFormat="1">
      <c r="AK1179" s="3">
        <v>1173</v>
      </c>
      <c r="AL1179" s="163">
        <v>2.1552617772644407</v>
      </c>
    </row>
    <row r="1180" spans="37:38" s="4" customFormat="1">
      <c r="AK1180" s="3">
        <v>1174</v>
      </c>
      <c r="AL1180" s="163">
        <v>2.1561997508928821</v>
      </c>
    </row>
    <row r="1181" spans="37:38" s="4" customFormat="1">
      <c r="AK1181" s="3">
        <v>1175</v>
      </c>
      <c r="AL1181" s="163">
        <v>2.1571368592843116</v>
      </c>
    </row>
    <row r="1182" spans="37:38" s="4" customFormat="1">
      <c r="AK1182" s="3">
        <v>1176</v>
      </c>
      <c r="AL1182" s="163">
        <v>2.1580731035834693</v>
      </c>
    </row>
    <row r="1183" spans="37:38" s="4" customFormat="1">
      <c r="AK1183" s="3">
        <v>1177</v>
      </c>
      <c r="AL1183" s="163">
        <v>2.1590084849343842</v>
      </c>
    </row>
    <row r="1184" spans="37:38" s="4" customFormat="1">
      <c r="AK1184" s="3">
        <v>1178</v>
      </c>
      <c r="AL1184" s="163">
        <v>2.159943004480374</v>
      </c>
    </row>
    <row r="1185" spans="37:38" s="4" customFormat="1">
      <c r="AK1185" s="3">
        <v>1179</v>
      </c>
      <c r="AL1185" s="163">
        <v>2.1608766633640419</v>
      </c>
    </row>
    <row r="1186" spans="37:38" s="4" customFormat="1">
      <c r="AK1186" s="3">
        <v>1180</v>
      </c>
      <c r="AL1186" s="163">
        <v>2.1618094627272839</v>
      </c>
    </row>
    <row r="1187" spans="37:38" s="4" customFormat="1">
      <c r="AK1187" s="3">
        <v>1181</v>
      </c>
      <c r="AL1187" s="163">
        <v>2.1627414037112809</v>
      </c>
    </row>
    <row r="1188" spans="37:38" s="4" customFormat="1">
      <c r="AK1188" s="3">
        <v>1182</v>
      </c>
      <c r="AL1188" s="163">
        <v>2.1636724874565036</v>
      </c>
    </row>
    <row r="1189" spans="37:38" s="4" customFormat="1">
      <c r="AK1189" s="3">
        <v>1183</v>
      </c>
      <c r="AL1189" s="163">
        <v>2.1646027151027121</v>
      </c>
    </row>
    <row r="1190" spans="37:38" s="4" customFormat="1">
      <c r="AK1190" s="3">
        <v>1184</v>
      </c>
      <c r="AL1190" s="163">
        <v>2.165532087788955</v>
      </c>
    </row>
    <row r="1191" spans="37:38" s="4" customFormat="1">
      <c r="AK1191" s="3">
        <v>1185</v>
      </c>
      <c r="AL1191" s="163">
        <v>2.1664606066535703</v>
      </c>
    </row>
    <row r="1192" spans="37:38" s="4" customFormat="1">
      <c r="AK1192" s="3">
        <v>1186</v>
      </c>
      <c r="AL1192" s="163">
        <v>2.1673882728341853</v>
      </c>
    </row>
    <row r="1193" spans="37:38" s="4" customFormat="1">
      <c r="AK1193" s="3">
        <v>1187</v>
      </c>
      <c r="AL1193" s="163">
        <v>2.1683150874677186</v>
      </c>
    </row>
    <row r="1194" spans="37:38" s="4" customFormat="1">
      <c r="AK1194" s="3">
        <v>1188</v>
      </c>
      <c r="AL1194" s="163">
        <v>2.169241051690376</v>
      </c>
    </row>
    <row r="1195" spans="37:38" s="4" customFormat="1">
      <c r="AK1195" s="3">
        <v>1189</v>
      </c>
      <c r="AL1195" s="163">
        <v>2.1701661666376548</v>
      </c>
    </row>
    <row r="1196" spans="37:38" s="4" customFormat="1">
      <c r="AK1196" s="3">
        <v>1190</v>
      </c>
      <c r="AL1196" s="163">
        <v>2.1710904334443422</v>
      </c>
    </row>
    <row r="1197" spans="37:38" s="4" customFormat="1">
      <c r="AK1197" s="3">
        <v>1191</v>
      </c>
      <c r="AL1197" s="163">
        <v>2.1720138532445161</v>
      </c>
    </row>
    <row r="1198" spans="37:38" s="4" customFormat="1">
      <c r="AK1198" s="3">
        <v>1192</v>
      </c>
      <c r="AL1198" s="163">
        <v>2.1729364271715452</v>
      </c>
    </row>
    <row r="1199" spans="37:38" s="4" customFormat="1">
      <c r="AK1199" s="3">
        <v>1193</v>
      </c>
      <c r="AL1199" s="163">
        <v>2.1738581563580883</v>
      </c>
    </row>
    <row r="1200" spans="37:38" s="4" customFormat="1">
      <c r="AK1200" s="3">
        <v>1194</v>
      </c>
      <c r="AL1200" s="163">
        <v>2.1747790419360951</v>
      </c>
    </row>
    <row r="1201" spans="37:38" s="4" customFormat="1">
      <c r="AK1201" s="3">
        <v>1195</v>
      </c>
      <c r="AL1201" s="163">
        <v>2.1756990850368076</v>
      </c>
    </row>
    <row r="1202" spans="37:38" s="4" customFormat="1">
      <c r="AK1202" s="3">
        <v>1196</v>
      </c>
      <c r="AL1202" s="163">
        <v>2.1766182867907564</v>
      </c>
    </row>
    <row r="1203" spans="37:38" s="4" customFormat="1">
      <c r="AK1203" s="3">
        <v>1197</v>
      </c>
      <c r="AL1203" s="163">
        <v>2.1775366483277674</v>
      </c>
    </row>
    <row r="1204" spans="37:38" s="4" customFormat="1">
      <c r="AK1204" s="3">
        <v>1198</v>
      </c>
      <c r="AL1204" s="163">
        <v>2.1784541707769538</v>
      </c>
    </row>
    <row r="1205" spans="37:38" s="4" customFormat="1">
      <c r="AK1205" s="3">
        <v>1199</v>
      </c>
      <c r="AL1205" s="163">
        <v>2.1793708552667264</v>
      </c>
    </row>
    <row r="1206" spans="37:38" s="4" customFormat="1">
      <c r="AK1206" s="3">
        <v>1200</v>
      </c>
      <c r="AL1206" s="163">
        <v>2.1802867029247808</v>
      </c>
    </row>
    <row r="1207" spans="37:38" s="4" customFormat="1">
      <c r="AK1207" s="3">
        <v>1201</v>
      </c>
      <c r="AL1207" s="163">
        <v>2.1812017148781115</v>
      </c>
    </row>
    <row r="1208" spans="37:38" s="4" customFormat="1">
      <c r="AK1208" s="3">
        <v>1202</v>
      </c>
      <c r="AL1208" s="163">
        <v>2.1821158922530017</v>
      </c>
    </row>
    <row r="1209" spans="37:38" s="4" customFormat="1">
      <c r="AK1209" s="3">
        <v>1203</v>
      </c>
      <c r="AL1209" s="163">
        <v>2.1830292361750283</v>
      </c>
    </row>
    <row r="1210" spans="37:38" s="4" customFormat="1">
      <c r="AK1210" s="3">
        <v>1204</v>
      </c>
      <c r="AL1210" s="163">
        <v>2.1839417477690604</v>
      </c>
    </row>
    <row r="1211" spans="37:38" s="4" customFormat="1">
      <c r="AK1211" s="3">
        <v>1205</v>
      </c>
      <c r="AL1211" s="163">
        <v>2.1848534281592609</v>
      </c>
    </row>
    <row r="1212" spans="37:38" s="4" customFormat="1">
      <c r="AK1212" s="3">
        <v>1206</v>
      </c>
      <c r="AL1212" s="163">
        <v>2.1857642784690845</v>
      </c>
    </row>
    <row r="1213" spans="37:38" s="4" customFormat="1">
      <c r="AK1213" s="3">
        <v>1207</v>
      </c>
      <c r="AL1213" s="163">
        <v>2.1866742998212816</v>
      </c>
    </row>
    <row r="1214" spans="37:38" s="4" customFormat="1">
      <c r="AK1214" s="3">
        <v>1208</v>
      </c>
      <c r="AL1214" s="163">
        <v>2.1875834933378933</v>
      </c>
    </row>
    <row r="1215" spans="37:38" s="4" customFormat="1">
      <c r="AK1215" s="3">
        <v>1209</v>
      </c>
      <c r="AL1215" s="163">
        <v>2.1884918601402568</v>
      </c>
    </row>
    <row r="1216" spans="37:38" s="4" customFormat="1">
      <c r="AK1216" s="3">
        <v>1210</v>
      </c>
      <c r="AL1216" s="163">
        <v>2.1893994013489997</v>
      </c>
    </row>
    <row r="1217" spans="37:38" s="4" customFormat="1">
      <c r="AK1217" s="3">
        <v>1211</v>
      </c>
      <c r="AL1217" s="163">
        <v>2.1903061180840497</v>
      </c>
    </row>
    <row r="1218" spans="37:38" s="4" customFormat="1">
      <c r="AK1218" s="3">
        <v>1212</v>
      </c>
      <c r="AL1218" s="163">
        <v>2.1912120114646219</v>
      </c>
    </row>
    <row r="1219" spans="37:38" s="4" customFormat="1">
      <c r="AK1219" s="3">
        <v>1213</v>
      </c>
      <c r="AL1219" s="163">
        <v>2.1921170826092315</v>
      </c>
    </row>
    <row r="1220" spans="37:38" s="4" customFormat="1">
      <c r="AK1220" s="3">
        <v>1214</v>
      </c>
      <c r="AL1220" s="163">
        <v>2.1930213326356838</v>
      </c>
    </row>
    <row r="1221" spans="37:38" s="4" customFormat="1">
      <c r="AK1221" s="3">
        <v>1215</v>
      </c>
      <c r="AL1221" s="163">
        <v>2.1939247626610814</v>
      </c>
    </row>
    <row r="1222" spans="37:38" s="4" customFormat="1">
      <c r="AK1222" s="3">
        <v>1216</v>
      </c>
      <c r="AL1222" s="163">
        <v>2.1948273738018225</v>
      </c>
    </row>
    <row r="1223" spans="37:38" s="4" customFormat="1">
      <c r="AK1223" s="3">
        <v>1217</v>
      </c>
      <c r="AL1223" s="163">
        <v>2.1957291671735981</v>
      </c>
    </row>
    <row r="1224" spans="37:38" s="4" customFormat="1">
      <c r="AK1224" s="3">
        <v>1218</v>
      </c>
      <c r="AL1224" s="163">
        <v>2.1966301438913969</v>
      </c>
    </row>
    <row r="1225" spans="37:38" s="4" customFormat="1">
      <c r="AK1225" s="3">
        <v>1219</v>
      </c>
      <c r="AL1225" s="163">
        <v>2.1975303050695012</v>
      </c>
    </row>
    <row r="1226" spans="37:38" s="4" customFormat="1">
      <c r="AK1226" s="3">
        <v>1220</v>
      </c>
      <c r="AL1226" s="163">
        <v>2.1984296518214901</v>
      </c>
    </row>
    <row r="1227" spans="37:38" s="4" customFormat="1">
      <c r="AK1227" s="3">
        <v>1221</v>
      </c>
      <c r="AL1227" s="163">
        <v>2.1993281852602382</v>
      </c>
    </row>
    <row r="1228" spans="37:38" s="4" customFormat="1">
      <c r="AK1228" s="3">
        <v>1222</v>
      </c>
      <c r="AL1228" s="163">
        <v>2.2002259064979173</v>
      </c>
    </row>
    <row r="1229" spans="37:38" s="4" customFormat="1">
      <c r="AK1229" s="3">
        <v>1223</v>
      </c>
      <c r="AL1229" s="163">
        <v>2.2011228166459929</v>
      </c>
    </row>
    <row r="1230" spans="37:38" s="4" customFormat="1">
      <c r="AK1230" s="3">
        <v>1224</v>
      </c>
      <c r="AL1230" s="163">
        <v>2.2020189168152293</v>
      </c>
    </row>
    <row r="1231" spans="37:38" s="4" customFormat="1">
      <c r="AK1231" s="3">
        <v>1225</v>
      </c>
      <c r="AL1231" s="163">
        <v>2.2029142081156872</v>
      </c>
    </row>
    <row r="1232" spans="37:38" s="4" customFormat="1">
      <c r="AK1232" s="3">
        <v>1226</v>
      </c>
      <c r="AL1232" s="163">
        <v>2.2038086916567234</v>
      </c>
    </row>
    <row r="1233" spans="37:38" s="4" customFormat="1">
      <c r="AK1233" s="3">
        <v>1227</v>
      </c>
      <c r="AL1233" s="163">
        <v>2.2047023685469904</v>
      </c>
    </row>
    <row r="1234" spans="37:38" s="4" customFormat="1">
      <c r="AK1234" s="3">
        <v>1228</v>
      </c>
      <c r="AL1234" s="163">
        <v>2.2055952398944423</v>
      </c>
    </row>
    <row r="1235" spans="37:38" s="4" customFormat="1">
      <c r="AK1235" s="3">
        <v>1229</v>
      </c>
      <c r="AL1235" s="163">
        <v>2.2064873068063249</v>
      </c>
    </row>
    <row r="1236" spans="37:38" s="4" customFormat="1">
      <c r="AK1236" s="3">
        <v>1230</v>
      </c>
      <c r="AL1236" s="163">
        <v>2.2073785703891851</v>
      </c>
    </row>
    <row r="1237" spans="37:38" s="4" customFormat="1">
      <c r="AK1237" s="3">
        <v>1231</v>
      </c>
      <c r="AL1237" s="163">
        <v>2.2082690317488671</v>
      </c>
    </row>
    <row r="1238" spans="37:38" s="4" customFormat="1">
      <c r="AK1238" s="3">
        <v>1232</v>
      </c>
      <c r="AL1238" s="163">
        <v>2.2091586919905124</v>
      </c>
    </row>
    <row r="1239" spans="37:38" s="4" customFormat="1">
      <c r="AK1239" s="3">
        <v>1233</v>
      </c>
      <c r="AL1239" s="163">
        <v>2.2100475522185614</v>
      </c>
    </row>
    <row r="1240" spans="37:38" s="4" customFormat="1">
      <c r="AK1240" s="3">
        <v>1234</v>
      </c>
      <c r="AL1240" s="163">
        <v>2.2109356135367517</v>
      </c>
    </row>
    <row r="1241" spans="37:38" s="4" customFormat="1">
      <c r="AK1241" s="3">
        <v>1235</v>
      </c>
      <c r="AL1241" s="163">
        <v>2.2118228770481192</v>
      </c>
    </row>
    <row r="1242" spans="37:38" s="4" customFormat="1">
      <c r="AK1242" s="3">
        <v>1236</v>
      </c>
      <c r="AL1242" s="163">
        <v>2.2127093438550003</v>
      </c>
    </row>
    <row r="1243" spans="37:38" s="4" customFormat="1">
      <c r="AK1243" s="3">
        <v>1237</v>
      </c>
      <c r="AL1243" s="163">
        <v>2.2135950150590284</v>
      </c>
    </row>
    <row r="1244" spans="37:38" s="4" customFormat="1">
      <c r="AK1244" s="3">
        <v>1238</v>
      </c>
      <c r="AL1244" s="163">
        <v>2.2144798917611368</v>
      </c>
    </row>
    <row r="1245" spans="37:38" s="4" customFormat="1">
      <c r="AK1245" s="3">
        <v>1239</v>
      </c>
      <c r="AL1245" s="163">
        <v>2.2153639750615577</v>
      </c>
    </row>
    <row r="1246" spans="37:38" s="4" customFormat="1">
      <c r="AK1246" s="3">
        <v>1240</v>
      </c>
      <c r="AL1246" s="163">
        <v>2.2162472660598227</v>
      </c>
    </row>
    <row r="1247" spans="37:38" s="4" customFormat="1">
      <c r="AK1247" s="3">
        <v>1241</v>
      </c>
      <c r="AL1247" s="163">
        <v>2.2171297658547631</v>
      </c>
    </row>
    <row r="1248" spans="37:38" s="4" customFormat="1">
      <c r="AK1248" s="3">
        <v>1242</v>
      </c>
      <c r="AL1248" s="163">
        <v>2.2180114755445093</v>
      </c>
    </row>
    <row r="1249" spans="37:38" s="4" customFormat="1">
      <c r="AK1249" s="3">
        <v>1243</v>
      </c>
      <c r="AL1249" s="163">
        <v>2.2188923962264933</v>
      </c>
    </row>
    <row r="1250" spans="37:38" s="4" customFormat="1">
      <c r="AK1250" s="3">
        <v>1244</v>
      </c>
      <c r="AL1250" s="163">
        <v>2.2197725289974448</v>
      </c>
    </row>
    <row r="1251" spans="37:38" s="4" customFormat="1">
      <c r="AK1251" s="3">
        <v>1245</v>
      </c>
      <c r="AL1251" s="163">
        <v>2.2206518749533979</v>
      </c>
    </row>
    <row r="1252" spans="37:38" s="4" customFormat="1">
      <c r="AK1252" s="3">
        <v>1246</v>
      </c>
      <c r="AL1252" s="163">
        <v>2.2215304351896807</v>
      </c>
    </row>
    <row r="1253" spans="37:38" s="4" customFormat="1">
      <c r="AK1253" s="3">
        <v>1247</v>
      </c>
      <c r="AL1253" s="163">
        <v>2.2224082108009284</v>
      </c>
    </row>
    <row r="1254" spans="37:38" s="4" customFormat="1">
      <c r="AK1254" s="3">
        <v>1248</v>
      </c>
      <c r="AL1254" s="163">
        <v>2.2232852028810735</v>
      </c>
    </row>
    <row r="1255" spans="37:38" s="4" customFormat="1">
      <c r="AK1255" s="3">
        <v>1249</v>
      </c>
      <c r="AL1255" s="163">
        <v>2.2241614125233502</v>
      </c>
    </row>
    <row r="1256" spans="37:38" s="4" customFormat="1">
      <c r="AK1256" s="3">
        <v>1250</v>
      </c>
      <c r="AL1256" s="163">
        <v>2.2250368408202936</v>
      </c>
    </row>
    <row r="1257" spans="37:38" s="4" customFormat="1">
      <c r="AK1257" s="3">
        <v>1251</v>
      </c>
      <c r="AL1257" s="163">
        <v>2.225911488863741</v>
      </c>
    </row>
    <row r="1258" spans="37:38" s="4" customFormat="1">
      <c r="AK1258" s="3">
        <v>1252</v>
      </c>
      <c r="AL1258" s="163">
        <v>2.2267853577448324</v>
      </c>
    </row>
    <row r="1259" spans="37:38" s="4" customFormat="1">
      <c r="AK1259" s="3">
        <v>1253</v>
      </c>
      <c r="AL1259" s="163">
        <v>2.2276584485540063</v>
      </c>
    </row>
    <row r="1260" spans="37:38" s="4" customFormat="1">
      <c r="AK1260" s="3">
        <v>1254</v>
      </c>
      <c r="AL1260" s="163">
        <v>2.228530762381006</v>
      </c>
    </row>
    <row r="1261" spans="37:38" s="4" customFormat="1">
      <c r="AK1261" s="3">
        <v>1255</v>
      </c>
      <c r="AL1261" s="163">
        <v>2.229402300314876</v>
      </c>
    </row>
    <row r="1262" spans="37:38" s="4" customFormat="1">
      <c r="AK1262" s="3">
        <v>1256</v>
      </c>
      <c r="AL1262" s="163">
        <v>2.2302730634439625</v>
      </c>
    </row>
    <row r="1263" spans="37:38" s="4" customFormat="1">
      <c r="AK1263" s="3">
        <v>1257</v>
      </c>
      <c r="AL1263" s="163">
        <v>2.2311430528559146</v>
      </c>
    </row>
    <row r="1264" spans="37:38" s="4" customFormat="1">
      <c r="AK1264" s="3">
        <v>1258</v>
      </c>
      <c r="AL1264" s="163">
        <v>2.2320122696376856</v>
      </c>
    </row>
    <row r="1265" spans="37:38" s="4" customFormat="1">
      <c r="AK1265" s="3">
        <v>1259</v>
      </c>
      <c r="AL1265" s="163">
        <v>2.2328807148755292</v>
      </c>
    </row>
    <row r="1266" spans="37:38" s="4" customFormat="1">
      <c r="AK1266" s="3">
        <v>1260</v>
      </c>
      <c r="AL1266" s="163">
        <v>2.2337483896550032</v>
      </c>
    </row>
    <row r="1267" spans="37:38" s="4" customFormat="1">
      <c r="AK1267" s="3">
        <v>1261</v>
      </c>
      <c r="AL1267" s="163">
        <v>2.2346152950609692</v>
      </c>
    </row>
    <row r="1268" spans="37:38" s="4" customFormat="1">
      <c r="AK1268" s="3">
        <v>1262</v>
      </c>
      <c r="AL1268" s="163">
        <v>2.235481432177592</v>
      </c>
    </row>
    <row r="1269" spans="37:38" s="4" customFormat="1">
      <c r="AK1269" s="3">
        <v>1263</v>
      </c>
      <c r="AL1269" s="163">
        <v>2.2363468020883395</v>
      </c>
    </row>
    <row r="1270" spans="37:38" s="4" customFormat="1">
      <c r="AK1270" s="3">
        <v>1264</v>
      </c>
      <c r="AL1270" s="163">
        <v>2.2372114058759824</v>
      </c>
    </row>
    <row r="1271" spans="37:38" s="4" customFormat="1">
      <c r="AK1271" s="3">
        <v>1265</v>
      </c>
      <c r="AL1271" s="163">
        <v>2.2380752446225984</v>
      </c>
    </row>
    <row r="1272" spans="37:38" s="4" customFormat="1">
      <c r="AK1272" s="3">
        <v>1266</v>
      </c>
      <c r="AL1272" s="163">
        <v>2.2389383194095678</v>
      </c>
    </row>
    <row r="1273" spans="37:38" s="4" customFormat="1">
      <c r="AK1273" s="3">
        <v>1267</v>
      </c>
      <c r="AL1273" s="163">
        <v>2.2398006313175731</v>
      </c>
    </row>
    <row r="1274" spans="37:38" s="4" customFormat="1">
      <c r="AK1274" s="3">
        <v>1268</v>
      </c>
      <c r="AL1274" s="163">
        <v>2.2406621814266043</v>
      </c>
    </row>
    <row r="1275" spans="37:38" s="4" customFormat="1">
      <c r="AK1275" s="3">
        <v>1269</v>
      </c>
      <c r="AL1275" s="163">
        <v>2.2415229708159559</v>
      </c>
    </row>
    <row r="1276" spans="37:38" s="4" customFormat="1">
      <c r="AK1276" s="3">
        <v>1270</v>
      </c>
      <c r="AL1276" s="163">
        <v>2.2423830005642249</v>
      </c>
    </row>
    <row r="1277" spans="37:38" s="4" customFormat="1">
      <c r="AK1277" s="3">
        <v>1271</v>
      </c>
      <c r="AL1277" s="163">
        <v>2.2432422717493159</v>
      </c>
    </row>
    <row r="1278" spans="37:38" s="4" customFormat="1">
      <c r="AK1278" s="3">
        <v>1272</v>
      </c>
      <c r="AL1278" s="163">
        <v>2.2441007854484374</v>
      </c>
    </row>
    <row r="1279" spans="37:38" s="4" customFormat="1">
      <c r="AK1279" s="3">
        <v>1273</v>
      </c>
      <c r="AL1279" s="163">
        <v>2.2449585427381038</v>
      </c>
    </row>
    <row r="1280" spans="37:38" s="4" customFormat="1">
      <c r="AK1280" s="3">
        <v>1274</v>
      </c>
      <c r="AL1280" s="163">
        <v>2.245815544694135</v>
      </c>
    </row>
    <row r="1281" spans="37:38" s="4" customFormat="1">
      <c r="AK1281" s="3">
        <v>1275</v>
      </c>
      <c r="AL1281" s="163">
        <v>2.2466717923916568</v>
      </c>
    </row>
    <row r="1282" spans="37:38" s="4" customFormat="1">
      <c r="AK1282" s="3">
        <v>1276</v>
      </c>
      <c r="AL1282" s="163">
        <v>2.2475272869051008</v>
      </c>
    </row>
    <row r="1283" spans="37:38" s="4" customFormat="1">
      <c r="AK1283" s="3">
        <v>1277</v>
      </c>
      <c r="AL1283" s="163">
        <v>2.2483820293082051</v>
      </c>
    </row>
    <row r="1284" spans="37:38" s="4" customFormat="1">
      <c r="AK1284" s="3">
        <v>1278</v>
      </c>
      <c r="AL1284" s="163">
        <v>2.2492360206740143</v>
      </c>
    </row>
    <row r="1285" spans="37:38" s="4" customFormat="1">
      <c r="AK1285" s="3">
        <v>1279</v>
      </c>
      <c r="AL1285" s="163">
        <v>2.2500892620748782</v>
      </c>
    </row>
    <row r="1286" spans="37:38" s="4" customFormat="1">
      <c r="AK1286" s="3">
        <v>1280</v>
      </c>
      <c r="AL1286" s="163">
        <v>2.2509417545824548</v>
      </c>
    </row>
    <row r="1287" spans="37:38" s="4" customFormat="1">
      <c r="AK1287" s="3">
        <v>1281</v>
      </c>
      <c r="AL1287" s="163">
        <v>2.2517934992677096</v>
      </c>
    </row>
    <row r="1288" spans="37:38" s="4" customFormat="1">
      <c r="AK1288" s="3">
        <v>1282</v>
      </c>
      <c r="AL1288" s="163">
        <v>2.252644497200913</v>
      </c>
    </row>
    <row r="1289" spans="37:38" s="4" customFormat="1">
      <c r="AK1289" s="3">
        <v>1283</v>
      </c>
      <c r="AL1289" s="163">
        <v>2.2534947494516437</v>
      </c>
    </row>
    <row r="1290" spans="37:38" s="4" customFormat="1">
      <c r="AK1290" s="3">
        <v>1284</v>
      </c>
      <c r="AL1290" s="163">
        <v>2.2543442570887886</v>
      </c>
    </row>
    <row r="1291" spans="37:38" s="4" customFormat="1">
      <c r="AK1291" s="3">
        <v>1285</v>
      </c>
      <c r="AL1291" s="163">
        <v>2.255193021180542</v>
      </c>
    </row>
    <row r="1292" spans="37:38" s="4" customFormat="1">
      <c r="AK1292" s="3">
        <v>1286</v>
      </c>
      <c r="AL1292" s="163">
        <v>2.2560410427944042</v>
      </c>
    </row>
    <row r="1293" spans="37:38" s="4" customFormat="1">
      <c r="AK1293" s="3">
        <v>1287</v>
      </c>
      <c r="AL1293" s="163">
        <v>2.2568883229971863</v>
      </c>
    </row>
    <row r="1294" spans="37:38" s="4" customFormat="1">
      <c r="AK1294" s="3">
        <v>1288</v>
      </c>
      <c r="AL1294" s="163">
        <v>2.2577348628550054</v>
      </c>
    </row>
    <row r="1295" spans="37:38" s="4" customFormat="1">
      <c r="AK1295" s="3">
        <v>1289</v>
      </c>
      <c r="AL1295" s="163">
        <v>2.2585806634332894</v>
      </c>
    </row>
    <row r="1296" spans="37:38" s="4" customFormat="1">
      <c r="AK1296" s="3">
        <v>1290</v>
      </c>
      <c r="AL1296" s="163">
        <v>2.2594257257967705</v>
      </c>
    </row>
    <row r="1297" spans="37:38" s="4" customFormat="1">
      <c r="AK1297" s="3">
        <v>1291</v>
      </c>
      <c r="AL1297" s="163">
        <v>2.2602700510094946</v>
      </c>
    </row>
    <row r="1298" spans="37:38" s="4" customFormat="1">
      <c r="AK1298" s="3">
        <v>1292</v>
      </c>
      <c r="AL1298" s="163">
        <v>2.2611136401348131</v>
      </c>
    </row>
    <row r="1299" spans="37:38" s="4" customFormat="1">
      <c r="AK1299" s="3">
        <v>1293</v>
      </c>
      <c r="AL1299" s="163">
        <v>2.2619564942353887</v>
      </c>
    </row>
    <row r="1300" spans="37:38" s="4" customFormat="1">
      <c r="AK1300" s="3">
        <v>1294</v>
      </c>
      <c r="AL1300" s="163">
        <v>2.262798614373192</v>
      </c>
    </row>
    <row r="1301" spans="37:38" s="4" customFormat="1">
      <c r="AK1301" s="3">
        <v>1295</v>
      </c>
      <c r="AL1301" s="163">
        <v>2.2636400016095028</v>
      </c>
    </row>
    <row r="1302" spans="37:38" s="4" customFormat="1">
      <c r="AK1302" s="3">
        <v>1296</v>
      </c>
      <c r="AL1302" s="163">
        <v>2.2644806570049116</v>
      </c>
    </row>
    <row r="1303" spans="37:38" s="4" customFormat="1">
      <c r="AK1303" s="3">
        <v>1297</v>
      </c>
      <c r="AL1303" s="163">
        <v>2.2653205816193189</v>
      </c>
    </row>
    <row r="1304" spans="37:38" s="4" customFormat="1">
      <c r="AK1304" s="3">
        <v>1298</v>
      </c>
      <c r="AL1304" s="163">
        <v>2.2661597765119343</v>
      </c>
    </row>
    <row r="1305" spans="37:38" s="4" customFormat="1">
      <c r="AK1305" s="3">
        <v>1299</v>
      </c>
      <c r="AL1305" s="163">
        <v>2.2669982427412778</v>
      </c>
    </row>
    <row r="1306" spans="37:38" s="4" customFormat="1">
      <c r="AK1306" s="3">
        <v>1300</v>
      </c>
      <c r="AL1306" s="163">
        <v>2.2678359813651805</v>
      </c>
    </row>
    <row r="1307" spans="37:38" s="4" customFormat="1">
      <c r="AK1307" s="3">
        <v>1301</v>
      </c>
      <c r="AL1307" s="163">
        <v>2.2686729934407839</v>
      </c>
    </row>
    <row r="1308" spans="37:38" s="4" customFormat="1">
      <c r="AK1308" s="3">
        <v>1302</v>
      </c>
      <c r="AL1308" s="163">
        <v>2.2695092800245384</v>
      </c>
    </row>
    <row r="1309" spans="37:38" s="4" customFormat="1">
      <c r="AK1309" s="3">
        <v>1303</v>
      </c>
      <c r="AL1309" s="163">
        <v>2.2703448421722081</v>
      </c>
    </row>
    <row r="1310" spans="37:38" s="4" customFormat="1">
      <c r="AK1310" s="3">
        <v>1304</v>
      </c>
      <c r="AL1310" s="163">
        <v>2.2711796809388671</v>
      </c>
    </row>
    <row r="1311" spans="37:38" s="4" customFormat="1">
      <c r="AK1311" s="3">
        <v>1305</v>
      </c>
      <c r="AL1311" s="163">
        <v>2.2720137973789014</v>
      </c>
    </row>
    <row r="1312" spans="37:38" s="4" customFormat="1">
      <c r="AK1312" s="3">
        <v>1306</v>
      </c>
      <c r="AL1312" s="163">
        <v>2.2728471925460063</v>
      </c>
    </row>
    <row r="1313" spans="37:38" s="4" customFormat="1">
      <c r="AK1313" s="3">
        <v>1307</v>
      </c>
      <c r="AL1313" s="163">
        <v>2.2736798674931906</v>
      </c>
    </row>
    <row r="1314" spans="37:38" s="4" customFormat="1">
      <c r="AK1314" s="3">
        <v>1308</v>
      </c>
      <c r="AL1314" s="163">
        <v>2.2745118232727761</v>
      </c>
    </row>
    <row r="1315" spans="37:38" s="4" customFormat="1">
      <c r="AK1315" s="3">
        <v>1309</v>
      </c>
      <c r="AL1315" s="163">
        <v>2.2753430609363932</v>
      </c>
    </row>
    <row r="1316" spans="37:38" s="4" customFormat="1">
      <c r="AK1316" s="3">
        <v>1310</v>
      </c>
      <c r="AL1316" s="163">
        <v>2.2761735815349882</v>
      </c>
    </row>
    <row r="1317" spans="37:38" s="4" customFormat="1">
      <c r="AK1317" s="3">
        <v>1311</v>
      </c>
      <c r="AL1317" s="163">
        <v>2.2770033861188175</v>
      </c>
    </row>
    <row r="1318" spans="37:38" s="4" customFormat="1">
      <c r="AK1318" s="3">
        <v>1312</v>
      </c>
      <c r="AL1318" s="163">
        <v>2.2778324757374508</v>
      </c>
    </row>
    <row r="1319" spans="37:38" s="4" customFormat="1">
      <c r="AK1319" s="3">
        <v>1313</v>
      </c>
      <c r="AL1319" s="163">
        <v>2.2786608514397715</v>
      </c>
    </row>
    <row r="1320" spans="37:38" s="4" customFormat="1">
      <c r="AK1320" s="3">
        <v>1314</v>
      </c>
      <c r="AL1320" s="163">
        <v>2.2794885142739743</v>
      </c>
    </row>
    <row r="1321" spans="37:38" s="4" customFormat="1">
      <c r="AK1321" s="3">
        <v>1315</v>
      </c>
      <c r="AL1321" s="163">
        <v>2.2803154652875679</v>
      </c>
    </row>
    <row r="1322" spans="37:38" s="4" customFormat="1">
      <c r="AK1322" s="3">
        <v>1316</v>
      </c>
      <c r="AL1322" s="163">
        <v>2.2811417055273737</v>
      </c>
    </row>
    <row r="1323" spans="37:38" s="4" customFormat="1">
      <c r="AK1323" s="3">
        <v>1317</v>
      </c>
      <c r="AL1323" s="163">
        <v>2.2819672360395278</v>
      </c>
    </row>
    <row r="1324" spans="37:38" s="4" customFormat="1">
      <c r="AK1324" s="3">
        <v>1318</v>
      </c>
      <c r="AL1324" s="163">
        <v>2.2827920578694796</v>
      </c>
    </row>
    <row r="1325" spans="37:38" s="4" customFormat="1">
      <c r="AK1325" s="3">
        <v>1319</v>
      </c>
      <c r="AL1325" s="163">
        <v>2.2836161720619916</v>
      </c>
    </row>
    <row r="1326" spans="37:38" s="4" customFormat="1">
      <c r="AK1326" s="3">
        <v>1320</v>
      </c>
      <c r="AL1326" s="163">
        <v>2.2844395796611408</v>
      </c>
    </row>
    <row r="1327" spans="37:38" s="4" customFormat="1">
      <c r="AK1327" s="3">
        <v>1321</v>
      </c>
      <c r="AL1327" s="163">
        <v>2.285262281710319</v>
      </c>
    </row>
    <row r="1328" spans="37:38" s="4" customFormat="1">
      <c r="AK1328" s="3">
        <v>1322</v>
      </c>
      <c r="AL1328" s="163">
        <v>2.2860842792522322</v>
      </c>
    </row>
    <row r="1329" spans="37:38" s="4" customFormat="1">
      <c r="AK1329" s="3">
        <v>1323</v>
      </c>
      <c r="AL1329" s="163">
        <v>2.2869055733289008</v>
      </c>
    </row>
    <row r="1330" spans="37:38" s="4" customFormat="1">
      <c r="AK1330" s="3">
        <v>1324</v>
      </c>
      <c r="AL1330" s="163">
        <v>2.2877261649816587</v>
      </c>
    </row>
    <row r="1331" spans="37:38" s="4" customFormat="1">
      <c r="AK1331" s="3">
        <v>1325</v>
      </c>
      <c r="AL1331" s="163">
        <v>2.2885460552511572</v>
      </c>
    </row>
    <row r="1332" spans="37:38" s="4" customFormat="1">
      <c r="AK1332" s="3">
        <v>1326</v>
      </c>
      <c r="AL1332" s="163">
        <v>2.2893652451773621</v>
      </c>
    </row>
    <row r="1333" spans="37:38" s="4" customFormat="1">
      <c r="AK1333" s="3">
        <v>1327</v>
      </c>
      <c r="AL1333" s="163">
        <v>2.2901837357995536</v>
      </c>
    </row>
    <row r="1334" spans="37:38" s="4" customFormat="1">
      <c r="AK1334" s="3">
        <v>1328</v>
      </c>
      <c r="AL1334" s="163">
        <v>2.2910015281563276</v>
      </c>
    </row>
    <row r="1335" spans="37:38" s="4" customFormat="1">
      <c r="AK1335" s="3">
        <v>1329</v>
      </c>
      <c r="AL1335" s="163">
        <v>2.2918186232855975</v>
      </c>
    </row>
    <row r="1336" spans="37:38" s="4" customFormat="1">
      <c r="AK1336" s="3">
        <v>1330</v>
      </c>
      <c r="AL1336" s="163">
        <v>2.292635022224589</v>
      </c>
    </row>
    <row r="1337" spans="37:38" s="4" customFormat="1">
      <c r="AK1337" s="3">
        <v>1331</v>
      </c>
      <c r="AL1337" s="163">
        <v>2.2934507260098487</v>
      </c>
    </row>
    <row r="1338" spans="37:38" s="4" customFormat="1">
      <c r="AK1338" s="3">
        <v>1332</v>
      </c>
      <c r="AL1338" s="163">
        <v>2.2942657356772336</v>
      </c>
    </row>
    <row r="1339" spans="37:38" s="4" customFormat="1">
      <c r="AK1339" s="3">
        <v>1333</v>
      </c>
      <c r="AL1339" s="163">
        <v>2.2950800522619241</v>
      </c>
    </row>
    <row r="1340" spans="37:38" s="4" customFormat="1">
      <c r="AK1340" s="3">
        <v>1334</v>
      </c>
      <c r="AL1340" s="163">
        <v>2.2958936767984102</v>
      </c>
    </row>
    <row r="1341" spans="37:38" s="4" customFormat="1">
      <c r="AK1341" s="3">
        <v>1335</v>
      </c>
      <c r="AL1341" s="163">
        <v>2.2967066103205047</v>
      </c>
    </row>
    <row r="1342" spans="37:38" s="4" customFormat="1">
      <c r="AK1342" s="3">
        <v>1336</v>
      </c>
      <c r="AL1342" s="163">
        <v>2.2975188538613329</v>
      </c>
    </row>
    <row r="1343" spans="37:38" s="4" customFormat="1">
      <c r="AK1343" s="3">
        <v>1337</v>
      </c>
      <c r="AL1343" s="163">
        <v>2.2983304084533405</v>
      </c>
    </row>
    <row r="1344" spans="37:38" s="4" customFormat="1">
      <c r="AK1344" s="3">
        <v>1338</v>
      </c>
      <c r="AL1344" s="163">
        <v>2.2991412751282883</v>
      </c>
    </row>
    <row r="1345" spans="37:38" s="4" customFormat="1">
      <c r="AK1345" s="3">
        <v>1339</v>
      </c>
      <c r="AL1345" s="163">
        <v>2.2999514549172564</v>
      </c>
    </row>
    <row r="1346" spans="37:38" s="4" customFormat="1">
      <c r="AK1346" s="3">
        <v>1340</v>
      </c>
      <c r="AL1346" s="163">
        <v>2.3007609488506411</v>
      </c>
    </row>
    <row r="1347" spans="37:38" s="4" customFormat="1">
      <c r="AK1347" s="3">
        <v>1341</v>
      </c>
      <c r="AL1347" s="163">
        <v>2.3015697579581578</v>
      </c>
    </row>
    <row r="1348" spans="37:38" s="4" customFormat="1">
      <c r="AK1348" s="3">
        <v>1342</v>
      </c>
      <c r="AL1348" s="163">
        <v>2.3023778832688389</v>
      </c>
    </row>
    <row r="1349" spans="37:38" s="4" customFormat="1">
      <c r="AK1349" s="3">
        <v>1343</v>
      </c>
      <c r="AL1349" s="163">
        <v>2.3031853258110373</v>
      </c>
    </row>
    <row r="1350" spans="37:38" s="4" customFormat="1">
      <c r="AK1350" s="3">
        <v>1344</v>
      </c>
      <c r="AL1350" s="163">
        <v>2.3039920866124208</v>
      </c>
    </row>
    <row r="1351" spans="37:38" s="4" customFormat="1">
      <c r="AK1351" s="3">
        <v>1345</v>
      </c>
      <c r="AL1351" s="163">
        <v>2.3047981666999795</v>
      </c>
    </row>
    <row r="1352" spans="37:38" s="4" customFormat="1">
      <c r="AK1352" s="3">
        <v>1346</v>
      </c>
      <c r="AL1352" s="163">
        <v>2.3056035671000203</v>
      </c>
    </row>
    <row r="1353" spans="37:38" s="4" customFormat="1">
      <c r="AK1353" s="3">
        <v>1347</v>
      </c>
      <c r="AL1353" s="163">
        <v>2.3064082888381692</v>
      </c>
    </row>
    <row r="1354" spans="37:38" s="4" customFormat="1">
      <c r="AK1354" s="3">
        <v>1348</v>
      </c>
      <c r="AL1354" s="163">
        <v>2.3072123329393714</v>
      </c>
    </row>
    <row r="1355" spans="37:38" s="4" customFormat="1">
      <c r="AK1355" s="3">
        <v>1349</v>
      </c>
      <c r="AL1355" s="163">
        <v>2.3080157004278936</v>
      </c>
    </row>
    <row r="1356" spans="37:38" s="4" customFormat="1">
      <c r="AK1356" s="3">
        <v>1350</v>
      </c>
      <c r="AL1356" s="163">
        <v>2.3088183923273173</v>
      </c>
    </row>
    <row r="1357" spans="37:38" s="4" customFormat="1">
      <c r="AK1357" s="3">
        <v>1351</v>
      </c>
      <c r="AL1357" s="163">
        <v>2.3096204096605502</v>
      </c>
    </row>
    <row r="1358" spans="37:38" s="4" customFormat="1">
      <c r="AK1358" s="3">
        <v>1352</v>
      </c>
      <c r="AL1358" s="163">
        <v>2.3104217534498144</v>
      </c>
    </row>
    <row r="1359" spans="37:38" s="4" customFormat="1">
      <c r="AK1359" s="3">
        <v>1353</v>
      </c>
      <c r="AL1359" s="163">
        <v>2.3112224247166555</v>
      </c>
    </row>
    <row r="1360" spans="37:38" s="4" customFormat="1">
      <c r="AK1360" s="3">
        <v>1354</v>
      </c>
      <c r="AL1360" s="163">
        <v>2.3120224244819365</v>
      </c>
    </row>
    <row r="1361" spans="37:38" s="4" customFormat="1">
      <c r="AK1361" s="3">
        <v>1355</v>
      </c>
      <c r="AL1361" s="163">
        <v>2.312821753765844</v>
      </c>
    </row>
    <row r="1362" spans="37:38" s="4" customFormat="1">
      <c r="AK1362" s="3">
        <v>1356</v>
      </c>
      <c r="AL1362" s="163">
        <v>2.3136204135878828</v>
      </c>
    </row>
    <row r="1363" spans="37:38" s="4" customFormat="1">
      <c r="AK1363" s="3">
        <v>1357</v>
      </c>
      <c r="AL1363" s="163">
        <v>2.3144184049668808</v>
      </c>
    </row>
    <row r="1364" spans="37:38" s="4" customFormat="1">
      <c r="AK1364" s="3">
        <v>1358</v>
      </c>
      <c r="AL1364" s="163">
        <v>2.3152157289209856</v>
      </c>
    </row>
    <row r="1365" spans="37:38" s="4" customFormat="1">
      <c r="AK1365" s="3">
        <v>1359</v>
      </c>
      <c r="AL1365" s="163">
        <v>2.3160123864676647</v>
      </c>
    </row>
    <row r="1366" spans="37:38" s="4" customFormat="1">
      <c r="AK1366" s="3">
        <v>1360</v>
      </c>
      <c r="AL1366" s="163">
        <v>2.3168083786237106</v>
      </c>
    </row>
    <row r="1367" spans="37:38" s="4" customFormat="1">
      <c r="AK1367" s="3">
        <v>1361</v>
      </c>
      <c r="AL1367" s="163">
        <v>2.3176037064052326</v>
      </c>
    </row>
    <row r="1368" spans="37:38" s="4" customFormat="1">
      <c r="AK1368" s="3">
        <v>1362</v>
      </c>
      <c r="AL1368" s="163">
        <v>2.3183983708276674</v>
      </c>
    </row>
    <row r="1369" spans="37:38" s="4" customFormat="1">
      <c r="AK1369" s="3">
        <v>1363</v>
      </c>
      <c r="AL1369" s="163">
        <v>2.3191923729057682</v>
      </c>
    </row>
    <row r="1370" spans="37:38" s="4" customFormat="1">
      <c r="AK1370" s="3">
        <v>1364</v>
      </c>
      <c r="AL1370" s="163">
        <v>2.3199857136536148</v>
      </c>
    </row>
    <row r="1371" spans="37:38" s="4" customFormat="1">
      <c r="AK1371" s="3">
        <v>1365</v>
      </c>
      <c r="AL1371" s="163">
        <v>2.3207783940846065</v>
      </c>
    </row>
    <row r="1372" spans="37:38" s="4" customFormat="1">
      <c r="AK1372" s="3">
        <v>1366</v>
      </c>
      <c r="AL1372" s="163">
        <v>2.321570415211466</v>
      </c>
    </row>
    <row r="1373" spans="37:38" s="4" customFormat="1">
      <c r="AK1373" s="3">
        <v>1367</v>
      </c>
      <c r="AL1373" s="163">
        <v>2.3223617780462376</v>
      </c>
    </row>
    <row r="1374" spans="37:38" s="4" customFormat="1">
      <c r="AK1374" s="3">
        <v>1368</v>
      </c>
      <c r="AL1374" s="163">
        <v>2.3231524836002917</v>
      </c>
    </row>
    <row r="1375" spans="37:38" s="4" customFormat="1">
      <c r="AK1375" s="3">
        <v>1369</v>
      </c>
      <c r="AL1375" s="163">
        <v>2.3239425328843186</v>
      </c>
    </row>
    <row r="1376" spans="37:38" s="4" customFormat="1">
      <c r="AK1376" s="3">
        <v>1370</v>
      </c>
      <c r="AL1376" s="163">
        <v>2.3247319269083335</v>
      </c>
    </row>
    <row r="1377" spans="37:38" s="4" customFormat="1">
      <c r="AK1377" s="3">
        <v>1371</v>
      </c>
      <c r="AL1377" s="163">
        <v>2.325520666681673</v>
      </c>
    </row>
    <row r="1378" spans="37:38" s="4" customFormat="1">
      <c r="AK1378" s="3">
        <v>1372</v>
      </c>
      <c r="AL1378" s="163">
        <v>2.3263087532129996</v>
      </c>
    </row>
    <row r="1379" spans="37:38" s="4" customFormat="1">
      <c r="AK1379" s="3">
        <v>1373</v>
      </c>
      <c r="AL1379" s="163">
        <v>2.3270961875102985</v>
      </c>
    </row>
    <row r="1380" spans="37:38" s="4" customFormat="1">
      <c r="AK1380" s="3">
        <v>1374</v>
      </c>
      <c r="AL1380" s="163">
        <v>2.3278829705808808</v>
      </c>
    </row>
    <row r="1381" spans="37:38" s="4" customFormat="1">
      <c r="AK1381" s="3">
        <v>1375</v>
      </c>
      <c r="AL1381" s="163">
        <v>2.3286691034313769</v>
      </c>
    </row>
    <row r="1382" spans="37:38" s="4" customFormat="1">
      <c r="AK1382" s="3">
        <v>1376</v>
      </c>
      <c r="AL1382" s="163">
        <v>2.3294545870677474</v>
      </c>
    </row>
    <row r="1383" spans="37:38" s="4" customFormat="1">
      <c r="AK1383" s="3">
        <v>1377</v>
      </c>
      <c r="AL1383" s="163">
        <v>2.3302394224952727</v>
      </c>
    </row>
    <row r="1384" spans="37:38" s="4" customFormat="1">
      <c r="AK1384" s="3">
        <v>1378</v>
      </c>
      <c r="AL1384" s="163">
        <v>2.3310236107185625</v>
      </c>
    </row>
    <row r="1385" spans="37:38" s="4" customFormat="1">
      <c r="AK1385" s="3">
        <v>1379</v>
      </c>
      <c r="AL1385" s="163">
        <v>2.331807152741546</v>
      </c>
    </row>
    <row r="1386" spans="37:38" s="4" customFormat="1">
      <c r="AK1386" s="3">
        <v>1380</v>
      </c>
      <c r="AL1386" s="163">
        <v>2.3325900495674827</v>
      </c>
    </row>
    <row r="1387" spans="37:38" s="4" customFormat="1">
      <c r="AK1387" s="3">
        <v>1381</v>
      </c>
      <c r="AL1387" s="163">
        <v>2.3333723021989528</v>
      </c>
    </row>
    <row r="1388" spans="37:38" s="4" customFormat="1">
      <c r="AK1388" s="3">
        <v>1382</v>
      </c>
      <c r="AL1388" s="163">
        <v>2.3341539116378667</v>
      </c>
    </row>
    <row r="1389" spans="37:38" s="4" customFormat="1">
      <c r="AK1389" s="3">
        <v>1383</v>
      </c>
      <c r="AL1389" s="163">
        <v>2.334934878885456</v>
      </c>
    </row>
    <row r="1390" spans="37:38" s="4" customFormat="1">
      <c r="AK1390" s="3">
        <v>1384</v>
      </c>
      <c r="AL1390" s="163">
        <v>2.3357152049422805</v>
      </c>
    </row>
    <row r="1391" spans="37:38" s="4" customFormat="1">
      <c r="AK1391" s="3">
        <v>1385</v>
      </c>
      <c r="AL1391" s="163">
        <v>2.3364948908082255</v>
      </c>
    </row>
    <row r="1392" spans="37:38" s="4" customFormat="1">
      <c r="AK1392" s="3">
        <v>1386</v>
      </c>
      <c r="AL1392" s="163">
        <v>2.3372739374825038</v>
      </c>
    </row>
    <row r="1393" spans="37:38" s="4" customFormat="1">
      <c r="AK1393" s="3">
        <v>1387</v>
      </c>
      <c r="AL1393" s="163">
        <v>2.3380523459636513</v>
      </c>
    </row>
    <row r="1394" spans="37:38" s="4" customFormat="1">
      <c r="AK1394" s="3">
        <v>1388</v>
      </c>
      <c r="AL1394" s="163">
        <v>2.3388301172495325</v>
      </c>
    </row>
    <row r="1395" spans="37:38" s="4" customFormat="1">
      <c r="AK1395" s="3">
        <v>1389</v>
      </c>
      <c r="AL1395" s="163">
        <v>2.3396072523373399</v>
      </c>
    </row>
    <row r="1396" spans="37:38" s="4" customFormat="1">
      <c r="AK1396" s="3">
        <v>1390</v>
      </c>
      <c r="AL1396" s="163">
        <v>2.3403837522235902</v>
      </c>
    </row>
    <row r="1397" spans="37:38" s="4" customFormat="1">
      <c r="AK1397" s="3">
        <v>1391</v>
      </c>
      <c r="AL1397" s="163">
        <v>2.3411596179041303</v>
      </c>
    </row>
    <row r="1398" spans="37:38" s="4" customFormat="1">
      <c r="AK1398" s="3">
        <v>1392</v>
      </c>
      <c r="AL1398" s="163">
        <v>2.3419348503741304</v>
      </c>
    </row>
    <row r="1399" spans="37:38" s="4" customFormat="1">
      <c r="AK1399" s="3">
        <v>1393</v>
      </c>
      <c r="AL1399" s="163">
        <v>2.3427094506280923</v>
      </c>
    </row>
    <row r="1400" spans="37:38" s="4" customFormat="1">
      <c r="AK1400" s="3">
        <v>1394</v>
      </c>
      <c r="AL1400" s="163">
        <v>2.3434834196598429</v>
      </c>
    </row>
    <row r="1401" spans="37:38" s="4" customFormat="1">
      <c r="AK1401" s="3">
        <v>1395</v>
      </c>
      <c r="AL1401" s="163">
        <v>2.3442567584625373</v>
      </c>
    </row>
    <row r="1402" spans="37:38" s="4" customFormat="1">
      <c r="AK1402" s="3">
        <v>1396</v>
      </c>
      <c r="AL1402" s="163">
        <v>2.3450294680286592</v>
      </c>
    </row>
    <row r="1403" spans="37:38" s="4" customFormat="1">
      <c r="AK1403" s="3">
        <v>1397</v>
      </c>
      <c r="AL1403" s="163">
        <v>2.3458015493500204</v>
      </c>
    </row>
    <row r="1404" spans="37:38" s="4" customFormat="1">
      <c r="AK1404" s="3">
        <v>1398</v>
      </c>
      <c r="AL1404" s="163">
        <v>2.3465730034177601</v>
      </c>
    </row>
    <row r="1405" spans="37:38" s="4" customFormat="1">
      <c r="AK1405" s="3">
        <v>1399</v>
      </c>
      <c r="AL1405" s="163">
        <v>2.3473438312223482</v>
      </c>
    </row>
    <row r="1406" spans="37:38" s="4" customFormat="1">
      <c r="AK1406" s="3">
        <v>1400</v>
      </c>
      <c r="AL1406" s="163">
        <v>2.3481140337535806</v>
      </c>
    </row>
    <row r="1407" spans="37:38" s="4" customFormat="1">
      <c r="AK1407" s="3">
        <v>1401</v>
      </c>
      <c r="AL1407" s="163">
        <v>2.3488836120005852</v>
      </c>
    </row>
    <row r="1408" spans="37:38" s="4" customFormat="1">
      <c r="AK1408" s="3">
        <v>1402</v>
      </c>
      <c r="AL1408" s="163">
        <v>2.3496525669518156</v>
      </c>
    </row>
    <row r="1409" spans="37:38" s="4" customFormat="1">
      <c r="AK1409" s="3">
        <v>1403</v>
      </c>
      <c r="AL1409" s="163">
        <v>2.3504208995950582</v>
      </c>
    </row>
    <row r="1410" spans="37:38" s="4" customFormat="1">
      <c r="AK1410" s="3">
        <v>1404</v>
      </c>
      <c r="AL1410" s="163">
        <v>2.3511886109174251</v>
      </c>
    </row>
    <row r="1411" spans="37:38" s="4" customFormat="1">
      <c r="AK1411" s="3">
        <v>1405</v>
      </c>
      <c r="AL1411" s="163">
        <v>2.351955701905363</v>
      </c>
    </row>
    <row r="1412" spans="37:38" s="4" customFormat="1">
      <c r="AK1412" s="3">
        <v>1406</v>
      </c>
      <c r="AL1412" s="163">
        <v>2.3527221735446422</v>
      </c>
    </row>
    <row r="1413" spans="37:38" s="4" customFormat="1">
      <c r="AK1413" s="3">
        <v>1407</v>
      </c>
      <c r="AL1413" s="163">
        <v>2.3534880268203704</v>
      </c>
    </row>
    <row r="1414" spans="37:38" s="4" customFormat="1">
      <c r="AK1414" s="3">
        <v>1408</v>
      </c>
      <c r="AL1414" s="163">
        <v>2.3542532627169774</v>
      </c>
    </row>
    <row r="1415" spans="37:38" s="4" customFormat="1">
      <c r="AK1415" s="3">
        <v>1409</v>
      </c>
      <c r="AL1415" s="163">
        <v>2.3550178822182311</v>
      </c>
    </row>
    <row r="1416" spans="37:38" s="4" customFormat="1">
      <c r="AK1416" s="3">
        <v>1410</v>
      </c>
      <c r="AL1416" s="163">
        <v>2.355781886307224</v>
      </c>
    </row>
    <row r="1417" spans="37:38" s="4" customFormat="1">
      <c r="AK1417" s="3">
        <v>1411</v>
      </c>
      <c r="AL1417" s="163">
        <v>2.3565452759663836</v>
      </c>
    </row>
    <row r="1418" spans="37:38" s="4" customFormat="1">
      <c r="AK1418" s="3">
        <v>1412</v>
      </c>
      <c r="AL1418" s="163">
        <v>2.3573080521774656</v>
      </c>
    </row>
    <row r="1419" spans="37:38" s="4" customFormat="1">
      <c r="AK1419" s="3">
        <v>1413</v>
      </c>
      <c r="AL1419" s="163">
        <v>2.3580702159215581</v>
      </c>
    </row>
    <row r="1420" spans="37:38" s="4" customFormat="1">
      <c r="AK1420" s="3">
        <v>1414</v>
      </c>
      <c r="AL1420" s="163">
        <v>2.3588317681790789</v>
      </c>
    </row>
    <row r="1421" spans="37:38" s="4" customFormat="1">
      <c r="AK1421" s="3">
        <v>1415</v>
      </c>
      <c r="AL1421" s="163">
        <v>2.3595927099297813</v>
      </c>
    </row>
    <row r="1422" spans="37:38" s="4" customFormat="1">
      <c r="AK1422" s="3">
        <v>1416</v>
      </c>
      <c r="AL1422" s="163">
        <v>2.3603530421527457</v>
      </c>
    </row>
    <row r="1423" spans="37:38" s="4" customFormat="1">
      <c r="AK1423" s="3">
        <v>1417</v>
      </c>
      <c r="AL1423" s="163">
        <v>2.3611127658263875</v>
      </c>
    </row>
    <row r="1424" spans="37:38" s="4" customFormat="1">
      <c r="AK1424" s="3">
        <v>1418</v>
      </c>
      <c r="AL1424" s="163">
        <v>2.3618718819284514</v>
      </c>
    </row>
    <row r="1425" spans="37:38" s="4" customFormat="1">
      <c r="AK1425" s="3">
        <v>1419</v>
      </c>
      <c r="AL1425" s="163">
        <v>2.3626303914360181</v>
      </c>
    </row>
    <row r="1426" spans="37:38" s="4" customFormat="1">
      <c r="AK1426" s="3">
        <v>1420</v>
      </c>
      <c r="AL1426" s="163">
        <v>2.3633882953254965</v>
      </c>
    </row>
    <row r="1427" spans="37:38" s="4" customFormat="1">
      <c r="AK1427" s="3">
        <v>1421</v>
      </c>
      <c r="AL1427" s="163">
        <v>2.3641455945726313</v>
      </c>
    </row>
    <row r="1428" spans="37:38" s="4" customFormat="1">
      <c r="AK1428" s="3">
        <v>1422</v>
      </c>
      <c r="AL1428" s="163">
        <v>2.3649022901524974</v>
      </c>
    </row>
    <row r="1429" spans="37:38" s="4" customFormat="1">
      <c r="AK1429" s="3">
        <v>1423</v>
      </c>
      <c r="AL1429" s="163">
        <v>2.365658383039507</v>
      </c>
    </row>
    <row r="1430" spans="37:38" s="4" customFormat="1">
      <c r="AK1430" s="3">
        <v>1424</v>
      </c>
      <c r="AL1430" s="163">
        <v>2.3664138742073995</v>
      </c>
    </row>
    <row r="1431" spans="37:38" s="4" customFormat="1">
      <c r="AK1431" s="3">
        <v>1425</v>
      </c>
      <c r="AL1431" s="163">
        <v>2.3671687646292527</v>
      </c>
    </row>
    <row r="1432" spans="37:38" s="4" customFormat="1">
      <c r="AK1432" s="3">
        <v>1426</v>
      </c>
      <c r="AL1432" s="163">
        <v>2.3679230552774753</v>
      </c>
    </row>
    <row r="1433" spans="37:38" s="4" customFormat="1">
      <c r="AK1433" s="3">
        <v>1427</v>
      </c>
      <c r="AL1433" s="163">
        <v>2.3686767471238102</v>
      </c>
    </row>
    <row r="1434" spans="37:38" s="4" customFormat="1">
      <c r="AK1434" s="3">
        <v>1428</v>
      </c>
      <c r="AL1434" s="163">
        <v>2.369429841139334</v>
      </c>
    </row>
    <row r="1435" spans="37:38" s="4" customFormat="1">
      <c r="AK1435" s="3">
        <v>1429</v>
      </c>
      <c r="AL1435" s="163">
        <v>2.3701823382944593</v>
      </c>
    </row>
    <row r="1436" spans="37:38" s="4" customFormat="1">
      <c r="AK1436" s="3">
        <v>1430</v>
      </c>
      <c r="AL1436" s="163">
        <v>2.3709342395589297</v>
      </c>
    </row>
    <row r="1437" spans="37:38" s="4" customFormat="1">
      <c r="AK1437" s="3">
        <v>1431</v>
      </c>
      <c r="AL1437" s="163">
        <v>2.3716855459018258</v>
      </c>
    </row>
    <row r="1438" spans="37:38" s="4" customFormat="1">
      <c r="AK1438" s="3">
        <v>1432</v>
      </c>
      <c r="AL1438" s="163">
        <v>2.3724362582915615</v>
      </c>
    </row>
    <row r="1439" spans="37:38" s="4" customFormat="1">
      <c r="AK1439" s="3">
        <v>1433</v>
      </c>
      <c r="AL1439" s="163">
        <v>2.3731863776958857</v>
      </c>
    </row>
    <row r="1440" spans="37:38" s="4" customFormat="1">
      <c r="AK1440" s="3">
        <v>1434</v>
      </c>
      <c r="AL1440" s="163">
        <v>2.3739359050818836</v>
      </c>
    </row>
    <row r="1441" spans="37:38" s="4" customFormat="1">
      <c r="AK1441" s="3">
        <v>1435</v>
      </c>
      <c r="AL1441" s="163">
        <v>2.3746848414159731</v>
      </c>
    </row>
    <row r="1442" spans="37:38" s="4" customFormat="1">
      <c r="AK1442" s="3">
        <v>1436</v>
      </c>
      <c r="AL1442" s="163">
        <v>2.3754331876639108</v>
      </c>
    </row>
    <row r="1443" spans="37:38" s="4" customFormat="1">
      <c r="AK1443" s="3">
        <v>1437</v>
      </c>
      <c r="AL1443" s="163">
        <v>2.3761809447907849</v>
      </c>
    </row>
    <row r="1444" spans="37:38" s="4" customFormat="1">
      <c r="AK1444" s="3">
        <v>1438</v>
      </c>
      <c r="AL1444" s="163">
        <v>2.3769281137610232</v>
      </c>
    </row>
    <row r="1445" spans="37:38" s="4" customFormat="1">
      <c r="AK1445" s="3">
        <v>1439</v>
      </c>
      <c r="AL1445" s="163">
        <v>2.3776746955383863</v>
      </c>
    </row>
    <row r="1446" spans="37:38" s="4" customFormat="1">
      <c r="AK1446" s="3">
        <v>1440</v>
      </c>
      <c r="AL1446" s="163">
        <v>2.3784206910859726</v>
      </c>
    </row>
    <row r="1447" spans="37:38" s="4" customFormat="1">
      <c r="AK1447" s="3">
        <v>1441</v>
      </c>
      <c r="AL1447" s="163">
        <v>2.379166101366216</v>
      </c>
    </row>
    <row r="1448" spans="37:38" s="4" customFormat="1">
      <c r="AK1448" s="3">
        <v>1442</v>
      </c>
      <c r="AL1448" s="163">
        <v>2.3799109273408892</v>
      </c>
    </row>
    <row r="1449" spans="37:38" s="4" customFormat="1">
      <c r="AK1449" s="3">
        <v>1443</v>
      </c>
      <c r="AL1449" s="163">
        <v>2.3806551699710963</v>
      </c>
    </row>
    <row r="1450" spans="37:38" s="4" customFormat="1">
      <c r="AK1450" s="3">
        <v>1444</v>
      </c>
      <c r="AL1450" s="163">
        <v>2.3813988302172833</v>
      </c>
    </row>
    <row r="1451" spans="37:38" s="4" customFormat="1">
      <c r="AK1451" s="3">
        <v>1445</v>
      </c>
      <c r="AL1451" s="163">
        <v>2.3821419090392313</v>
      </c>
    </row>
    <row r="1452" spans="37:38" s="4" customFormat="1">
      <c r="AK1452" s="3">
        <v>1446</v>
      </c>
      <c r="AL1452" s="163">
        <v>2.3828844073960593</v>
      </c>
    </row>
    <row r="1453" spans="37:38" s="4" customFormat="1">
      <c r="AK1453" s="3">
        <v>1447</v>
      </c>
      <c r="AL1453" s="163">
        <v>2.3836263262462221</v>
      </c>
    </row>
    <row r="1454" spans="37:38" s="4" customFormat="1">
      <c r="AK1454" s="3">
        <v>1448</v>
      </c>
      <c r="AL1454" s="163">
        <v>2.3843676665475129</v>
      </c>
    </row>
    <row r="1455" spans="37:38" s="4" customFormat="1">
      <c r="AK1455" s="3">
        <v>1449</v>
      </c>
      <c r="AL1455" s="163">
        <v>2.3851084292570639</v>
      </c>
    </row>
    <row r="1456" spans="37:38" s="4" customFormat="1">
      <c r="AK1456" s="3">
        <v>1450</v>
      </c>
      <c r="AL1456" s="163">
        <v>2.3858486153313434</v>
      </c>
    </row>
    <row r="1457" spans="37:38" s="4" customFormat="1">
      <c r="AK1457" s="3">
        <v>1451</v>
      </c>
      <c r="AL1457" s="163">
        <v>2.3865882257261579</v>
      </c>
    </row>
    <row r="1458" spans="37:38" s="4" customFormat="1">
      <c r="AK1458" s="3">
        <v>1452</v>
      </c>
      <c r="AL1458" s="163">
        <v>2.387327261396655</v>
      </c>
    </row>
    <row r="1459" spans="37:38" s="4" customFormat="1">
      <c r="AK1459" s="3">
        <v>1453</v>
      </c>
      <c r="AL1459" s="163">
        <v>2.3880657232973155</v>
      </c>
    </row>
    <row r="1460" spans="37:38" s="4" customFormat="1">
      <c r="AK1460" s="3">
        <v>1454</v>
      </c>
      <c r="AL1460" s="163">
        <v>2.3888036123819654</v>
      </c>
    </row>
    <row r="1461" spans="37:38" s="4" customFormat="1">
      <c r="AK1461" s="3">
        <v>1455</v>
      </c>
      <c r="AL1461" s="163">
        <v>2.3895409296037635</v>
      </c>
    </row>
    <row r="1462" spans="37:38" s="4" customFormat="1">
      <c r="AK1462" s="3">
        <v>1456</v>
      </c>
      <c r="AL1462" s="163">
        <v>2.3902776759152116</v>
      </c>
    </row>
    <row r="1463" spans="37:38" s="4" customFormat="1">
      <c r="AK1463" s="3">
        <v>1457</v>
      </c>
      <c r="AL1463" s="163">
        <v>2.3910138522681486</v>
      </c>
    </row>
    <row r="1464" spans="37:38" s="4" customFormat="1">
      <c r="AK1464" s="3">
        <v>1458</v>
      </c>
      <c r="AL1464" s="163">
        <v>2.391749459613755</v>
      </c>
    </row>
    <row r="1465" spans="37:38" s="4" customFormat="1">
      <c r="AK1465" s="3">
        <v>1459</v>
      </c>
      <c r="AL1465" s="163">
        <v>2.3924844989025473</v>
      </c>
    </row>
    <row r="1466" spans="37:38" s="4" customFormat="1">
      <c r="AK1466" s="3">
        <v>1460</v>
      </c>
      <c r="AL1466" s="163">
        <v>2.3932189710843859</v>
      </c>
    </row>
    <row r="1467" spans="37:38" s="4" customFormat="1">
      <c r="AK1467" s="3">
        <v>1461</v>
      </c>
      <c r="AL1467" s="163">
        <v>2.3939528771084673</v>
      </c>
    </row>
    <row r="1468" spans="37:38" s="4" customFormat="1">
      <c r="AK1468" s="3">
        <v>1462</v>
      </c>
      <c r="AL1468" s="163">
        <v>2.3946862179233319</v>
      </c>
    </row>
    <row r="1469" spans="37:38" s="4" customFormat="1">
      <c r="AK1469" s="3">
        <v>1463</v>
      </c>
      <c r="AL1469" s="163">
        <v>2.3954189944768571</v>
      </c>
    </row>
    <row r="1470" spans="37:38" s="4" customFormat="1">
      <c r="AK1470" s="3">
        <v>1464</v>
      </c>
      <c r="AL1470" s="163">
        <v>2.3961512077162639</v>
      </c>
    </row>
    <row r="1471" spans="37:38" s="4" customFormat="1">
      <c r="AK1471" s="3">
        <v>1465</v>
      </c>
      <c r="AL1471" s="163">
        <v>2.3968828585881101</v>
      </c>
    </row>
    <row r="1472" spans="37:38" s="4" customFormat="1">
      <c r="AK1472" s="3">
        <v>1466</v>
      </c>
      <c r="AL1472" s="163">
        <v>2.3976139480382992</v>
      </c>
    </row>
    <row r="1473" spans="37:38" s="4" customFormat="1">
      <c r="AK1473" s="3">
        <v>1467</v>
      </c>
      <c r="AL1473" s="163">
        <v>2.3983444770120701</v>
      </c>
    </row>
    <row r="1474" spans="37:38" s="4" customFormat="1">
      <c r="AK1474" s="3">
        <v>1468</v>
      </c>
      <c r="AL1474" s="163">
        <v>2.3990744464540095</v>
      </c>
    </row>
    <row r="1475" spans="37:38" s="4" customFormat="1">
      <c r="AK1475" s="3">
        <v>1469</v>
      </c>
      <c r="AL1475" s="163">
        <v>2.3998038573080378</v>
      </c>
    </row>
    <row r="1476" spans="37:38" s="4" customFormat="1">
      <c r="AK1476" s="3">
        <v>1470</v>
      </c>
      <c r="AL1476" s="163">
        <v>2.400532710517425</v>
      </c>
    </row>
    <row r="1477" spans="37:38" s="4" customFormat="1">
      <c r="AK1477" s="3">
        <v>1471</v>
      </c>
      <c r="AL1477" s="163">
        <v>2.4012610070247766</v>
      </c>
    </row>
    <row r="1478" spans="37:38" s="4" customFormat="1">
      <c r="AK1478" s="3">
        <v>1472</v>
      </c>
      <c r="AL1478" s="163">
        <v>2.401988747772045</v>
      </c>
    </row>
    <row r="1479" spans="37:38" s="4" customFormat="1">
      <c r="AK1479" s="3">
        <v>1473</v>
      </c>
      <c r="AL1479" s="163">
        <v>2.4027159337005202</v>
      </c>
    </row>
    <row r="1480" spans="37:38" s="4" customFormat="1">
      <c r="AK1480" s="3">
        <v>1474</v>
      </c>
      <c r="AL1480" s="163">
        <v>2.4034425657508365</v>
      </c>
    </row>
    <row r="1481" spans="37:38" s="4" customFormat="1">
      <c r="AK1481" s="3">
        <v>1475</v>
      </c>
      <c r="AL1481" s="163">
        <v>2.4041686448629727</v>
      </c>
    </row>
    <row r="1482" spans="37:38" s="4" customFormat="1">
      <c r="AK1482" s="3">
        <v>1476</v>
      </c>
      <c r="AL1482" s="163">
        <v>2.4048941719762462</v>
      </c>
    </row>
    <row r="1483" spans="37:38" s="4" customFormat="1">
      <c r="AK1483" s="3">
        <v>1477</v>
      </c>
      <c r="AL1483" s="163">
        <v>2.4056191480293223</v>
      </c>
    </row>
    <row r="1484" spans="37:38" s="4" customFormat="1">
      <c r="AK1484" s="3">
        <v>1478</v>
      </c>
      <c r="AL1484" s="163">
        <v>2.406343573960203</v>
      </c>
    </row>
    <row r="1485" spans="37:38" s="4" customFormat="1">
      <c r="AK1485" s="3">
        <v>1479</v>
      </c>
      <c r="AL1485" s="163">
        <v>2.4070674507062404</v>
      </c>
    </row>
    <row r="1486" spans="37:38" s="4" customFormat="1">
      <c r="AK1486" s="3">
        <v>1480</v>
      </c>
      <c r="AL1486" s="163">
        <v>2.4077907792041255</v>
      </c>
    </row>
    <row r="1487" spans="37:38" s="4" customFormat="1">
      <c r="AK1487" s="3">
        <v>1481</v>
      </c>
      <c r="AL1487" s="163">
        <v>2.4085135603898955</v>
      </c>
    </row>
    <row r="1488" spans="37:38" s="4" customFormat="1">
      <c r="AK1488" s="3">
        <v>1482</v>
      </c>
      <c r="AL1488" s="163">
        <v>2.4092357951989265</v>
      </c>
    </row>
    <row r="1489" spans="37:38" s="4" customFormat="1">
      <c r="AK1489" s="3">
        <v>1483</v>
      </c>
      <c r="AL1489" s="163">
        <v>2.4099574845659473</v>
      </c>
    </row>
    <row r="1490" spans="37:38" s="4" customFormat="1">
      <c r="AK1490" s="3">
        <v>1484</v>
      </c>
      <c r="AL1490" s="163">
        <v>2.4106786294250209</v>
      </c>
    </row>
    <row r="1491" spans="37:38" s="4" customFormat="1">
      <c r="AK1491" s="3">
        <v>1485</v>
      </c>
      <c r="AL1491" s="163">
        <v>2.4113992307095637</v>
      </c>
    </row>
    <row r="1492" spans="37:38" s="4" customFormat="1">
      <c r="AK1492" s="3">
        <v>1486</v>
      </c>
      <c r="AL1492" s="163">
        <v>2.4121192893523298</v>
      </c>
    </row>
    <row r="1493" spans="37:38" s="4" customFormat="1">
      <c r="AK1493" s="3">
        <v>1487</v>
      </c>
      <c r="AL1493" s="163">
        <v>2.4128388062854222</v>
      </c>
    </row>
    <row r="1494" spans="37:38" s="4" customFormat="1">
      <c r="AK1494" s="3">
        <v>1488</v>
      </c>
      <c r="AL1494" s="163">
        <v>2.4135577824402863</v>
      </c>
    </row>
    <row r="1495" spans="37:38" s="4" customFormat="1">
      <c r="AK1495" s="3">
        <v>1489</v>
      </c>
      <c r="AL1495" s="163">
        <v>2.4142762187477143</v>
      </c>
    </row>
    <row r="1496" spans="37:38" s="4" customFormat="1">
      <c r="AK1496" s="3">
        <v>1490</v>
      </c>
      <c r="AL1496" s="163">
        <v>2.4149941161378425</v>
      </c>
    </row>
    <row r="1497" spans="37:38" s="4" customFormat="1">
      <c r="AK1497" s="3">
        <v>1491</v>
      </c>
      <c r="AL1497" s="163">
        <v>2.4157114755401543</v>
      </c>
    </row>
    <row r="1498" spans="37:38" s="4" customFormat="1">
      <c r="AK1498" s="3">
        <v>1492</v>
      </c>
      <c r="AL1498" s="163">
        <v>2.416428297883475</v>
      </c>
    </row>
    <row r="1499" spans="37:38" s="4" customFormat="1">
      <c r="AK1499" s="3">
        <v>1493</v>
      </c>
      <c r="AL1499" s="163">
        <v>2.4171445840959813</v>
      </c>
    </row>
    <row r="1500" spans="37:38" s="4" customFormat="1">
      <c r="AK1500" s="3">
        <v>1494</v>
      </c>
      <c r="AL1500" s="163">
        <v>2.4178603351051908</v>
      </c>
    </row>
    <row r="1501" spans="37:38" s="4" customFormat="1">
      <c r="AK1501" s="3">
        <v>1495</v>
      </c>
      <c r="AL1501" s="163">
        <v>2.418575551837971</v>
      </c>
    </row>
    <row r="1502" spans="37:38" s="4" customFormat="1">
      <c r="AK1502" s="3">
        <v>1496</v>
      </c>
      <c r="AL1502" s="163">
        <v>2.4192902352205321</v>
      </c>
    </row>
    <row r="1503" spans="37:38" s="4" customFormat="1">
      <c r="AK1503" s="3">
        <v>1497</v>
      </c>
      <c r="AL1503" s="163">
        <v>2.4200043861784351</v>
      </c>
    </row>
    <row r="1504" spans="37:38" s="4" customFormat="1">
      <c r="AK1504" s="3">
        <v>1498</v>
      </c>
      <c r="AL1504" s="163">
        <v>2.4207180056365845</v>
      </c>
    </row>
    <row r="1505" spans="37:38" s="4" customFormat="1">
      <c r="AK1505" s="3">
        <v>1499</v>
      </c>
      <c r="AL1505" s="163">
        <v>2.421431094519233</v>
      </c>
    </row>
    <row r="1506" spans="37:38" s="4" customFormat="1">
      <c r="AK1506" s="3">
        <v>1500</v>
      </c>
      <c r="AL1506" s="163">
        <v>2.422143653749981</v>
      </c>
    </row>
    <row r="1507" spans="37:38" s="4" customFormat="1">
      <c r="AK1507" s="3">
        <v>1501</v>
      </c>
      <c r="AL1507" s="163">
        <v>2.4228556842517741</v>
      </c>
    </row>
    <row r="1508" spans="37:38" s="4" customFormat="1">
      <c r="AK1508" s="3">
        <v>1502</v>
      </c>
      <c r="AL1508" s="163">
        <v>2.4235671869469062</v>
      </c>
    </row>
    <row r="1509" spans="37:38" s="4" customFormat="1">
      <c r="AK1509" s="3">
        <v>1503</v>
      </c>
      <c r="AL1509" s="163">
        <v>2.4242781627570213</v>
      </c>
    </row>
    <row r="1510" spans="37:38" s="4" customFormat="1">
      <c r="AK1510" s="3">
        <v>1504</v>
      </c>
      <c r="AL1510" s="163">
        <v>2.4249886126031086</v>
      </c>
    </row>
    <row r="1511" spans="37:38" s="4" customFormat="1">
      <c r="AK1511" s="3">
        <v>1505</v>
      </c>
      <c r="AL1511" s="163">
        <v>2.4256985374055051</v>
      </c>
    </row>
    <row r="1512" spans="37:38" s="4" customFormat="1">
      <c r="AK1512" s="3">
        <v>1506</v>
      </c>
      <c r="AL1512" s="163">
        <v>2.4264079380838979</v>
      </c>
    </row>
    <row r="1513" spans="37:38" s="4" customFormat="1">
      <c r="AK1513" s="3">
        <v>1507</v>
      </c>
      <c r="AL1513" s="163">
        <v>2.4271168155573211</v>
      </c>
    </row>
    <row r="1514" spans="37:38" s="4" customFormat="1">
      <c r="AK1514" s="3">
        <v>1508</v>
      </c>
      <c r="AL1514" s="163">
        <v>2.4278251707441574</v>
      </c>
    </row>
    <row r="1515" spans="37:38" s="4" customFormat="1">
      <c r="AK1515" s="3">
        <v>1509</v>
      </c>
      <c r="AL1515" s="163">
        <v>2.4285330045621398</v>
      </c>
    </row>
    <row r="1516" spans="37:38" s="4" customFormat="1">
      <c r="AK1516" s="3">
        <v>1510</v>
      </c>
      <c r="AL1516" s="163">
        <v>2.4292403179283482</v>
      </c>
    </row>
    <row r="1517" spans="37:38" s="4" customFormat="1">
      <c r="AK1517" s="3">
        <v>1511</v>
      </c>
      <c r="AL1517" s="163">
        <v>2.4299471117592129</v>
      </c>
    </row>
    <row r="1518" spans="37:38" s="4" customFormat="1">
      <c r="AK1518" s="3">
        <v>1512</v>
      </c>
      <c r="AL1518" s="163">
        <v>2.430653386970512</v>
      </c>
    </row>
    <row r="1519" spans="37:38" s="4" customFormat="1">
      <c r="AK1519" s="3">
        <v>1513</v>
      </c>
      <c r="AL1519" s="163">
        <v>2.4313591444773772</v>
      </c>
    </row>
    <row r="1520" spans="37:38" s="4" customFormat="1">
      <c r="AK1520" s="3">
        <v>1514</v>
      </c>
      <c r="AL1520" s="163">
        <v>2.4320643851942836</v>
      </c>
    </row>
    <row r="1521" spans="37:38" s="4" customFormat="1">
      <c r="AK1521" s="3">
        <v>1515</v>
      </c>
      <c r="AL1521" s="163">
        <v>2.4327691100350615</v>
      </c>
    </row>
    <row r="1522" spans="37:38" s="4" customFormat="1">
      <c r="AK1522" s="3">
        <v>1516</v>
      </c>
      <c r="AL1522" s="163">
        <v>2.4334733199128888</v>
      </c>
    </row>
    <row r="1523" spans="37:38" s="4" customFormat="1">
      <c r="AK1523" s="3">
        <v>1517</v>
      </c>
      <c r="AL1523" s="163">
        <v>2.4341770157402931</v>
      </c>
    </row>
    <row r="1524" spans="37:38" s="4" customFormat="1">
      <c r="AK1524" s="3">
        <v>1518</v>
      </c>
      <c r="AL1524" s="163">
        <v>2.4348801984291546</v>
      </c>
    </row>
    <row r="1525" spans="37:38" s="4" customFormat="1">
      <c r="AK1525" s="3">
        <v>1519</v>
      </c>
      <c r="AL1525" s="163">
        <v>2.4355828688907013</v>
      </c>
    </row>
    <row r="1526" spans="37:38" s="4" customFormat="1">
      <c r="AK1526" s="3">
        <v>1520</v>
      </c>
      <c r="AL1526" s="163">
        <v>2.4362850280355155</v>
      </c>
    </row>
    <row r="1527" spans="37:38" s="4" customFormat="1">
      <c r="AK1527" s="3">
        <v>1521</v>
      </c>
      <c r="AL1527" s="163">
        <v>2.4369866767735271</v>
      </c>
    </row>
    <row r="1528" spans="37:38" s="4" customFormat="1">
      <c r="AK1528" s="3">
        <v>1522</v>
      </c>
      <c r="AL1528" s="163">
        <v>2.4376878160140194</v>
      </c>
    </row>
    <row r="1529" spans="37:38" s="4" customFormat="1">
      <c r="AK1529" s="3">
        <v>1523</v>
      </c>
      <c r="AL1529" s="163">
        <v>2.4383884466656256</v>
      </c>
    </row>
    <row r="1530" spans="37:38" s="4" customFormat="1">
      <c r="AK1530" s="3">
        <v>1524</v>
      </c>
      <c r="AL1530" s="163">
        <v>2.4390885696363318</v>
      </c>
    </row>
    <row r="1531" spans="37:38" s="4" customFormat="1">
      <c r="AK1531" s="3">
        <v>1525</v>
      </c>
      <c r="AL1531" s="163">
        <v>2.4397881858334727</v>
      </c>
    </row>
    <row r="1532" spans="37:38" s="4" customFormat="1">
      <c r="AK1532" s="3">
        <v>1526</v>
      </c>
      <c r="AL1532" s="163">
        <v>2.4404872961637407</v>
      </c>
    </row>
    <row r="1533" spans="37:38" s="4" customFormat="1">
      <c r="AK1533" s="3">
        <v>1527</v>
      </c>
      <c r="AL1533" s="163">
        <v>2.4411859015331738</v>
      </c>
    </row>
    <row r="1534" spans="37:38" s="4" customFormat="1">
      <c r="AK1534" s="3">
        <v>1528</v>
      </c>
      <c r="AL1534" s="163">
        <v>2.4418840028471669</v>
      </c>
    </row>
    <row r="1535" spans="37:38" s="4" customFormat="1">
      <c r="AK1535" s="3">
        <v>1529</v>
      </c>
      <c r="AL1535" s="163">
        <v>2.4425816010104646</v>
      </c>
    </row>
    <row r="1536" spans="37:38" s="4" customFormat="1">
      <c r="AK1536" s="3">
        <v>1530</v>
      </c>
      <c r="AL1536" s="163">
        <v>2.4432786969271665</v>
      </c>
    </row>
    <row r="1537" spans="37:38" s="4" customFormat="1">
      <c r="AK1537" s="3">
        <v>1531</v>
      </c>
      <c r="AL1537" s="163">
        <v>2.4439752915007205</v>
      </c>
    </row>
    <row r="1538" spans="37:38" s="4" customFormat="1">
      <c r="AK1538" s="3">
        <v>1532</v>
      </c>
      <c r="AL1538" s="163">
        <v>2.4446713856339355</v>
      </c>
    </row>
    <row r="1539" spans="37:38" s="4" customFormat="1">
      <c r="AK1539" s="3">
        <v>1533</v>
      </c>
      <c r="AL1539" s="163">
        <v>2.4453669802289641</v>
      </c>
    </row>
    <row r="1540" spans="37:38" s="4" customFormat="1">
      <c r="AK1540" s="3">
        <v>1534</v>
      </c>
      <c r="AL1540" s="163">
        <v>2.44606207618732</v>
      </c>
    </row>
    <row r="1541" spans="37:38" s="4" customFormat="1">
      <c r="AK1541" s="3">
        <v>1535</v>
      </c>
      <c r="AL1541" s="163">
        <v>2.4467566744098646</v>
      </c>
    </row>
    <row r="1542" spans="37:38" s="4" customFormat="1">
      <c r="AK1542" s="3">
        <v>1536</v>
      </c>
      <c r="AL1542" s="163">
        <v>2.4474507757968182</v>
      </c>
    </row>
    <row r="1543" spans="37:38" s="4" customFormat="1">
      <c r="AK1543" s="3">
        <v>1537</v>
      </c>
      <c r="AL1543" s="163">
        <v>2.4481443812477504</v>
      </c>
    </row>
    <row r="1544" spans="37:38" s="4" customFormat="1">
      <c r="AK1544" s="3">
        <v>1538</v>
      </c>
      <c r="AL1544" s="163">
        <v>2.4488374916615894</v>
      </c>
    </row>
    <row r="1545" spans="37:38" s="4" customFormat="1">
      <c r="AK1545" s="3">
        <v>1539</v>
      </c>
      <c r="AL1545" s="163">
        <v>2.4495301079366123</v>
      </c>
    </row>
    <row r="1546" spans="37:38" s="4" customFormat="1">
      <c r="AK1546" s="3">
        <v>1540</v>
      </c>
      <c r="AL1546" s="163">
        <v>2.4502222309704558</v>
      </c>
    </row>
    <row r="1547" spans="37:38" s="4" customFormat="1">
      <c r="AK1547" s="3">
        <v>1541</v>
      </c>
      <c r="AL1547" s="163">
        <v>2.4509138616601076</v>
      </c>
    </row>
    <row r="1548" spans="37:38" s="4" customFormat="1">
      <c r="AK1548" s="3">
        <v>1542</v>
      </c>
      <c r="AL1548" s="163">
        <v>2.451605000901913</v>
      </c>
    </row>
    <row r="1549" spans="37:38" s="4" customFormat="1">
      <c r="AK1549" s="3">
        <v>1543</v>
      </c>
      <c r="AL1549" s="163">
        <v>2.4522956495915698</v>
      </c>
    </row>
    <row r="1550" spans="37:38" s="4" customFormat="1">
      <c r="AK1550" s="3">
        <v>1544</v>
      </c>
      <c r="AL1550" s="163">
        <v>2.4529858086241334</v>
      </c>
    </row>
    <row r="1551" spans="37:38" s="4" customFormat="1">
      <c r="AK1551" s="3">
        <v>1545</v>
      </c>
      <c r="AL1551" s="163">
        <v>2.4536754788940112</v>
      </c>
    </row>
    <row r="1552" spans="37:38" s="4" customFormat="1">
      <c r="AK1552" s="3">
        <v>1546</v>
      </c>
      <c r="AL1552" s="163">
        <v>2.4543646612949712</v>
      </c>
    </row>
    <row r="1553" spans="37:38" s="4" customFormat="1">
      <c r="AK1553" s="3">
        <v>1547</v>
      </c>
      <c r="AL1553" s="163">
        <v>2.4550533567201307</v>
      </c>
    </row>
    <row r="1554" spans="37:38" s="4" customFormat="1">
      <c r="AK1554" s="3">
        <v>1548</v>
      </c>
      <c r="AL1554" s="163">
        <v>2.4557415660619695</v>
      </c>
    </row>
    <row r="1555" spans="37:38" s="4" customFormat="1">
      <c r="AK1555" s="3">
        <v>1549</v>
      </c>
      <c r="AL1555" s="163">
        <v>2.4564292902123186</v>
      </c>
    </row>
    <row r="1556" spans="37:38" s="4" customFormat="1">
      <c r="AK1556" s="3">
        <v>1550</v>
      </c>
      <c r="AL1556" s="163">
        <v>2.4571165300623683</v>
      </c>
    </row>
    <row r="1557" spans="37:38" s="4" customFormat="1">
      <c r="AK1557" s="3">
        <v>1551</v>
      </c>
      <c r="AL1557" s="163">
        <v>2.4578032865026622</v>
      </c>
    </row>
    <row r="1558" spans="37:38" s="4" customFormat="1">
      <c r="AK1558" s="3">
        <v>1552</v>
      </c>
      <c r="AL1558" s="163">
        <v>2.4584895604231045</v>
      </c>
    </row>
    <row r="1559" spans="37:38" s="4" customFormat="1">
      <c r="AK1559" s="3">
        <v>1553</v>
      </c>
      <c r="AL1559" s="163">
        <v>2.4591753527129536</v>
      </c>
    </row>
    <row r="1560" spans="37:38" s="4" customFormat="1">
      <c r="AK1560" s="3">
        <v>1554</v>
      </c>
      <c r="AL1560" s="163">
        <v>2.4598606642608258</v>
      </c>
    </row>
    <row r="1561" spans="37:38" s="4" customFormat="1">
      <c r="AK1561" s="3">
        <v>1555</v>
      </c>
      <c r="AL1561" s="163">
        <v>2.4605454959546935</v>
      </c>
    </row>
    <row r="1562" spans="37:38" s="4" customFormat="1">
      <c r="AK1562" s="3">
        <v>1556</v>
      </c>
      <c r="AL1562" s="163">
        <v>2.4612298486818891</v>
      </c>
    </row>
    <row r="1563" spans="37:38" s="4" customFormat="1">
      <c r="AK1563" s="3">
        <v>1557</v>
      </c>
      <c r="AL1563" s="163">
        <v>2.4619137233290989</v>
      </c>
    </row>
    <row r="1564" spans="37:38" s="4" customFormat="1">
      <c r="AK1564" s="3">
        <v>1558</v>
      </c>
      <c r="AL1564" s="163">
        <v>2.46259712078237</v>
      </c>
    </row>
    <row r="1565" spans="37:38" s="4" customFormat="1">
      <c r="AK1565" s="3">
        <v>1559</v>
      </c>
      <c r="AL1565" s="163">
        <v>2.4632800419271064</v>
      </c>
    </row>
    <row r="1566" spans="37:38" s="4" customFormat="1">
      <c r="AK1566" s="3">
        <v>1560</v>
      </c>
      <c r="AL1566" s="163">
        <v>2.463962487648069</v>
      </c>
    </row>
    <row r="1567" spans="37:38" s="4" customFormat="1">
      <c r="AK1567" s="3">
        <v>1561</v>
      </c>
      <c r="AL1567" s="163">
        <v>2.4646444588293797</v>
      </c>
    </row>
    <row r="1568" spans="37:38" s="4" customFormat="1">
      <c r="AK1568" s="3">
        <v>1562</v>
      </c>
      <c r="AL1568" s="163">
        <v>2.465325956354516</v>
      </c>
    </row>
    <row r="1569" spans="37:38" s="4" customFormat="1">
      <c r="AK1569" s="3">
        <v>1563</v>
      </c>
      <c r="AL1569" s="163">
        <v>2.4660069811063163</v>
      </c>
    </row>
    <row r="1570" spans="37:38" s="4" customFormat="1">
      <c r="AK1570" s="3">
        <v>1564</v>
      </c>
      <c r="AL1570" s="163">
        <v>2.4666875339669758</v>
      </c>
    </row>
    <row r="1571" spans="37:38" s="4" customFormat="1">
      <c r="AK1571" s="3">
        <v>1565</v>
      </c>
      <c r="AL1571" s="163">
        <v>2.4673676158180524</v>
      </c>
    </row>
    <row r="1572" spans="37:38" s="4" customFormat="1">
      <c r="AK1572" s="3">
        <v>1566</v>
      </c>
      <c r="AL1572" s="163">
        <v>2.4680472275404584</v>
      </c>
    </row>
    <row r="1573" spans="37:38" s="4" customFormat="1">
      <c r="AK1573" s="3">
        <v>1567</v>
      </c>
      <c r="AL1573" s="163">
        <v>2.468726370014469</v>
      </c>
    </row>
    <row r="1574" spans="37:38" s="4" customFormat="1">
      <c r="AK1574" s="3">
        <v>1568</v>
      </c>
      <c r="AL1574" s="163">
        <v>2.4694050441197173</v>
      </c>
    </row>
    <row r="1575" spans="37:38" s="4" customFormat="1">
      <c r="AK1575" s="3">
        <v>1569</v>
      </c>
      <c r="AL1575" s="163">
        <v>2.4700832507351973</v>
      </c>
    </row>
    <row r="1576" spans="37:38" s="4" customFormat="1">
      <c r="AK1576" s="3">
        <v>1570</v>
      </c>
      <c r="AL1576" s="163">
        <v>2.4707609907392616</v>
      </c>
    </row>
    <row r="1577" spans="37:38" s="4" customFormat="1">
      <c r="AK1577" s="3">
        <v>1571</v>
      </c>
      <c r="AL1577" s="163">
        <v>2.4714382650096245</v>
      </c>
    </row>
    <row r="1578" spans="37:38" s="4" customFormat="1">
      <c r="AK1578" s="3">
        <v>1572</v>
      </c>
      <c r="AL1578" s="163">
        <v>2.4721150744233591</v>
      </c>
    </row>
    <row r="1579" spans="37:38" s="4" customFormat="1">
      <c r="AK1579" s="3">
        <v>1573</v>
      </c>
      <c r="AL1579" s="163">
        <v>2.4727914198569003</v>
      </c>
    </row>
    <row r="1580" spans="37:38" s="4" customFormat="1">
      <c r="AK1580" s="3">
        <v>1574</v>
      </c>
      <c r="AL1580" s="163">
        <v>2.4734673021860427</v>
      </c>
    </row>
    <row r="1581" spans="37:38" s="4" customFormat="1">
      <c r="AK1581" s="3">
        <v>1575</v>
      </c>
      <c r="AL1581" s="163">
        <v>2.4741427222859431</v>
      </c>
    </row>
    <row r="1582" spans="37:38" s="4" customFormat="1">
      <c r="AK1582" s="3">
        <v>1576</v>
      </c>
      <c r="AL1582" s="163">
        <v>2.4748176810311167</v>
      </c>
    </row>
    <row r="1583" spans="37:38" s="4" customFormat="1">
      <c r="AK1583" s="3">
        <v>1577</v>
      </c>
      <c r="AL1583" s="163">
        <v>2.4754921792954443</v>
      </c>
    </row>
    <row r="1584" spans="37:38" s="4" customFormat="1">
      <c r="AK1584" s="3">
        <v>1578</v>
      </c>
      <c r="AL1584" s="163">
        <v>2.4761662179521626</v>
      </c>
    </row>
    <row r="1585" spans="37:38" s="4" customFormat="1">
      <c r="AK1585" s="3">
        <v>1579</v>
      </c>
      <c r="AL1585" s="163">
        <v>2.4768397978738759</v>
      </c>
    </row>
    <row r="1586" spans="37:38" s="4" customFormat="1">
      <c r="AK1586" s="3">
        <v>1580</v>
      </c>
      <c r="AL1586" s="163">
        <v>2.4775129199325447</v>
      </c>
    </row>
    <row r="1587" spans="37:38" s="4" customFormat="1">
      <c r="AK1587" s="3">
        <v>1581</v>
      </c>
      <c r="AL1587" s="163">
        <v>2.4781855849994963</v>
      </c>
    </row>
    <row r="1588" spans="37:38" s="4" customFormat="1">
      <c r="AK1588" s="3">
        <v>1582</v>
      </c>
      <c r="AL1588" s="163">
        <v>2.4788577939454148</v>
      </c>
    </row>
    <row r="1589" spans="37:38" s="4" customFormat="1">
      <c r="AK1589" s="3">
        <v>1583</v>
      </c>
      <c r="AL1589" s="163">
        <v>2.4795295476403529</v>
      </c>
    </row>
    <row r="1590" spans="37:38" s="4" customFormat="1">
      <c r="AK1590" s="3">
        <v>1584</v>
      </c>
      <c r="AL1590" s="163">
        <v>2.4802008469537209</v>
      </c>
    </row>
    <row r="1591" spans="37:38" s="4" customFormat="1">
      <c r="AK1591" s="3">
        <v>1585</v>
      </c>
      <c r="AL1591" s="163">
        <v>2.480871692754294</v>
      </c>
    </row>
    <row r="1592" spans="37:38" s="4" customFormat="1">
      <c r="AK1592" s="3">
        <v>1586</v>
      </c>
      <c r="AL1592" s="163">
        <v>2.4815420859102097</v>
      </c>
    </row>
    <row r="1593" spans="37:38" s="4" customFormat="1">
      <c r="AK1593" s="3">
        <v>1587</v>
      </c>
      <c r="AL1593" s="163">
        <v>2.4822120272889698</v>
      </c>
    </row>
    <row r="1594" spans="37:38" s="4" customFormat="1">
      <c r="AK1594" s="3">
        <v>1588</v>
      </c>
      <c r="AL1594" s="163">
        <v>2.4828815177574359</v>
      </c>
    </row>
    <row r="1595" spans="37:38" s="4" customFormat="1">
      <c r="AK1595" s="3">
        <v>1589</v>
      </c>
      <c r="AL1595" s="163">
        <v>2.4835505581818387</v>
      </c>
    </row>
    <row r="1596" spans="37:38" s="4" customFormat="1">
      <c r="AK1596" s="3">
        <v>1590</v>
      </c>
      <c r="AL1596" s="163">
        <v>2.4842191494277666</v>
      </c>
    </row>
    <row r="1597" spans="37:38" s="4" customFormat="1">
      <c r="AK1597" s="3">
        <v>1591</v>
      </c>
      <c r="AL1597" s="163">
        <v>2.4848872923601761</v>
      </c>
    </row>
    <row r="1598" spans="37:38" s="4" customFormat="1">
      <c r="AK1598" s="3">
        <v>1592</v>
      </c>
      <c r="AL1598" s="163">
        <v>2.4855549878433836</v>
      </c>
    </row>
    <row r="1599" spans="37:38" s="4" customFormat="1">
      <c r="AK1599" s="3">
        <v>1593</v>
      </c>
      <c r="AL1599" s="163">
        <v>2.4862222367410767</v>
      </c>
    </row>
    <row r="1600" spans="37:38" s="4" customFormat="1">
      <c r="AK1600" s="3">
        <v>1594</v>
      </c>
      <c r="AL1600" s="163">
        <v>2.4868890399162984</v>
      </c>
    </row>
    <row r="1601" spans="37:38" s="4" customFormat="1">
      <c r="AK1601" s="3">
        <v>1595</v>
      </c>
      <c r="AL1601" s="163">
        <v>2.4875553982314629</v>
      </c>
    </row>
    <row r="1602" spans="37:38" s="4" customFormat="1">
      <c r="AK1602" s="3">
        <v>1596</v>
      </c>
      <c r="AL1602" s="163">
        <v>2.4882213125483461</v>
      </c>
    </row>
    <row r="1603" spans="37:38" s="4" customFormat="1">
      <c r="AK1603" s="3">
        <v>1597</v>
      </c>
      <c r="AL1603" s="163">
        <v>2.4888867837280904</v>
      </c>
    </row>
    <row r="1604" spans="37:38" s="4" customFormat="1">
      <c r="AK1604" s="3">
        <v>1598</v>
      </c>
      <c r="AL1604" s="163">
        <v>2.4895518126312015</v>
      </c>
    </row>
    <row r="1605" spans="37:38" s="4" customFormat="1">
      <c r="AK1605" s="3">
        <v>1599</v>
      </c>
      <c r="AL1605" s="163">
        <v>2.4902164001175526</v>
      </c>
    </row>
    <row r="1606" spans="37:38" s="4" customFormat="1">
      <c r="AK1606" s="3">
        <v>1600</v>
      </c>
      <c r="AL1606" s="163">
        <v>2.4908805470463808</v>
      </c>
    </row>
    <row r="1607" spans="37:38" s="4" customFormat="1">
      <c r="AK1607" s="3">
        <v>1601</v>
      </c>
      <c r="AL1607" s="163">
        <v>2.4915442542762882</v>
      </c>
    </row>
    <row r="1608" spans="37:38" s="4" customFormat="1">
      <c r="AK1608" s="3">
        <v>1602</v>
      </c>
      <c r="AL1608" s="163">
        <v>2.4922075226652445</v>
      </c>
    </row>
    <row r="1609" spans="37:38" s="4" customFormat="1">
      <c r="AK1609" s="3">
        <v>1603</v>
      </c>
      <c r="AL1609" s="163">
        <v>2.4928703530705847</v>
      </c>
    </row>
    <row r="1610" spans="37:38" s="4" customFormat="1">
      <c r="AK1610" s="3">
        <v>1604</v>
      </c>
      <c r="AL1610" s="163">
        <v>2.4935327463490102</v>
      </c>
    </row>
    <row r="1611" spans="37:38" s="4" customFormat="1">
      <c r="AK1611" s="3">
        <v>1605</v>
      </c>
      <c r="AL1611" s="163">
        <v>2.4941947033565883</v>
      </c>
    </row>
    <row r="1612" spans="37:38" s="4" customFormat="1">
      <c r="AK1612" s="3">
        <v>1606</v>
      </c>
      <c r="AL1612" s="163">
        <v>2.4948562249487543</v>
      </c>
    </row>
    <row r="1613" spans="37:38" s="4" customFormat="1">
      <c r="AK1613" s="3">
        <v>1607</v>
      </c>
      <c r="AL1613" s="163">
        <v>2.495517311980306</v>
      </c>
    </row>
    <row r="1614" spans="37:38" s="4" customFormat="1">
      <c r="AK1614" s="3">
        <v>1608</v>
      </c>
      <c r="AL1614" s="163">
        <v>2.4961779653054141</v>
      </c>
    </row>
    <row r="1615" spans="37:38" s="4" customFormat="1">
      <c r="AK1615" s="3">
        <v>1609</v>
      </c>
      <c r="AL1615" s="163">
        <v>2.4968381857776119</v>
      </c>
    </row>
    <row r="1616" spans="37:38" s="4" customFormat="1">
      <c r="AK1616" s="3">
        <v>1610</v>
      </c>
      <c r="AL1616" s="163">
        <v>2.4974979742498027</v>
      </c>
    </row>
    <row r="1617" spans="37:38" s="4" customFormat="1">
      <c r="AK1617" s="3">
        <v>1611</v>
      </c>
      <c r="AL1617" s="163">
        <v>2.4981573315742542</v>
      </c>
    </row>
    <row r="1618" spans="37:38" s="4" customFormat="1">
      <c r="AK1618" s="3">
        <v>1612</v>
      </c>
      <c r="AL1618" s="163">
        <v>2.4988162586026061</v>
      </c>
    </row>
    <row r="1619" spans="37:38" s="4" customFormat="1">
      <c r="AK1619" s="3">
        <v>1613</v>
      </c>
      <c r="AL1619" s="163">
        <v>2.4994747561858626</v>
      </c>
    </row>
    <row r="1620" spans="37:38" s="4" customFormat="1">
      <c r="AK1620" s="3">
        <v>1614</v>
      </c>
      <c r="AL1620" s="163">
        <v>2.5001328251743966</v>
      </c>
    </row>
    <row r="1621" spans="37:38" s="4" customFormat="1">
      <c r="AK1621" s="3">
        <v>1615</v>
      </c>
      <c r="AL1621" s="163">
        <v>2.5007904664179512</v>
      </c>
    </row>
    <row r="1622" spans="37:38" s="4" customFormat="1">
      <c r="AK1622" s="3">
        <v>1616</v>
      </c>
      <c r="AL1622" s="163">
        <v>2.5014476807656338</v>
      </c>
    </row>
    <row r="1623" spans="37:38" s="4" customFormat="1">
      <c r="AK1623" s="3">
        <v>1617</v>
      </c>
      <c r="AL1623" s="163">
        <v>2.5021044690659249</v>
      </c>
    </row>
    <row r="1624" spans="37:38" s="4" customFormat="1">
      <c r="AK1624" s="3">
        <v>1618</v>
      </c>
      <c r="AL1624" s="163">
        <v>2.502760832166671</v>
      </c>
    </row>
    <row r="1625" spans="37:38" s="4" customFormat="1">
      <c r="AK1625" s="3">
        <v>1619</v>
      </c>
      <c r="AL1625" s="163">
        <v>2.5034167709150874</v>
      </c>
    </row>
    <row r="1626" spans="37:38" s="4" customFormat="1">
      <c r="AK1626" s="3">
        <v>1620</v>
      </c>
      <c r="AL1626" s="163">
        <v>2.5040722861577605</v>
      </c>
    </row>
    <row r="1627" spans="37:38" s="4" customFormat="1">
      <c r="AK1627" s="3">
        <v>1621</v>
      </c>
      <c r="AL1627" s="163">
        <v>2.504727378740645</v>
      </c>
    </row>
    <row r="1628" spans="37:38" s="4" customFormat="1">
      <c r="AK1628" s="3">
        <v>1622</v>
      </c>
      <c r="AL1628" s="163">
        <v>2.505382049509064</v>
      </c>
    </row>
    <row r="1629" spans="37:38" s="4" customFormat="1">
      <c r="AK1629" s="3">
        <v>1623</v>
      </c>
      <c r="AL1629" s="163">
        <v>2.5060362993077128</v>
      </c>
    </row>
    <row r="1630" spans="37:38" s="4" customFormat="1">
      <c r="AK1630" s="3">
        <v>1624</v>
      </c>
      <c r="AL1630" s="163">
        <v>2.506690128980654</v>
      </c>
    </row>
    <row r="1631" spans="37:38" s="4" customFormat="1">
      <c r="AK1631" s="3">
        <v>1625</v>
      </c>
      <c r="AL1631" s="163">
        <v>2.5073435393713202</v>
      </c>
    </row>
    <row r="1632" spans="37:38" s="4" customFormat="1">
      <c r="AK1632" s="3">
        <v>1626</v>
      </c>
      <c r="AL1632" s="163">
        <v>2.5079965313225192</v>
      </c>
    </row>
    <row r="1633" spans="37:38" s="4" customFormat="1">
      <c r="AK1633" s="3">
        <v>1627</v>
      </c>
      <c r="AL1633" s="163">
        <v>2.508649105676422</v>
      </c>
    </row>
    <row r="1634" spans="37:38" s="4" customFormat="1">
      <c r="AK1634" s="3">
        <v>1628</v>
      </c>
      <c r="AL1634" s="163">
        <v>2.5093012632745735</v>
      </c>
    </row>
    <row r="1635" spans="37:38" s="4" customFormat="1">
      <c r="AK1635" s="3">
        <v>1629</v>
      </c>
      <c r="AL1635" s="163">
        <v>2.5099530049578913</v>
      </c>
    </row>
    <row r="1636" spans="37:38" s="4" customFormat="1">
      <c r="AK1636" s="3">
        <v>1630</v>
      </c>
      <c r="AL1636" s="163">
        <v>2.5106043315666606</v>
      </c>
    </row>
    <row r="1637" spans="37:38" s="4" customFormat="1">
      <c r="AK1637" s="3">
        <v>1631</v>
      </c>
      <c r="AL1637" s="163">
        <v>2.5112552439405413</v>
      </c>
    </row>
    <row r="1638" spans="37:38" s="4" customFormat="1">
      <c r="AK1638" s="3">
        <v>1632</v>
      </c>
      <c r="AL1638" s="163">
        <v>2.5119057429185614</v>
      </c>
    </row>
    <row r="1639" spans="37:38" s="4" customFormat="1">
      <c r="AK1639" s="3">
        <v>1633</v>
      </c>
      <c r="AL1639" s="163">
        <v>2.5125558293391212</v>
      </c>
    </row>
    <row r="1640" spans="37:38" s="4" customFormat="1">
      <c r="AK1640" s="3">
        <v>1634</v>
      </c>
      <c r="AL1640" s="163">
        <v>2.513205504039993</v>
      </c>
    </row>
    <row r="1641" spans="37:38" s="4" customFormat="1">
      <c r="AK1641" s="3">
        <v>1635</v>
      </c>
      <c r="AL1641" s="163">
        <v>2.5138547678583225</v>
      </c>
    </row>
    <row r="1642" spans="37:38" s="4" customFormat="1">
      <c r="AK1642" s="3">
        <v>1636</v>
      </c>
      <c r="AL1642" s="163">
        <v>2.5145036216306265</v>
      </c>
    </row>
    <row r="1643" spans="37:38" s="4" customFormat="1">
      <c r="AK1643" s="3">
        <v>1637</v>
      </c>
      <c r="AL1643" s="163">
        <v>2.5151520661927922</v>
      </c>
    </row>
    <row r="1644" spans="37:38" s="4" customFormat="1">
      <c r="AK1644" s="3">
        <v>1638</v>
      </c>
      <c r="AL1644" s="163">
        <v>2.5158001023800809</v>
      </c>
    </row>
    <row r="1645" spans="37:38" s="4" customFormat="1">
      <c r="AK1645" s="3">
        <v>1639</v>
      </c>
      <c r="AL1645" s="163">
        <v>2.5164477310271263</v>
      </c>
    </row>
    <row r="1646" spans="37:38" s="4" customFormat="1">
      <c r="AK1646" s="3">
        <v>1640</v>
      </c>
      <c r="AL1646" s="163">
        <v>2.517094952967935</v>
      </c>
    </row>
    <row r="1647" spans="37:38" s="4" customFormat="1">
      <c r="AK1647" s="3">
        <v>1641</v>
      </c>
      <c r="AL1647" s="163">
        <v>2.5177417690358879</v>
      </c>
    </row>
    <row r="1648" spans="37:38" s="4" customFormat="1">
      <c r="AK1648" s="3">
        <v>1642</v>
      </c>
      <c r="AL1648" s="163">
        <v>2.5183881800637358</v>
      </c>
    </row>
    <row r="1649" spans="37:38" s="4" customFormat="1">
      <c r="AK1649" s="3">
        <v>1643</v>
      </c>
      <c r="AL1649" s="163">
        <v>2.5190341868836064</v>
      </c>
    </row>
    <row r="1650" spans="37:38" s="4" customFormat="1">
      <c r="AK1650" s="3">
        <v>1644</v>
      </c>
      <c r="AL1650" s="163">
        <v>2.5196797903269985</v>
      </c>
    </row>
    <row r="1651" spans="37:38" s="4" customFormat="1">
      <c r="AK1651" s="3">
        <v>1645</v>
      </c>
      <c r="AL1651" s="163">
        <v>2.5203249912247858</v>
      </c>
    </row>
    <row r="1652" spans="37:38" s="4" customFormat="1">
      <c r="AK1652" s="3">
        <v>1646</v>
      </c>
      <c r="AL1652" s="163">
        <v>2.5209697904072157</v>
      </c>
    </row>
    <row r="1653" spans="37:38" s="4" customFormat="1">
      <c r="AK1653" s="3">
        <v>1647</v>
      </c>
      <c r="AL1653" s="163">
        <v>2.5216141887039094</v>
      </c>
    </row>
    <row r="1654" spans="37:38" s="4" customFormat="1">
      <c r="AK1654" s="3">
        <v>1648</v>
      </c>
      <c r="AL1654" s="163">
        <v>2.5222581869438607</v>
      </c>
    </row>
    <row r="1655" spans="37:38" s="4" customFormat="1">
      <c r="AK1655" s="3">
        <v>1649</v>
      </c>
      <c r="AL1655" s="163">
        <v>2.5229017859554435</v>
      </c>
    </row>
    <row r="1656" spans="37:38" s="4" customFormat="1">
      <c r="AK1656" s="3">
        <v>1650</v>
      </c>
      <c r="AL1656" s="163">
        <v>2.5235449865663986</v>
      </c>
    </row>
    <row r="1657" spans="37:38" s="4" customFormat="1">
      <c r="AK1657" s="3">
        <v>1651</v>
      </c>
      <c r="AL1657" s="163">
        <v>2.5241877896038476</v>
      </c>
    </row>
    <row r="1658" spans="37:38" s="4" customFormat="1">
      <c r="AK1658" s="3">
        <v>1652</v>
      </c>
      <c r="AL1658" s="163">
        <v>2.5248301958942849</v>
      </c>
    </row>
    <row r="1659" spans="37:38" s="4" customFormat="1">
      <c r="AK1659" s="3">
        <v>1653</v>
      </c>
      <c r="AL1659" s="163">
        <v>2.5254722062635806</v>
      </c>
    </row>
    <row r="1660" spans="37:38" s="4" customFormat="1">
      <c r="AK1660" s="3">
        <v>1654</v>
      </c>
      <c r="AL1660" s="163">
        <v>2.5261138215369785</v>
      </c>
    </row>
    <row r="1661" spans="37:38" s="4" customFormat="1">
      <c r="AK1661" s="3">
        <v>1655</v>
      </c>
      <c r="AL1661" s="163">
        <v>2.5267550425391012</v>
      </c>
    </row>
    <row r="1662" spans="37:38" s="4" customFormat="1">
      <c r="AK1662" s="3">
        <v>1656</v>
      </c>
      <c r="AL1662" s="163">
        <v>2.5273958700939443</v>
      </c>
    </row>
    <row r="1663" spans="37:38" s="4" customFormat="1">
      <c r="AK1663" s="3">
        <v>1657</v>
      </c>
      <c r="AL1663" s="163">
        <v>2.5280363050248797</v>
      </c>
    </row>
    <row r="1664" spans="37:38" s="4" customFormat="1">
      <c r="AK1664" s="3">
        <v>1658</v>
      </c>
      <c r="AL1664" s="163">
        <v>2.5286763481546553</v>
      </c>
    </row>
    <row r="1665" spans="37:38" s="4" customFormat="1">
      <c r="AK1665" s="3">
        <v>1659</v>
      </c>
      <c r="AL1665" s="163">
        <v>2.529316000305398</v>
      </c>
    </row>
    <row r="1666" spans="37:38" s="4" customFormat="1">
      <c r="AK1666" s="3">
        <v>1660</v>
      </c>
      <c r="AL1666" s="163">
        <v>2.5299552622986066</v>
      </c>
    </row>
    <row r="1667" spans="37:38" s="4" customFormat="1">
      <c r="AK1667" s="3">
        <v>1661</v>
      </c>
      <c r="AL1667" s="163">
        <v>2.5305941349551602</v>
      </c>
    </row>
    <row r="1668" spans="37:38" s="4" customFormat="1">
      <c r="AK1668" s="3">
        <v>1662</v>
      </c>
      <c r="AL1668" s="163">
        <v>2.5312326190953143</v>
      </c>
    </row>
    <row r="1669" spans="37:38" s="4" customFormat="1">
      <c r="AK1669" s="3">
        <v>1663</v>
      </c>
      <c r="AL1669" s="163">
        <v>2.5318707155386995</v>
      </c>
    </row>
    <row r="1670" spans="37:38" s="4" customFormat="1">
      <c r="AK1670" s="3">
        <v>1664</v>
      </c>
      <c r="AL1670" s="163">
        <v>2.5325084251043251</v>
      </c>
    </row>
    <row r="1671" spans="37:38" s="4" customFormat="1">
      <c r="AK1671" s="3">
        <v>1665</v>
      </c>
      <c r="AL1671" s="163">
        <v>2.5331457486105786</v>
      </c>
    </row>
    <row r="1672" spans="37:38" s="4" customFormat="1">
      <c r="AK1672" s="3">
        <v>1666</v>
      </c>
      <c r="AL1672" s="163">
        <v>2.533782686875222</v>
      </c>
    </row>
    <row r="1673" spans="37:38" s="4" customFormat="1">
      <c r="AK1673" s="3">
        <v>1667</v>
      </c>
      <c r="AL1673" s="163">
        <v>2.5344192407153976</v>
      </c>
    </row>
    <row r="1674" spans="37:38" s="4" customFormat="1">
      <c r="AK1674" s="3">
        <v>1668</v>
      </c>
      <c r="AL1674" s="163">
        <v>2.535055410947626</v>
      </c>
    </row>
    <row r="1675" spans="37:38" s="4" customFormat="1">
      <c r="AK1675" s="3">
        <v>1669</v>
      </c>
      <c r="AL1675" s="163">
        <v>2.5356911983878043</v>
      </c>
    </row>
    <row r="1676" spans="37:38" s="4" customFormat="1">
      <c r="AK1676" s="3">
        <v>1670</v>
      </c>
      <c r="AL1676" s="163">
        <v>2.5363266038512093</v>
      </c>
    </row>
    <row r="1677" spans="37:38" s="4" customFormat="1">
      <c r="AK1677" s="3">
        <v>1671</v>
      </c>
      <c r="AL1677" s="163">
        <v>2.5369616281524952</v>
      </c>
    </row>
    <row r="1678" spans="37:38" s="4" customFormat="1">
      <c r="AK1678" s="3">
        <v>1672</v>
      </c>
      <c r="AL1678" s="163">
        <v>2.5375962721056946</v>
      </c>
    </row>
    <row r="1679" spans="37:38" s="4" customFormat="1">
      <c r="AK1679" s="3">
        <v>1673</v>
      </c>
      <c r="AL1679" s="163">
        <v>2.5382305365242201</v>
      </c>
    </row>
    <row r="1680" spans="37:38" s="4" customFormat="1">
      <c r="AK1680" s="3">
        <v>1674</v>
      </c>
      <c r="AL1680" s="163">
        <v>2.5388644222208638</v>
      </c>
    </row>
    <row r="1681" spans="37:38" s="4" customFormat="1">
      <c r="AK1681" s="3">
        <v>1675</v>
      </c>
      <c r="AL1681" s="163">
        <v>2.5394979300077969</v>
      </c>
    </row>
    <row r="1682" spans="37:38" s="4" customFormat="1">
      <c r="AK1682" s="3">
        <v>1676</v>
      </c>
      <c r="AL1682" s="163">
        <v>2.5401310606965657</v>
      </c>
    </row>
    <row r="1683" spans="37:38" s="4" customFormat="1">
      <c r="AK1683" s="3">
        <v>1677</v>
      </c>
      <c r="AL1683" s="163">
        <v>2.5407638150981025</v>
      </c>
    </row>
    <row r="1684" spans="37:38" s="4" customFormat="1">
      <c r="AK1684" s="3">
        <v>1678</v>
      </c>
      <c r="AL1684" s="163">
        <v>2.5413961940227159</v>
      </c>
    </row>
    <row r="1685" spans="37:38" s="4" customFormat="1">
      <c r="AK1685" s="3">
        <v>1679</v>
      </c>
      <c r="AL1685" s="163">
        <v>2.5420281982800952</v>
      </c>
    </row>
    <row r="1686" spans="37:38" s="4" customFormat="1">
      <c r="AK1686" s="3">
        <v>1680</v>
      </c>
      <c r="AL1686" s="163">
        <v>2.5426598286793092</v>
      </c>
    </row>
    <row r="1687" spans="37:38" s="4" customFormat="1">
      <c r="AK1687" s="3">
        <v>1681</v>
      </c>
      <c r="AL1687" s="163">
        <v>2.5432910860288076</v>
      </c>
    </row>
    <row r="1688" spans="37:38" s="4" customFormat="1">
      <c r="AK1688" s="3">
        <v>1682</v>
      </c>
      <c r="AL1688" s="163">
        <v>2.543921971136422</v>
      </c>
    </row>
    <row r="1689" spans="37:38" s="4" customFormat="1">
      <c r="AK1689" s="3">
        <v>1683</v>
      </c>
      <c r="AL1689" s="163">
        <v>2.544552484809361</v>
      </c>
    </row>
    <row r="1690" spans="37:38" s="4" customFormat="1">
      <c r="AK1690" s="3">
        <v>1684</v>
      </c>
      <c r="AL1690" s="163">
        <v>2.5451826278542184</v>
      </c>
    </row>
    <row r="1691" spans="37:38" s="4" customFormat="1">
      <c r="AK1691" s="3">
        <v>1685</v>
      </c>
      <c r="AL1691" s="163">
        <v>2.5458124010769674</v>
      </c>
    </row>
    <row r="1692" spans="37:38" s="4" customFormat="1">
      <c r="AK1692" s="3">
        <v>1686</v>
      </c>
      <c r="AL1692" s="163">
        <v>2.5464418052829596</v>
      </c>
    </row>
    <row r="1693" spans="37:38" s="4" customFormat="1">
      <c r="AK1693" s="3">
        <v>1687</v>
      </c>
      <c r="AL1693" s="163">
        <v>2.5470708412769332</v>
      </c>
    </row>
    <row r="1694" spans="37:38" s="4" customFormat="1">
      <c r="AK1694" s="3">
        <v>1688</v>
      </c>
      <c r="AL1694" s="163">
        <v>2.5476995098630022</v>
      </c>
    </row>
    <row r="1695" spans="37:38" s="4" customFormat="1">
      <c r="AK1695" s="3">
        <v>1689</v>
      </c>
      <c r="AL1695" s="163">
        <v>2.5483278118446693</v>
      </c>
    </row>
    <row r="1696" spans="37:38" s="4" customFormat="1">
      <c r="AK1696" s="3">
        <v>1690</v>
      </c>
      <c r="AL1696" s="163">
        <v>2.5489557480248126</v>
      </c>
    </row>
    <row r="1697" spans="37:38" s="4" customFormat="1">
      <c r="AK1697" s="3">
        <v>1691</v>
      </c>
      <c r="AL1697" s="163">
        <v>2.5495833192056963</v>
      </c>
    </row>
    <row r="1698" spans="37:38" s="4" customFormat="1">
      <c r="AK1698" s="3">
        <v>1692</v>
      </c>
      <c r="AL1698" s="163">
        <v>2.5502105261889665</v>
      </c>
    </row>
    <row r="1699" spans="37:38" s="4" customFormat="1">
      <c r="AK1699" s="3">
        <v>1693</v>
      </c>
      <c r="AL1699" s="163">
        <v>2.5508373697756506</v>
      </c>
    </row>
    <row r="1700" spans="37:38" s="4" customFormat="1">
      <c r="AK1700" s="3">
        <v>1694</v>
      </c>
      <c r="AL1700" s="163">
        <v>2.551463850766158</v>
      </c>
    </row>
    <row r="1701" spans="37:38" s="4" customFormat="1">
      <c r="AK1701" s="3">
        <v>1695</v>
      </c>
      <c r="AL1701" s="163">
        <v>2.5520899699602855</v>
      </c>
    </row>
    <row r="1702" spans="37:38" s="4" customFormat="1">
      <c r="AK1702" s="3">
        <v>1696</v>
      </c>
      <c r="AL1702" s="163">
        <v>2.5527157281572057</v>
      </c>
    </row>
    <row r="1703" spans="37:38" s="4" customFormat="1">
      <c r="AK1703" s="3">
        <v>1697</v>
      </c>
      <c r="AL1703" s="163">
        <v>2.5533411261554821</v>
      </c>
    </row>
    <row r="1704" spans="37:38" s="4" customFormat="1">
      <c r="AK1704" s="3">
        <v>1698</v>
      </c>
      <c r="AL1704" s="163">
        <v>2.553966164753056</v>
      </c>
    </row>
    <row r="1705" spans="37:38" s="4" customFormat="1">
      <c r="AK1705" s="3">
        <v>1699</v>
      </c>
      <c r="AL1705" s="163">
        <v>2.5545908447472558</v>
      </c>
    </row>
    <row r="1706" spans="37:38" s="4" customFormat="1">
      <c r="AK1706" s="3">
        <v>1700</v>
      </c>
      <c r="AL1706" s="163">
        <v>2.5552151669347913</v>
      </c>
    </row>
    <row r="1707" spans="37:38" s="4" customFormat="1">
      <c r="AK1707" s="3">
        <v>1701</v>
      </c>
      <c r="AL1707" s="163">
        <v>2.5558391321117577</v>
      </c>
    </row>
    <row r="1708" spans="37:38" s="4" customFormat="1">
      <c r="AK1708" s="3">
        <v>1702</v>
      </c>
      <c r="AL1708" s="163">
        <v>2.5564627410736347</v>
      </c>
    </row>
    <row r="1709" spans="37:38" s="4" customFormat="1">
      <c r="AK1709" s="3">
        <v>1703</v>
      </c>
      <c r="AL1709" s="163">
        <v>2.5570859946152855</v>
      </c>
    </row>
    <row r="1710" spans="37:38" s="4" customFormat="1">
      <c r="AK1710" s="3">
        <v>1704</v>
      </c>
      <c r="AL1710" s="163">
        <v>2.5577088935309575</v>
      </c>
    </row>
    <row r="1711" spans="37:38" s="4" customFormat="1">
      <c r="AK1711" s="3">
        <v>1705</v>
      </c>
      <c r="AL1711" s="163">
        <v>2.5583314386142848</v>
      </c>
    </row>
    <row r="1712" spans="37:38" s="4" customFormat="1">
      <c r="AK1712" s="3">
        <v>1706</v>
      </c>
      <c r="AL1712" s="163">
        <v>2.5589536306582836</v>
      </c>
    </row>
    <row r="1713" spans="37:38" s="4" customFormat="1">
      <c r="AK1713" s="3">
        <v>1707</v>
      </c>
      <c r="AL1713" s="163">
        <v>2.5595754704553566</v>
      </c>
    </row>
    <row r="1714" spans="37:38" s="4" customFormat="1">
      <c r="AK1714" s="3">
        <v>1708</v>
      </c>
      <c r="AL1714" s="163">
        <v>2.5601969587972917</v>
      </c>
    </row>
    <row r="1715" spans="37:38" s="4" customFormat="1">
      <c r="AK1715" s="3">
        <v>1709</v>
      </c>
      <c r="AL1715" s="163">
        <v>2.5608180964752645</v>
      </c>
    </row>
    <row r="1716" spans="37:38" s="4" customFormat="1">
      <c r="AK1716" s="3">
        <v>1710</v>
      </c>
      <c r="AL1716" s="163">
        <v>2.5614388842798328</v>
      </c>
    </row>
    <row r="1717" spans="37:38" s="4" customFormat="1">
      <c r="AK1717" s="3">
        <v>1711</v>
      </c>
      <c r="AL1717" s="163">
        <v>2.5620593230009412</v>
      </c>
    </row>
    <row r="1718" spans="37:38" s="4" customFormat="1">
      <c r="AK1718" s="3">
        <v>1712</v>
      </c>
      <c r="AL1718" s="163">
        <v>2.5626794134279214</v>
      </c>
    </row>
    <row r="1719" spans="37:38" s="4" customFormat="1">
      <c r="AK1719" s="3">
        <v>1713</v>
      </c>
      <c r="AL1719" s="163">
        <v>2.5632991563494896</v>
      </c>
    </row>
    <row r="1720" spans="37:38" s="4" customFormat="1">
      <c r="AK1720" s="3">
        <v>1714</v>
      </c>
      <c r="AL1720" s="163">
        <v>2.5639185525537513</v>
      </c>
    </row>
    <row r="1721" spans="37:38" s="4" customFormat="1">
      <c r="AK1721" s="3">
        <v>1715</v>
      </c>
      <c r="AL1721" s="163">
        <v>2.5645376028281963</v>
      </c>
    </row>
    <row r="1722" spans="37:38" s="4" customFormat="1">
      <c r="AK1722" s="3">
        <v>1716</v>
      </c>
      <c r="AL1722" s="163">
        <v>2.5651563079597008</v>
      </c>
    </row>
    <row r="1723" spans="37:38" s="4" customFormat="1">
      <c r="AK1723" s="3">
        <v>1717</v>
      </c>
      <c r="AL1723" s="163">
        <v>2.5657746687345275</v>
      </c>
    </row>
    <row r="1724" spans="37:38" s="4" customFormat="1">
      <c r="AK1724" s="3">
        <v>1718</v>
      </c>
      <c r="AL1724" s="163">
        <v>2.5663926859383297</v>
      </c>
    </row>
    <row r="1725" spans="37:38" s="4" customFormat="1">
      <c r="AK1725" s="3">
        <v>1719</v>
      </c>
      <c r="AL1725" s="163">
        <v>2.5670103603561438</v>
      </c>
    </row>
    <row r="1726" spans="37:38" s="4" customFormat="1">
      <c r="AK1726" s="3">
        <v>1720</v>
      </c>
      <c r="AL1726" s="163">
        <v>2.567627692772398</v>
      </c>
    </row>
    <row r="1727" spans="37:38" s="4" customFormat="1">
      <c r="AK1727" s="3">
        <v>1721</v>
      </c>
      <c r="AL1727" s="163">
        <v>2.5682446839709052</v>
      </c>
    </row>
    <row r="1728" spans="37:38" s="4" customFormat="1">
      <c r="AK1728" s="3">
        <v>1722</v>
      </c>
      <c r="AL1728" s="163">
        <v>2.5688613347348648</v>
      </c>
    </row>
    <row r="1729" spans="37:38" s="4" customFormat="1">
      <c r="AK1729" s="3">
        <v>1723</v>
      </c>
      <c r="AL1729" s="163">
        <v>2.5694776458468671</v>
      </c>
    </row>
    <row r="1730" spans="37:38" s="4" customFormat="1">
      <c r="AK1730" s="3">
        <v>1724</v>
      </c>
      <c r="AL1730" s="163">
        <v>2.5700936180888916</v>
      </c>
    </row>
    <row r="1731" spans="37:38" s="4" customFormat="1">
      <c r="AK1731" s="3">
        <v>1725</v>
      </c>
      <c r="AL1731" s="163">
        <v>2.5707092522423025</v>
      </c>
    </row>
    <row r="1732" spans="37:38" s="4" customFormat="1">
      <c r="AK1732" s="3">
        <v>1726</v>
      </c>
      <c r="AL1732" s="163">
        <v>2.5713245490878545</v>
      </c>
    </row>
    <row r="1733" spans="37:38" s="4" customFormat="1">
      <c r="AK1733" s="3">
        <v>1727</v>
      </c>
      <c r="AL1733" s="163">
        <v>2.5719395094056914</v>
      </c>
    </row>
    <row r="1734" spans="37:38" s="4" customFormat="1">
      <c r="AK1734" s="3">
        <v>1728</v>
      </c>
      <c r="AL1734" s="163">
        <v>2.5725541339753444</v>
      </c>
    </row>
    <row r="1735" spans="37:38" s="4" customFormat="1">
      <c r="AK1735" s="3">
        <v>1729</v>
      </c>
      <c r="AL1735" s="163">
        <v>2.5731684235757375</v>
      </c>
    </row>
    <row r="1736" spans="37:38" s="4" customFormat="1">
      <c r="AK1736" s="3">
        <v>1730</v>
      </c>
      <c r="AL1736" s="163">
        <v>2.5737823789851801</v>
      </c>
    </row>
    <row r="1737" spans="37:38" s="4" customFormat="1">
      <c r="AK1737" s="3">
        <v>1731</v>
      </c>
      <c r="AL1737" s="163">
        <v>2.5743960009813724</v>
      </c>
    </row>
    <row r="1738" spans="37:38" s="4" customFormat="1">
      <c r="AK1738" s="3">
        <v>1732</v>
      </c>
      <c r="AL1738" s="163">
        <v>2.5750092903414039</v>
      </c>
    </row>
    <row r="1739" spans="37:38" s="4" customFormat="1">
      <c r="AK1739" s="3">
        <v>1733</v>
      </c>
      <c r="AL1739" s="163">
        <v>2.5756222478417565</v>
      </c>
    </row>
    <row r="1740" spans="37:38" s="4" customFormat="1">
      <c r="AK1740" s="3">
        <v>1734</v>
      </c>
      <c r="AL1740" s="163">
        <v>2.576234874258299</v>
      </c>
    </row>
    <row r="1741" spans="37:38" s="4" customFormat="1">
      <c r="AK1741" s="3">
        <v>1735</v>
      </c>
      <c r="AL1741" s="163">
        <v>2.5768471703662907</v>
      </c>
    </row>
    <row r="1742" spans="37:38" s="4" customFormat="1">
      <c r="AK1742" s="3">
        <v>1736</v>
      </c>
      <c r="AL1742" s="163">
        <v>2.5774591369403845</v>
      </c>
    </row>
    <row r="1743" spans="37:38" s="4" customFormat="1">
      <c r="AK1743" s="3">
        <v>1737</v>
      </c>
      <c r="AL1743" s="163">
        <v>2.5780707747546194</v>
      </c>
    </row>
    <row r="1744" spans="37:38" s="4" customFormat="1">
      <c r="AK1744" s="3">
        <v>1738</v>
      </c>
      <c r="AL1744" s="163">
        <v>2.5786820845824283</v>
      </c>
    </row>
    <row r="1745" spans="37:38" s="4" customFormat="1">
      <c r="AK1745" s="3">
        <v>1739</v>
      </c>
      <c r="AL1745" s="163">
        <v>2.5792930671966348</v>
      </c>
    </row>
    <row r="1746" spans="37:38" s="4" customFormat="1">
      <c r="AK1746" s="3">
        <v>1740</v>
      </c>
      <c r="AL1746" s="163">
        <v>2.5799037233694531</v>
      </c>
    </row>
    <row r="1747" spans="37:38" s="4" customFormat="1">
      <c r="AK1747" s="3">
        <v>1741</v>
      </c>
      <c r="AL1747" s="163">
        <v>2.5805140538724873</v>
      </c>
    </row>
    <row r="1748" spans="37:38" s="4" customFormat="1">
      <c r="AK1748" s="3">
        <v>1742</v>
      </c>
      <c r="AL1748" s="163">
        <v>2.581124059476736</v>
      </c>
    </row>
    <row r="1749" spans="37:38" s="4" customFormat="1">
      <c r="AK1749" s="3">
        <v>1743</v>
      </c>
      <c r="AL1749" s="163">
        <v>2.5817337409525876</v>
      </c>
    </row>
    <row r="1750" spans="37:38" s="4" customFormat="1">
      <c r="AK1750" s="3">
        <v>1744</v>
      </c>
      <c r="AL1750" s="163">
        <v>2.5823430990698242</v>
      </c>
    </row>
    <row r="1751" spans="37:38" s="4" customFormat="1">
      <c r="AK1751" s="3">
        <v>1745</v>
      </c>
      <c r="AL1751" s="163">
        <v>2.5829521345976159</v>
      </c>
    </row>
    <row r="1752" spans="37:38" s="4" customFormat="1">
      <c r="AK1752" s="3">
        <v>1746</v>
      </c>
      <c r="AL1752" s="163">
        <v>2.5835608483045283</v>
      </c>
    </row>
    <row r="1753" spans="37:38" s="4" customFormat="1">
      <c r="AK1753" s="3">
        <v>1747</v>
      </c>
      <c r="AL1753" s="163">
        <v>2.5841692409585195</v>
      </c>
    </row>
    <row r="1754" spans="37:38" s="4" customFormat="1">
      <c r="AK1754" s="3">
        <v>1748</v>
      </c>
      <c r="AL1754" s="163">
        <v>2.5847773133269407</v>
      </c>
    </row>
    <row r="1755" spans="37:38" s="4" customFormat="1">
      <c r="AK1755" s="3">
        <v>1749</v>
      </c>
      <c r="AL1755" s="163">
        <v>2.5853850661765332</v>
      </c>
    </row>
    <row r="1756" spans="37:38" s="4" customFormat="1">
      <c r="AK1756" s="3">
        <v>1750</v>
      </c>
      <c r="AL1756" s="163">
        <v>2.585992500273433</v>
      </c>
    </row>
    <row r="1757" spans="37:38" s="4" customFormat="1">
      <c r="AK1757" s="3">
        <v>1751</v>
      </c>
      <c r="AL1757" s="163">
        <v>2.5865996163831708</v>
      </c>
    </row>
    <row r="1758" spans="37:38" s="4" customFormat="1">
      <c r="AK1758" s="3">
        <v>1752</v>
      </c>
      <c r="AL1758" s="163">
        <v>2.5872064152706673</v>
      </c>
    </row>
    <row r="1759" spans="37:38" s="4" customFormat="1">
      <c r="AK1759" s="3">
        <v>1753</v>
      </c>
      <c r="AL1759" s="163">
        <v>2.5878128977002404</v>
      </c>
    </row>
    <row r="1760" spans="37:38" s="4" customFormat="1">
      <c r="AK1760" s="3">
        <v>1754</v>
      </c>
      <c r="AL1760" s="163">
        <v>2.5884190644355982</v>
      </c>
    </row>
    <row r="1761" spans="37:38" s="4" customFormat="1">
      <c r="AK1761" s="3">
        <v>1755</v>
      </c>
      <c r="AL1761" s="163">
        <v>2.5890249162398447</v>
      </c>
    </row>
    <row r="1762" spans="37:38" s="4" customFormat="1">
      <c r="AK1762" s="3">
        <v>1756</v>
      </c>
      <c r="AL1762" s="163">
        <v>2.5896304538754777</v>
      </c>
    </row>
    <row r="1763" spans="37:38" s="4" customFormat="1">
      <c r="AK1763" s="3">
        <v>1757</v>
      </c>
      <c r="AL1763" s="163">
        <v>2.5902356781043894</v>
      </c>
    </row>
    <row r="1764" spans="37:38" s="4" customFormat="1">
      <c r="AK1764" s="3">
        <v>1758</v>
      </c>
      <c r="AL1764" s="163">
        <v>2.5908405896878666</v>
      </c>
    </row>
    <row r="1765" spans="37:38" s="4" customFormat="1">
      <c r="AK1765" s="3">
        <v>1759</v>
      </c>
      <c r="AL1765" s="163">
        <v>2.5914451893865902</v>
      </c>
    </row>
    <row r="1766" spans="37:38" s="4" customFormat="1">
      <c r="AK1766" s="3">
        <v>1760</v>
      </c>
      <c r="AL1766" s="163">
        <v>2.5920494779606349</v>
      </c>
    </row>
    <row r="1767" spans="37:38" s="4" customFormat="1">
      <c r="AK1767" s="3">
        <v>1761</v>
      </c>
      <c r="AL1767" s="163">
        <v>2.592653456169475</v>
      </c>
    </row>
    <row r="1768" spans="37:38" s="4" customFormat="1">
      <c r="AK1768" s="3">
        <v>1762</v>
      </c>
      <c r="AL1768" s="163">
        <v>2.5932571247719736</v>
      </c>
    </row>
    <row r="1769" spans="37:38" s="4" customFormat="1">
      <c r="AK1769" s="3">
        <v>1763</v>
      </c>
      <c r="AL1769" s="163">
        <v>2.5938604845263944</v>
      </c>
    </row>
    <row r="1770" spans="37:38" s="4" customFormat="1">
      <c r="AK1770" s="3">
        <v>1764</v>
      </c>
      <c r="AL1770" s="163">
        <v>2.5944635361903936</v>
      </c>
    </row>
    <row r="1771" spans="37:38" s="4" customFormat="1">
      <c r="AK1771" s="3">
        <v>1765</v>
      </c>
      <c r="AL1771" s="163">
        <v>2.5950662805210238</v>
      </c>
    </row>
    <row r="1772" spans="37:38" s="4" customFormat="1">
      <c r="AK1772" s="3">
        <v>1766</v>
      </c>
      <c r="AL1772" s="163">
        <v>2.5956687182747347</v>
      </c>
    </row>
    <row r="1773" spans="37:38" s="4" customFormat="1">
      <c r="AK1773" s="3">
        <v>1767</v>
      </c>
      <c r="AL1773" s="163">
        <v>2.596270850207369</v>
      </c>
    </row>
    <row r="1774" spans="37:38" s="4" customFormat="1">
      <c r="AK1774" s="3">
        <v>1768</v>
      </c>
      <c r="AL1774" s="163">
        <v>2.5968726770741721</v>
      </c>
    </row>
    <row r="1775" spans="37:38" s="4" customFormat="1">
      <c r="AK1775" s="3">
        <v>1769</v>
      </c>
      <c r="AL1775" s="163">
        <v>2.5974741996297781</v>
      </c>
    </row>
    <row r="1776" spans="37:38" s="4" customFormat="1">
      <c r="AK1776" s="3">
        <v>1770</v>
      </c>
      <c r="AL1776" s="163">
        <v>2.5980754186282233</v>
      </c>
    </row>
    <row r="1777" spans="37:38" s="4" customFormat="1">
      <c r="AK1777" s="3">
        <v>1771</v>
      </c>
      <c r="AL1777" s="163">
        <v>2.5986763348229389</v>
      </c>
    </row>
    <row r="1778" spans="37:38" s="4" customFormat="1">
      <c r="AK1778" s="3">
        <v>1772</v>
      </c>
      <c r="AL1778" s="163">
        <v>2.599276948966752</v>
      </c>
    </row>
    <row r="1779" spans="37:38" s="4" customFormat="1">
      <c r="AK1779" s="3">
        <v>1773</v>
      </c>
      <c r="AL1779" s="163">
        <v>2.5998772618118897</v>
      </c>
    </row>
    <row r="1780" spans="37:38" s="4" customFormat="1">
      <c r="AK1780" s="3">
        <v>1774</v>
      </c>
      <c r="AL1780" s="163">
        <v>2.6004772741099749</v>
      </c>
    </row>
    <row r="1781" spans="37:38" s="4" customFormat="1">
      <c r="AK1781" s="3">
        <v>1775</v>
      </c>
      <c r="AL1781" s="163">
        <v>2.6010769866120271</v>
      </c>
    </row>
    <row r="1782" spans="37:38" s="4" customFormat="1">
      <c r="AK1782" s="3">
        <v>1776</v>
      </c>
      <c r="AL1782" s="163">
        <v>2.6016764000684636</v>
      </c>
    </row>
    <row r="1783" spans="37:38" s="4" customFormat="1">
      <c r="AK1783" s="3">
        <v>1777</v>
      </c>
      <c r="AL1783" s="163">
        <v>2.6022755152291039</v>
      </c>
    </row>
    <row r="1784" spans="37:38" s="4" customFormat="1">
      <c r="AK1784" s="3">
        <v>1778</v>
      </c>
      <c r="AL1784" s="163">
        <v>2.6028743328431596</v>
      </c>
    </row>
    <row r="1785" spans="37:38" s="4" customFormat="1">
      <c r="AK1785" s="3">
        <v>1779</v>
      </c>
      <c r="AL1785" s="163">
        <v>2.6034728536592437</v>
      </c>
    </row>
    <row r="1786" spans="37:38" s="4" customFormat="1">
      <c r="AK1786" s="3">
        <v>1780</v>
      </c>
      <c r="AL1786" s="163">
        <v>2.6040710784253696</v>
      </c>
    </row>
    <row r="1787" spans="37:38" s="4" customFormat="1">
      <c r="AK1787" s="3">
        <v>1781</v>
      </c>
      <c r="AL1787" s="163">
        <v>2.6046690078889454</v>
      </c>
    </row>
    <row r="1788" spans="37:38" s="4" customFormat="1">
      <c r="AK1788" s="3">
        <v>1782</v>
      </c>
      <c r="AL1788" s="163">
        <v>2.6052666427967797</v>
      </c>
    </row>
    <row r="1789" spans="37:38" s="4" customFormat="1">
      <c r="AK1789" s="3">
        <v>1783</v>
      </c>
      <c r="AL1789" s="163">
        <v>2.6058639838950812</v>
      </c>
    </row>
    <row r="1790" spans="37:38" s="4" customFormat="1">
      <c r="AK1790" s="3">
        <v>1784</v>
      </c>
      <c r="AL1790" s="163">
        <v>2.6064610319294572</v>
      </c>
    </row>
    <row r="1791" spans="37:38" s="4" customFormat="1">
      <c r="AK1791" s="3">
        <v>1785</v>
      </c>
      <c r="AL1791" s="163">
        <v>2.6070577876449139</v>
      </c>
    </row>
    <row r="1792" spans="37:38" s="4" customFormat="1">
      <c r="AK1792" s="3">
        <v>1786</v>
      </c>
      <c r="AL1792" s="163">
        <v>2.6076542517858559</v>
      </c>
    </row>
    <row r="1793" spans="37:38" s="4" customFormat="1">
      <c r="AK1793" s="3">
        <v>1787</v>
      </c>
      <c r="AL1793" s="163">
        <v>2.6082504250960912</v>
      </c>
    </row>
    <row r="1794" spans="37:38" s="4" customFormat="1">
      <c r="AK1794" s="3">
        <v>1788</v>
      </c>
      <c r="AL1794" s="163">
        <v>2.608846308318824</v>
      </c>
    </row>
    <row r="1795" spans="37:38" s="4" customFormat="1">
      <c r="AK1795" s="3">
        <v>1789</v>
      </c>
      <c r="AL1795" s="163">
        <v>2.6094419021966626</v>
      </c>
    </row>
    <row r="1796" spans="37:38" s="4" customFormat="1">
      <c r="AK1796" s="3">
        <v>1790</v>
      </c>
      <c r="AL1796" s="163">
        <v>2.6100372074716107</v>
      </c>
    </row>
    <row r="1797" spans="37:38" s="4" customFormat="1">
      <c r="AK1797" s="3">
        <v>1791</v>
      </c>
      <c r="AL1797" s="163">
        <v>2.6106322248850766</v>
      </c>
    </row>
    <row r="1798" spans="37:38" s="4" customFormat="1">
      <c r="AK1798" s="3">
        <v>1792</v>
      </c>
      <c r="AL1798" s="163">
        <v>2.6112269551778682</v>
      </c>
    </row>
    <row r="1799" spans="37:38" s="4" customFormat="1">
      <c r="AK1799" s="3">
        <v>1793</v>
      </c>
      <c r="AL1799" s="163">
        <v>2.6118213990901946</v>
      </c>
    </row>
    <row r="1800" spans="37:38" s="4" customFormat="1">
      <c r="AK1800" s="3">
        <v>1794</v>
      </c>
      <c r="AL1800" s="163">
        <v>2.612415557361663</v>
      </c>
    </row>
    <row r="1801" spans="37:38" s="4" customFormat="1">
      <c r="AK1801" s="3">
        <v>1795</v>
      </c>
      <c r="AL1801" s="163">
        <v>2.6130094307312852</v>
      </c>
    </row>
    <row r="1802" spans="37:38" s="4" customFormat="1">
      <c r="AK1802" s="3">
        <v>1796</v>
      </c>
      <c r="AL1802" s="163">
        <v>2.6136030199374742</v>
      </c>
    </row>
    <row r="1803" spans="37:38" s="4" customFormat="1">
      <c r="AK1803" s="3">
        <v>1797</v>
      </c>
      <c r="AL1803" s="163">
        <v>2.6141963257180434</v>
      </c>
    </row>
    <row r="1804" spans="37:38" s="4" customFormat="1">
      <c r="AK1804" s="3">
        <v>1798</v>
      </c>
      <c r="AL1804" s="163">
        <v>2.6147893488102092</v>
      </c>
    </row>
    <row r="1805" spans="37:38" s="4" customFormat="1">
      <c r="AK1805" s="3">
        <v>1799</v>
      </c>
      <c r="AL1805" s="163">
        <v>2.6153820899505877</v>
      </c>
    </row>
    <row r="1806" spans="37:38" s="4" customFormat="1">
      <c r="AK1806" s="3">
        <v>1800</v>
      </c>
      <c r="AL1806" s="163">
        <v>2.6159745498752005</v>
      </c>
    </row>
    <row r="1807" spans="37:38" s="4" customFormat="1">
      <c r="AK1807" s="3">
        <v>1801</v>
      </c>
      <c r="AL1807" s="163">
        <v>2.6165667293194694</v>
      </c>
    </row>
    <row r="1808" spans="37:38" s="4" customFormat="1">
      <c r="AK1808" s="3">
        <v>1802</v>
      </c>
      <c r="AL1808" s="163">
        <v>2.6171586290182183</v>
      </c>
    </row>
    <row r="1809" spans="37:38" s="4" customFormat="1">
      <c r="AK1809" s="3">
        <v>1803</v>
      </c>
      <c r="AL1809" s="163">
        <v>2.6177502497056766</v>
      </c>
    </row>
    <row r="1810" spans="37:38" s="4" customFormat="1">
      <c r="AK1810" s="3">
        <v>1804</v>
      </c>
      <c r="AL1810" s="163">
        <v>2.6183415921154718</v>
      </c>
    </row>
    <row r="1811" spans="37:38" s="4" customFormat="1">
      <c r="AK1811" s="3">
        <v>1805</v>
      </c>
      <c r="AL1811" s="163">
        <v>2.6189326569806397</v>
      </c>
    </row>
    <row r="1812" spans="37:38" s="4" customFormat="1">
      <c r="AK1812" s="3">
        <v>1806</v>
      </c>
      <c r="AL1812" s="163">
        <v>2.6195234450336162</v>
      </c>
    </row>
    <row r="1813" spans="37:38" s="4" customFormat="1">
      <c r="AK1813" s="3">
        <v>1807</v>
      </c>
      <c r="AL1813" s="163">
        <v>2.6201139570062413</v>
      </c>
    </row>
    <row r="1814" spans="37:38" s="4" customFormat="1">
      <c r="AK1814" s="3">
        <v>1808</v>
      </c>
      <c r="AL1814" s="163">
        <v>2.6207041936297601</v>
      </c>
    </row>
    <row r="1815" spans="37:38" s="4" customFormat="1">
      <c r="AK1815" s="3">
        <v>1809</v>
      </c>
      <c r="AL1815" s="163">
        <v>2.6212941556348182</v>
      </c>
    </row>
    <row r="1816" spans="37:38" s="4" customFormat="1">
      <c r="AK1816" s="3">
        <v>1810</v>
      </c>
      <c r="AL1816" s="163">
        <v>2.62188384375147</v>
      </c>
    </row>
    <row r="1817" spans="37:38" s="4" customFormat="1">
      <c r="AK1817" s="3">
        <v>1811</v>
      </c>
      <c r="AL1817" s="163">
        <v>2.6224732587091699</v>
      </c>
    </row>
    <row r="1818" spans="37:38" s="4" customFormat="1">
      <c r="AK1818" s="3">
        <v>1812</v>
      </c>
      <c r="AL1818" s="163">
        <v>2.6230624012367785</v>
      </c>
    </row>
    <row r="1819" spans="37:38" s="4" customFormat="1">
      <c r="AK1819" s="3">
        <v>1813</v>
      </c>
      <c r="AL1819" s="163">
        <v>2.6236512720625607</v>
      </c>
    </row>
    <row r="1820" spans="37:38" s="4" customFormat="1">
      <c r="AK1820" s="3">
        <v>1814</v>
      </c>
      <c r="AL1820" s="163">
        <v>2.6242398719141855</v>
      </c>
    </row>
    <row r="1821" spans="37:38" s="4" customFormat="1">
      <c r="AK1821" s="3">
        <v>1815</v>
      </c>
      <c r="AL1821" s="163">
        <v>2.624828201518727</v>
      </c>
    </row>
    <row r="1822" spans="37:38" s="4" customFormat="1">
      <c r="AK1822" s="3">
        <v>1816</v>
      </c>
      <c r="AL1822" s="163">
        <v>2.6254162616026675</v>
      </c>
    </row>
    <row r="1823" spans="37:38" s="4" customFormat="1">
      <c r="AK1823" s="3">
        <v>1817</v>
      </c>
      <c r="AL1823" s="163">
        <v>2.6260040528918878</v>
      </c>
    </row>
    <row r="1824" spans="37:38" s="4" customFormat="1">
      <c r="AK1824" s="3">
        <v>1818</v>
      </c>
      <c r="AL1824" s="163">
        <v>2.6265915761116827</v>
      </c>
    </row>
    <row r="1825" spans="37:38" s="4" customFormat="1">
      <c r="AK1825" s="3">
        <v>1819</v>
      </c>
      <c r="AL1825" s="163">
        <v>2.6271788319867446</v>
      </c>
    </row>
    <row r="1826" spans="37:38" s="4" customFormat="1">
      <c r="AK1826" s="3">
        <v>1820</v>
      </c>
      <c r="AL1826" s="163">
        <v>2.6277658212411787</v>
      </c>
    </row>
    <row r="1827" spans="37:38" s="4" customFormat="1">
      <c r="AK1827" s="3">
        <v>1821</v>
      </c>
      <c r="AL1827" s="163">
        <v>2.6283525445984912</v>
      </c>
    </row>
    <row r="1828" spans="37:38" s="4" customFormat="1">
      <c r="AK1828" s="3">
        <v>1822</v>
      </c>
      <c r="AL1828" s="163">
        <v>2.6289390027815958</v>
      </c>
    </row>
    <row r="1829" spans="37:38" s="4" customFormat="1">
      <c r="AK1829" s="3">
        <v>1823</v>
      </c>
      <c r="AL1829" s="163">
        <v>2.6295251965128159</v>
      </c>
    </row>
    <row r="1830" spans="37:38" s="4" customFormat="1">
      <c r="AK1830" s="3">
        <v>1824</v>
      </c>
      <c r="AL1830" s="163">
        <v>2.6301111265138744</v>
      </c>
    </row>
    <row r="1831" spans="37:38" s="4" customFormat="1">
      <c r="AK1831" s="3">
        <v>1825</v>
      </c>
      <c r="AL1831" s="163">
        <v>2.6306967935059071</v>
      </c>
    </row>
    <row r="1832" spans="37:38" s="4" customFormat="1">
      <c r="AK1832" s="3">
        <v>1826</v>
      </c>
      <c r="AL1832" s="163">
        <v>2.6312821982094556</v>
      </c>
    </row>
    <row r="1833" spans="37:38" s="4" customFormat="1">
      <c r="AK1833" s="3">
        <v>1827</v>
      </c>
      <c r="AL1833" s="163">
        <v>2.6318673413444671</v>
      </c>
    </row>
    <row r="1834" spans="37:38" s="4" customFormat="1">
      <c r="AK1834" s="3">
        <v>1828</v>
      </c>
      <c r="AL1834" s="163">
        <v>2.6324522236302981</v>
      </c>
    </row>
    <row r="1835" spans="37:38" s="4" customFormat="1">
      <c r="AK1835" s="3">
        <v>1829</v>
      </c>
      <c r="AL1835" s="163">
        <v>2.6330368457857096</v>
      </c>
    </row>
    <row r="1836" spans="37:38" s="4" customFormat="1">
      <c r="AK1836" s="3">
        <v>1830</v>
      </c>
      <c r="AL1836" s="163">
        <v>2.633621208528873</v>
      </c>
    </row>
    <row r="1837" spans="37:38" s="4" customFormat="1">
      <c r="AK1837" s="3">
        <v>1831</v>
      </c>
      <c r="AL1837" s="163">
        <v>2.6342053125773672</v>
      </c>
    </row>
    <row r="1838" spans="37:38" s="4" customFormat="1">
      <c r="AK1838" s="3">
        <v>1832</v>
      </c>
      <c r="AL1838" s="163">
        <v>2.6347891586481778</v>
      </c>
    </row>
    <row r="1839" spans="37:38" s="4" customFormat="1">
      <c r="AK1839" s="3">
        <v>1833</v>
      </c>
      <c r="AL1839" s="163">
        <v>2.6353727474577022</v>
      </c>
    </row>
    <row r="1840" spans="37:38" s="4" customFormat="1">
      <c r="AK1840" s="3">
        <v>1834</v>
      </c>
      <c r="AL1840" s="163">
        <v>2.6359560797217383</v>
      </c>
    </row>
    <row r="1841" spans="37:38" s="4" customFormat="1">
      <c r="AK1841" s="3">
        <v>1835</v>
      </c>
      <c r="AL1841" s="163">
        <v>2.6365391561555009</v>
      </c>
    </row>
    <row r="1842" spans="37:38" s="4" customFormat="1">
      <c r="AK1842" s="3">
        <v>1836</v>
      </c>
      <c r="AL1842" s="163">
        <v>2.637121977473611</v>
      </c>
    </row>
    <row r="1843" spans="37:38" s="4" customFormat="1">
      <c r="AK1843" s="3">
        <v>1837</v>
      </c>
      <c r="AL1843" s="163">
        <v>2.6377045443900964</v>
      </c>
    </row>
    <row r="1844" spans="37:38" s="4" customFormat="1">
      <c r="AK1844" s="3">
        <v>1838</v>
      </c>
      <c r="AL1844" s="163">
        <v>2.6382868576183967</v>
      </c>
    </row>
    <row r="1845" spans="37:38" s="4" customFormat="1">
      <c r="AK1845" s="3">
        <v>1839</v>
      </c>
      <c r="AL1845" s="163">
        <v>2.6388689178713589</v>
      </c>
    </row>
    <row r="1846" spans="37:38" s="4" customFormat="1">
      <c r="AK1846" s="3">
        <v>1840</v>
      </c>
      <c r="AL1846" s="163">
        <v>2.639450725861241</v>
      </c>
    </row>
    <row r="1847" spans="37:38" s="4" customFormat="1">
      <c r="AK1847" s="3">
        <v>1841</v>
      </c>
      <c r="AL1847" s="163">
        <v>2.6400322822997109</v>
      </c>
    </row>
    <row r="1848" spans="37:38" s="4" customFormat="1">
      <c r="AK1848" s="3">
        <v>1842</v>
      </c>
      <c r="AL1848" s="163">
        <v>2.6406135878978443</v>
      </c>
    </row>
    <row r="1849" spans="37:38" s="4" customFormat="1">
      <c r="AK1849" s="3">
        <v>1843</v>
      </c>
      <c r="AL1849" s="163">
        <v>2.6411946433661293</v>
      </c>
    </row>
    <row r="1850" spans="37:38" s="4" customFormat="1">
      <c r="AK1850" s="3">
        <v>1844</v>
      </c>
      <c r="AL1850" s="163">
        <v>2.6417754494144625</v>
      </c>
    </row>
    <row r="1851" spans="37:38" s="4" customFormat="1">
      <c r="AK1851" s="3">
        <v>1845</v>
      </c>
      <c r="AL1851" s="163">
        <v>2.642356006752153</v>
      </c>
    </row>
    <row r="1852" spans="37:38" s="4" customFormat="1">
      <c r="AK1852" s="3">
        <v>1846</v>
      </c>
      <c r="AL1852" s="163">
        <v>2.642936316087916</v>
      </c>
    </row>
    <row r="1853" spans="37:38" s="4" customFormat="1">
      <c r="AK1853" s="3">
        <v>1847</v>
      </c>
      <c r="AL1853" s="163">
        <v>2.6435163781298834</v>
      </c>
    </row>
    <row r="1854" spans="37:38" s="4" customFormat="1">
      <c r="AK1854" s="3">
        <v>1848</v>
      </c>
      <c r="AL1854" s="163">
        <v>2.6440961935855953</v>
      </c>
    </row>
    <row r="1855" spans="37:38" s="4" customFormat="1">
      <c r="AK1855" s="3">
        <v>1849</v>
      </c>
      <c r="AL1855" s="163">
        <v>2.6446757631620028</v>
      </c>
    </row>
    <row r="1856" spans="37:38" s="4" customFormat="1">
      <c r="AK1856" s="3">
        <v>1850</v>
      </c>
      <c r="AL1856" s="163">
        <v>2.6452550875654675</v>
      </c>
    </row>
    <row r="1857" spans="37:38" s="4" customFormat="1">
      <c r="AK1857" s="3">
        <v>1851</v>
      </c>
      <c r="AL1857" s="163">
        <v>2.6458341675017647</v>
      </c>
    </row>
    <row r="1858" spans="37:38" s="4" customFormat="1">
      <c r="AK1858" s="3">
        <v>1852</v>
      </c>
      <c r="AL1858" s="163">
        <v>2.6464130036760811</v>
      </c>
    </row>
    <row r="1859" spans="37:38" s="4" customFormat="1">
      <c r="AK1859" s="3">
        <v>1853</v>
      </c>
      <c r="AL1859" s="163">
        <v>2.6469915967930135</v>
      </c>
    </row>
    <row r="1860" spans="37:38" s="4" customFormat="1">
      <c r="AK1860" s="3">
        <v>1854</v>
      </c>
      <c r="AL1860" s="163">
        <v>2.6475699475565717</v>
      </c>
    </row>
    <row r="1861" spans="37:38" s="4" customFormat="1">
      <c r="AK1861" s="3">
        <v>1855</v>
      </c>
      <c r="AL1861" s="163">
        <v>2.6481480566701778</v>
      </c>
    </row>
    <row r="1862" spans="37:38" s="4" customFormat="1">
      <c r="AK1862" s="3">
        <v>1856</v>
      </c>
      <c r="AL1862" s="163">
        <v>2.6487259248366666</v>
      </c>
    </row>
    <row r="1863" spans="37:38" s="4" customFormat="1">
      <c r="AK1863" s="3">
        <v>1857</v>
      </c>
      <c r="AL1863" s="163">
        <v>2.6493035527582856</v>
      </c>
    </row>
    <row r="1864" spans="37:38" s="4" customFormat="1">
      <c r="AK1864" s="3">
        <v>1858</v>
      </c>
      <c r="AL1864" s="163">
        <v>2.6498809411366953</v>
      </c>
    </row>
    <row r="1865" spans="37:38" s="4" customFormat="1">
      <c r="AK1865" s="3">
        <v>1859</v>
      </c>
      <c r="AL1865" s="163">
        <v>2.6504580906729678</v>
      </c>
    </row>
    <row r="1866" spans="37:38" s="4" customFormat="1">
      <c r="AK1866" s="3">
        <v>1860</v>
      </c>
      <c r="AL1866" s="163">
        <v>2.6510350020675921</v>
      </c>
    </row>
    <row r="1867" spans="37:38" s="4" customFormat="1">
      <c r="AK1867" s="3">
        <v>1861</v>
      </c>
      <c r="AL1867" s="163">
        <v>2.6516116760204649</v>
      </c>
    </row>
    <row r="1868" spans="37:38" s="4" customFormat="1">
      <c r="AK1868" s="3">
        <v>1862</v>
      </c>
      <c r="AL1868" s="163">
        <v>2.6521881132309013</v>
      </c>
    </row>
    <row r="1869" spans="37:38" s="4" customFormat="1">
      <c r="AK1869" s="3">
        <v>1863</v>
      </c>
      <c r="AL1869" s="163">
        <v>2.6527643143976269</v>
      </c>
    </row>
    <row r="1870" spans="37:38" s="4" customFormat="1">
      <c r="AK1870" s="3">
        <v>1864</v>
      </c>
      <c r="AL1870" s="163">
        <v>2.6533402802187824</v>
      </c>
    </row>
    <row r="1871" spans="37:38" s="4" customFormat="1">
      <c r="AK1871" s="3">
        <v>1865</v>
      </c>
      <c r="AL1871" s="163">
        <v>2.6539160113919253</v>
      </c>
    </row>
    <row r="1872" spans="37:38" s="4" customFormat="1">
      <c r="AK1872" s="3">
        <v>1866</v>
      </c>
      <c r="AL1872" s="163">
        <v>2.6544915086140226</v>
      </c>
    </row>
    <row r="1873" spans="37:38" s="4" customFormat="1">
      <c r="AK1873" s="3">
        <v>1867</v>
      </c>
      <c r="AL1873" s="163">
        <v>2.6550667725814594</v>
      </c>
    </row>
    <row r="1874" spans="37:38" s="4" customFormat="1">
      <c r="AK1874" s="3">
        <v>1868</v>
      </c>
      <c r="AL1874" s="163">
        <v>2.6556418039900325</v>
      </c>
    </row>
    <row r="1875" spans="37:38" s="4" customFormat="1">
      <c r="AK1875" s="3">
        <v>1869</v>
      </c>
      <c r="AL1875" s="163">
        <v>2.6562166035349564</v>
      </c>
    </row>
    <row r="1876" spans="37:38" s="4" customFormat="1">
      <c r="AK1876" s="3">
        <v>1870</v>
      </c>
      <c r="AL1876" s="163">
        <v>2.6567911719108603</v>
      </c>
    </row>
    <row r="1877" spans="37:38" s="4" customFormat="1">
      <c r="AK1877" s="3">
        <v>1871</v>
      </c>
      <c r="AL1877" s="163">
        <v>2.6573655098117865</v>
      </c>
    </row>
    <row r="1878" spans="37:38" s="4" customFormat="1">
      <c r="AK1878" s="3">
        <v>1872</v>
      </c>
      <c r="AL1878" s="163">
        <v>2.6579396179311958</v>
      </c>
    </row>
    <row r="1879" spans="37:38" s="4" customFormat="1">
      <c r="AK1879" s="3">
        <v>1873</v>
      </c>
      <c r="AL1879" s="163">
        <v>2.6585134969619593</v>
      </c>
    </row>
    <row r="1880" spans="37:38" s="4" customFormat="1">
      <c r="AK1880" s="3">
        <v>1874</v>
      </c>
      <c r="AL1880" s="163">
        <v>2.6590871475963684</v>
      </c>
    </row>
    <row r="1881" spans="37:38" s="4" customFormat="1">
      <c r="AK1881" s="3">
        <v>1875</v>
      </c>
      <c r="AL1881" s="163">
        <v>2.6596605705261305</v>
      </c>
    </row>
    <row r="1882" spans="37:38" s="4" customFormat="1">
      <c r="AK1882" s="3">
        <v>1876</v>
      </c>
      <c r="AL1882" s="163">
        <v>2.6602337664423681</v>
      </c>
    </row>
    <row r="1883" spans="37:38" s="4" customFormat="1">
      <c r="AK1883" s="3">
        <v>1877</v>
      </c>
      <c r="AL1883" s="163">
        <v>2.6608067360356182</v>
      </c>
    </row>
    <row r="1884" spans="37:38" s="4" customFormat="1">
      <c r="AK1884" s="3">
        <v>1878</v>
      </c>
      <c r="AL1884" s="163">
        <v>2.6613794799958379</v>
      </c>
    </row>
    <row r="1885" spans="37:38" s="4" customFormat="1">
      <c r="AK1885" s="3">
        <v>1879</v>
      </c>
      <c r="AL1885" s="163">
        <v>2.661951999012397</v>
      </c>
    </row>
    <row r="1886" spans="37:38" s="4" customFormat="1">
      <c r="AK1886" s="3">
        <v>1880</v>
      </c>
      <c r="AL1886" s="163">
        <v>2.6625242937740858</v>
      </c>
    </row>
    <row r="1887" spans="37:38" s="4" customFormat="1">
      <c r="AK1887" s="3">
        <v>1881</v>
      </c>
      <c r="AL1887" s="163">
        <v>2.6630963649691095</v>
      </c>
    </row>
    <row r="1888" spans="37:38" s="4" customFormat="1">
      <c r="AK1888" s="3">
        <v>1882</v>
      </c>
      <c r="AL1888" s="163">
        <v>2.6636682132850908</v>
      </c>
    </row>
    <row r="1889" spans="37:38" s="4" customFormat="1">
      <c r="AK1889" s="3">
        <v>1883</v>
      </c>
      <c r="AL1889" s="163">
        <v>2.6642398394090696</v>
      </c>
    </row>
    <row r="1890" spans="37:38" s="4" customFormat="1">
      <c r="AK1890" s="3">
        <v>1884</v>
      </c>
      <c r="AL1890" s="163">
        <v>2.6648112440275047</v>
      </c>
    </row>
    <row r="1891" spans="37:38" s="4" customFormat="1">
      <c r="AK1891" s="3">
        <v>1885</v>
      </c>
      <c r="AL1891" s="163">
        <v>2.6653824278262719</v>
      </c>
    </row>
    <row r="1892" spans="37:38" s="4" customFormat="1">
      <c r="AK1892" s="3">
        <v>1886</v>
      </c>
      <c r="AL1892" s="163">
        <v>2.6659533914906635</v>
      </c>
    </row>
    <row r="1893" spans="37:38" s="4" customFormat="1">
      <c r="AK1893" s="3">
        <v>1887</v>
      </c>
      <c r="AL1893" s="163">
        <v>2.666524135705393</v>
      </c>
    </row>
    <row r="1894" spans="37:38" s="4" customFormat="1">
      <c r="AK1894" s="3">
        <v>1888</v>
      </c>
      <c r="AL1894" s="163">
        <v>2.6670946611545903</v>
      </c>
    </row>
    <row r="1895" spans="37:38" s="4" customFormat="1">
      <c r="AK1895" s="3">
        <v>1889</v>
      </c>
      <c r="AL1895" s="163">
        <v>2.6676649685218039</v>
      </c>
    </row>
    <row r="1896" spans="37:38" s="4" customFormat="1">
      <c r="AK1896" s="3">
        <v>1890</v>
      </c>
      <c r="AL1896" s="163">
        <v>2.6682350584899992</v>
      </c>
    </row>
    <row r="1897" spans="37:38" s="4" customFormat="1">
      <c r="AK1897" s="3">
        <v>1891</v>
      </c>
      <c r="AL1897" s="163">
        <v>2.6688049317415654</v>
      </c>
    </row>
    <row r="1898" spans="37:38" s="4" customFormat="1">
      <c r="AK1898" s="3">
        <v>1892</v>
      </c>
      <c r="AL1898" s="163">
        <v>2.6693745889583074</v>
      </c>
    </row>
    <row r="1899" spans="37:38" s="4" customFormat="1">
      <c r="AK1899" s="3">
        <v>1893</v>
      </c>
      <c r="AL1899" s="163">
        <v>2.6699440308214482</v>
      </c>
    </row>
    <row r="1900" spans="37:38" s="4" customFormat="1">
      <c r="AK1900" s="3">
        <v>1894</v>
      </c>
      <c r="AL1900" s="163">
        <v>2.6705132580116322</v>
      </c>
    </row>
    <row r="1901" spans="37:38" s="4" customFormat="1">
      <c r="AK1901" s="3">
        <v>1895</v>
      </c>
      <c r="AL1901" s="163">
        <v>2.6710822712089244</v>
      </c>
    </row>
    <row r="1902" spans="37:38" s="4" customFormat="1">
      <c r="AK1902" s="3">
        <v>1896</v>
      </c>
      <c r="AL1902" s="163">
        <v>2.6716510710928048</v>
      </c>
    </row>
    <row r="1903" spans="37:38" s="4" customFormat="1">
      <c r="AK1903" s="3">
        <v>1897</v>
      </c>
      <c r="AL1903" s="163">
        <v>2.6722196583421813</v>
      </c>
    </row>
    <row r="1904" spans="37:38" s="4" customFormat="1">
      <c r="AK1904" s="3">
        <v>1898</v>
      </c>
      <c r="AL1904" s="163">
        <v>2.6727880336353746</v>
      </c>
    </row>
    <row r="1905" spans="37:38" s="4" customFormat="1">
      <c r="AK1905" s="3">
        <v>1899</v>
      </c>
      <c r="AL1905" s="163">
        <v>2.6733561976501292</v>
      </c>
    </row>
    <row r="1906" spans="37:38" s="4" customFormat="1">
      <c r="AK1906" s="3">
        <v>1900</v>
      </c>
      <c r="AL1906" s="163">
        <v>2.6739241510636096</v>
      </c>
    </row>
    <row r="1907" spans="37:38" s="4" customFormat="1">
      <c r="AK1907" s="3">
        <v>1901</v>
      </c>
      <c r="AL1907" s="163">
        <v>2.6744918945524008</v>
      </c>
    </row>
    <row r="1908" spans="37:38" s="4" customFormat="1">
      <c r="AK1908" s="3">
        <v>1902</v>
      </c>
      <c r="AL1908" s="163">
        <v>2.6750594287925105</v>
      </c>
    </row>
    <row r="1909" spans="37:38" s="4" customFormat="1">
      <c r="AK1909" s="3">
        <v>1903</v>
      </c>
      <c r="AL1909" s="163">
        <v>2.6756267544593619</v>
      </c>
    </row>
    <row r="1910" spans="37:38" s="4" customFormat="1">
      <c r="AK1910" s="3">
        <v>1904</v>
      </c>
      <c r="AL1910" s="163">
        <v>2.6761938722278069</v>
      </c>
    </row>
    <row r="1911" spans="37:38" s="4" customFormat="1">
      <c r="AK1911" s="3">
        <v>1905</v>
      </c>
      <c r="AL1911" s="163">
        <v>2.6767607827721149</v>
      </c>
    </row>
    <row r="1912" spans="37:38" s="4" customFormat="1">
      <c r="AK1912" s="3">
        <v>1906</v>
      </c>
      <c r="AL1912" s="163">
        <v>2.677327486765976</v>
      </c>
    </row>
    <row r="1913" spans="37:38" s="4" customFormat="1">
      <c r="AK1913" s="3">
        <v>1907</v>
      </c>
      <c r="AL1913" s="163">
        <v>2.6778939848825036</v>
      </c>
    </row>
    <row r="1914" spans="37:38" s="4" customFormat="1">
      <c r="AK1914" s="3">
        <v>1908</v>
      </c>
      <c r="AL1914" s="163">
        <v>2.678460277794235</v>
      </c>
    </row>
    <row r="1915" spans="37:38" s="4" customFormat="1">
      <c r="AK1915" s="3">
        <v>1909</v>
      </c>
      <c r="AL1915" s="163">
        <v>2.6790263661731251</v>
      </c>
    </row>
    <row r="1916" spans="37:38" s="4" customFormat="1">
      <c r="AK1916" s="3">
        <v>1910</v>
      </c>
      <c r="AL1916" s="163">
        <v>2.679592250690555</v>
      </c>
    </row>
    <row r="1917" spans="37:38" s="4" customFormat="1">
      <c r="AK1917" s="3">
        <v>1911</v>
      </c>
      <c r="AL1917" s="163">
        <v>2.6801579320173268</v>
      </c>
    </row>
    <row r="1918" spans="37:38" s="4" customFormat="1">
      <c r="AK1918" s="3">
        <v>1912</v>
      </c>
      <c r="AL1918" s="163">
        <v>2.6807234108236679</v>
      </c>
    </row>
    <row r="1919" spans="37:38" s="4" customFormat="1">
      <c r="AK1919" s="3">
        <v>1913</v>
      </c>
      <c r="AL1919" s="163">
        <v>2.6812886877792215</v>
      </c>
    </row>
    <row r="1920" spans="37:38" s="4" customFormat="1">
      <c r="AK1920" s="3">
        <v>1914</v>
      </c>
      <c r="AL1920" s="163">
        <v>2.6818537635530628</v>
      </c>
    </row>
    <row r="1921" spans="37:38" s="4" customFormat="1">
      <c r="AK1921" s="3">
        <v>1915</v>
      </c>
      <c r="AL1921" s="163">
        <v>2.6824186388136844</v>
      </c>
    </row>
    <row r="1922" spans="37:38" s="4" customFormat="1">
      <c r="AK1922" s="3">
        <v>1916</v>
      </c>
      <c r="AL1922" s="163">
        <v>2.6829833142290043</v>
      </c>
    </row>
    <row r="1923" spans="37:38" s="4" customFormat="1">
      <c r="AK1923" s="3">
        <v>1917</v>
      </c>
      <c r="AL1923" s="163">
        <v>2.6835477904663652</v>
      </c>
    </row>
    <row r="1924" spans="37:38" s="4" customFormat="1">
      <c r="AK1924" s="3">
        <v>1918</v>
      </c>
      <c r="AL1924" s="163">
        <v>2.6841120681925315</v>
      </c>
    </row>
    <row r="1925" spans="37:38" s="4" customFormat="1">
      <c r="AK1925" s="3">
        <v>1919</v>
      </c>
      <c r="AL1925" s="163">
        <v>2.6846761480736934</v>
      </c>
    </row>
    <row r="1926" spans="37:38" s="4" customFormat="1">
      <c r="AK1926" s="3">
        <v>1920</v>
      </c>
      <c r="AL1926" s="163">
        <v>2.6852400307754625</v>
      </c>
    </row>
    <row r="1927" spans="37:38" s="4" customFormat="1">
      <c r="AK1927" s="3">
        <v>1921</v>
      </c>
      <c r="AL1927" s="163">
        <v>2.6858037169628797</v>
      </c>
    </row>
    <row r="1928" spans="37:38" s="4" customFormat="1">
      <c r="AK1928" s="3">
        <v>1922</v>
      </c>
      <c r="AL1928" s="163">
        <v>2.6863672073004063</v>
      </c>
    </row>
    <row r="1929" spans="37:38" s="4" customFormat="1">
      <c r="AK1929" s="3">
        <v>1923</v>
      </c>
      <c r="AL1929" s="163">
        <v>2.6869305024519279</v>
      </c>
    </row>
    <row r="1930" spans="37:38" s="4" customFormat="1">
      <c r="AK1930" s="3">
        <v>1924</v>
      </c>
      <c r="AL1930" s="163">
        <v>2.6874936030807595</v>
      </c>
    </row>
    <row r="1931" spans="37:38" s="4" customFormat="1">
      <c r="AK1931" s="3">
        <v>1925</v>
      </c>
      <c r="AL1931" s="163">
        <v>2.6880565098496354</v>
      </c>
    </row>
    <row r="1932" spans="37:38" s="4" customFormat="1">
      <c r="AK1932" s="3">
        <v>1926</v>
      </c>
      <c r="AL1932" s="163">
        <v>2.6886192234207211</v>
      </c>
    </row>
    <row r="1933" spans="37:38" s="4" customFormat="1">
      <c r="AK1933" s="3">
        <v>1927</v>
      </c>
      <c r="AL1933" s="163">
        <v>2.6891817444556043</v>
      </c>
    </row>
    <row r="1934" spans="37:38" s="4" customFormat="1">
      <c r="AK1934" s="3">
        <v>1928</v>
      </c>
      <c r="AL1934" s="163">
        <v>2.6897440736152984</v>
      </c>
    </row>
    <row r="1935" spans="37:38" s="4" customFormat="1">
      <c r="AK1935" s="3">
        <v>1929</v>
      </c>
      <c r="AL1935" s="163">
        <v>2.6903062115602423</v>
      </c>
    </row>
    <row r="1936" spans="37:38" s="4" customFormat="1">
      <c r="AK1936" s="3">
        <v>1930</v>
      </c>
      <c r="AL1936" s="163">
        <v>2.6908681589503027</v>
      </c>
    </row>
    <row r="1937" spans="37:38" s="4" customFormat="1">
      <c r="AK1937" s="3">
        <v>1931</v>
      </c>
      <c r="AL1937" s="163">
        <v>2.6914299164447715</v>
      </c>
    </row>
    <row r="1938" spans="37:38" s="4" customFormat="1">
      <c r="AK1938" s="3">
        <v>1932</v>
      </c>
      <c r="AL1938" s="163">
        <v>2.691991484702366</v>
      </c>
    </row>
    <row r="1939" spans="37:38" s="4" customFormat="1">
      <c r="AK1939" s="3">
        <v>1933</v>
      </c>
      <c r="AL1939" s="163">
        <v>2.6925528643812324</v>
      </c>
    </row>
    <row r="1940" spans="37:38" s="4" customFormat="1">
      <c r="AK1940" s="3">
        <v>1934</v>
      </c>
      <c r="AL1940" s="163">
        <v>2.6931140561389419</v>
      </c>
    </row>
    <row r="1941" spans="37:38" s="4" customFormat="1">
      <c r="AK1941" s="3">
        <v>1935</v>
      </c>
      <c r="AL1941" s="163">
        <v>2.6936750606324931</v>
      </c>
    </row>
    <row r="1942" spans="37:38" s="4" customFormat="1">
      <c r="AK1942" s="3">
        <v>1936</v>
      </c>
      <c r="AL1942" s="163">
        <v>2.6942358785183123</v>
      </c>
    </row>
    <row r="1943" spans="37:38" s="4" customFormat="1">
      <c r="AK1943" s="3">
        <v>1937</v>
      </c>
      <c r="AL1943" s="163">
        <v>2.6947965104522518</v>
      </c>
    </row>
    <row r="1944" spans="37:38" s="4" customFormat="1">
      <c r="AK1944" s="3">
        <v>1938</v>
      </c>
      <c r="AL1944" s="163">
        <v>2.6953569570895932</v>
      </c>
    </row>
    <row r="1945" spans="37:38" s="4" customFormat="1">
      <c r="AK1945" s="3">
        <v>1939</v>
      </c>
      <c r="AL1945" s="163">
        <v>2.6959172190850431</v>
      </c>
    </row>
    <row r="1946" spans="37:38" s="4" customFormat="1">
      <c r="AK1946" s="3">
        <v>1940</v>
      </c>
      <c r="AL1946" s="163">
        <v>2.6964772970927409</v>
      </c>
    </row>
    <row r="1947" spans="37:38" s="4" customFormat="1">
      <c r="AK1947" s="3">
        <v>1941</v>
      </c>
      <c r="AL1947" s="163">
        <v>2.6970371917662481</v>
      </c>
    </row>
    <row r="1948" spans="37:38" s="4" customFormat="1">
      <c r="AK1948" s="3">
        <v>1942</v>
      </c>
      <c r="AL1948" s="163">
        <v>2.6975969037585585</v>
      </c>
    </row>
    <row r="1949" spans="37:38" s="4" customFormat="1">
      <c r="AK1949" s="3">
        <v>1943</v>
      </c>
      <c r="AL1949" s="163">
        <v>2.6981564337220925</v>
      </c>
    </row>
    <row r="1950" spans="37:38" s="4" customFormat="1">
      <c r="AK1950" s="3">
        <v>1944</v>
      </c>
      <c r="AL1950" s="163">
        <v>2.6987157823086991</v>
      </c>
    </row>
    <row r="1951" spans="37:38" s="4" customFormat="1">
      <c r="AK1951" s="3">
        <v>1945</v>
      </c>
      <c r="AL1951" s="163">
        <v>2.6992749501696567</v>
      </c>
    </row>
    <row r="1952" spans="37:38" s="4" customFormat="1">
      <c r="AK1952" s="3">
        <v>1946</v>
      </c>
      <c r="AL1952" s="163">
        <v>2.6998339379556739</v>
      </c>
    </row>
    <row r="1953" spans="37:38" s="4" customFormat="1">
      <c r="AK1953" s="3">
        <v>1947</v>
      </c>
      <c r="AL1953" s="163">
        <v>2.7003927463168869</v>
      </c>
    </row>
    <row r="1954" spans="37:38" s="4" customFormat="1">
      <c r="AK1954" s="3">
        <v>1948</v>
      </c>
      <c r="AL1954" s="163">
        <v>2.7009513759028598</v>
      </c>
    </row>
    <row r="1955" spans="37:38" s="4" customFormat="1">
      <c r="AK1955" s="3">
        <v>1949</v>
      </c>
      <c r="AL1955" s="163">
        <v>2.7015098273625893</v>
      </c>
    </row>
    <row r="1956" spans="37:38" s="4" customFormat="1">
      <c r="AK1956" s="3">
        <v>1950</v>
      </c>
      <c r="AL1956" s="163">
        <v>2.7020681013445014</v>
      </c>
    </row>
    <row r="1957" spans="37:38" s="4" customFormat="1">
      <c r="AK1957" s="3">
        <v>1951</v>
      </c>
      <c r="AL1957" s="163">
        <v>2.7026261984964499</v>
      </c>
    </row>
    <row r="1958" spans="37:38" s="4" customFormat="1">
      <c r="AK1958" s="3">
        <v>1952</v>
      </c>
      <c r="AL1958" s="163">
        <v>2.7031841194657185</v>
      </c>
    </row>
    <row r="1959" spans="37:38" s="4" customFormat="1">
      <c r="AK1959" s="3">
        <v>1953</v>
      </c>
      <c r="AL1959" s="163">
        <v>2.7037418648990252</v>
      </c>
    </row>
    <row r="1960" spans="37:38" s="4" customFormat="1">
      <c r="AK1960" s="3">
        <v>1954</v>
      </c>
      <c r="AL1960" s="163">
        <v>2.7042994354425134</v>
      </c>
    </row>
    <row r="1961" spans="37:38" s="4" customFormat="1">
      <c r="AK1961" s="3">
        <v>1955</v>
      </c>
      <c r="AL1961" s="163">
        <v>2.7048568317417598</v>
      </c>
    </row>
    <row r="1962" spans="37:38" s="4" customFormat="1">
      <c r="AK1962" s="3">
        <v>1956</v>
      </c>
      <c r="AL1962" s="163">
        <v>2.7054140544417731</v>
      </c>
    </row>
    <row r="1963" spans="37:38" s="4" customFormat="1">
      <c r="AK1963" s="3">
        <v>1957</v>
      </c>
      <c r="AL1963" s="163">
        <v>2.7059711041869896</v>
      </c>
    </row>
    <row r="1964" spans="37:38" s="4" customFormat="1">
      <c r="AK1964" s="3">
        <v>1958</v>
      </c>
      <c r="AL1964" s="163">
        <v>2.7065279816212802</v>
      </c>
    </row>
    <row r="1965" spans="37:38" s="4" customFormat="1">
      <c r="AK1965" s="3">
        <v>1959</v>
      </c>
      <c r="AL1965" s="163">
        <v>2.7070846873879448</v>
      </c>
    </row>
    <row r="1966" spans="37:38" s="4" customFormat="1">
      <c r="AK1966" s="3">
        <v>1960</v>
      </c>
      <c r="AL1966" s="163">
        <v>2.7076412221297153</v>
      </c>
    </row>
    <row r="1967" spans="37:38" s="4" customFormat="1">
      <c r="AK1967" s="3">
        <v>1961</v>
      </c>
      <c r="AL1967" s="163">
        <v>2.7081975864887569</v>
      </c>
    </row>
    <row r="1968" spans="37:38" s="4" customFormat="1">
      <c r="AK1968" s="3">
        <v>1962</v>
      </c>
      <c r="AL1968" s="163">
        <v>2.708753781106664</v>
      </c>
    </row>
    <row r="1969" spans="37:38" s="4" customFormat="1">
      <c r="AK1969" s="3">
        <v>1963</v>
      </c>
      <c r="AL1969" s="163">
        <v>2.7093098066244647</v>
      </c>
    </row>
    <row r="1970" spans="37:38" s="4" customFormat="1">
      <c r="AK1970" s="3">
        <v>1964</v>
      </c>
      <c r="AL1970" s="163">
        <v>2.7098656636826206</v>
      </c>
    </row>
    <row r="1971" spans="37:38" s="4" customFormat="1">
      <c r="AK1971" s="3">
        <v>1965</v>
      </c>
      <c r="AL1971" s="163">
        <v>2.7104213529210233</v>
      </c>
    </row>
    <row r="1972" spans="37:38" s="4" customFormat="1">
      <c r="AK1972" s="3">
        <v>1966</v>
      </c>
      <c r="AL1972" s="163">
        <v>2.7109768749789982</v>
      </c>
    </row>
    <row r="1973" spans="37:38" s="4" customFormat="1">
      <c r="AK1973" s="3">
        <v>1967</v>
      </c>
      <c r="AL1973" s="163">
        <v>2.7115322304953029</v>
      </c>
    </row>
    <row r="1974" spans="37:38" s="4" customFormat="1">
      <c r="AK1974" s="3">
        <v>1968</v>
      </c>
      <c r="AL1974" s="163">
        <v>2.7120874201081304</v>
      </c>
    </row>
    <row r="1975" spans="37:38" s="4" customFormat="1">
      <c r="AK1975" s="3">
        <v>1969</v>
      </c>
      <c r="AL1975" s="163">
        <v>2.7126424444551032</v>
      </c>
    </row>
    <row r="1976" spans="37:38" s="4" customFormat="1">
      <c r="AK1976" s="3">
        <v>1970</v>
      </c>
      <c r="AL1976" s="163">
        <v>2.7131973041732818</v>
      </c>
    </row>
    <row r="1977" spans="37:38" s="4" customFormat="1">
      <c r="AK1977" s="3">
        <v>1971</v>
      </c>
      <c r="AL1977" s="163">
        <v>2.7137519998991548</v>
      </c>
    </row>
    <row r="1978" spans="37:38" s="4" customFormat="1">
      <c r="AK1978" s="3">
        <v>1972</v>
      </c>
      <c r="AL1978" s="163">
        <v>2.714306532268647</v>
      </c>
    </row>
    <row r="1979" spans="37:38" s="4" customFormat="1">
      <c r="AK1979" s="3">
        <v>1973</v>
      </c>
      <c r="AL1979" s="163">
        <v>2.7148609019171195</v>
      </c>
    </row>
    <row r="1980" spans="37:38" s="4" customFormat="1">
      <c r="AK1980" s="3">
        <v>1974</v>
      </c>
      <c r="AL1980" s="163">
        <v>2.7154151094793644</v>
      </c>
    </row>
    <row r="1981" spans="37:38" s="4" customFormat="1">
      <c r="AK1981" s="3">
        <v>1975</v>
      </c>
      <c r="AL1981" s="163">
        <v>2.7159691555896095</v>
      </c>
    </row>
    <row r="1982" spans="37:38" s="4" customFormat="1">
      <c r="AK1982" s="3">
        <v>1976</v>
      </c>
      <c r="AL1982" s="163">
        <v>2.716523040881516</v>
      </c>
    </row>
    <row r="1983" spans="37:38" s="4" customFormat="1">
      <c r="AK1983" s="3">
        <v>1977</v>
      </c>
      <c r="AL1983" s="163">
        <v>2.7170767659881814</v>
      </c>
    </row>
    <row r="1984" spans="37:38" s="4" customFormat="1">
      <c r="AK1984" s="3">
        <v>1978</v>
      </c>
      <c r="AL1984" s="163">
        <v>2.7176303315421366</v>
      </c>
    </row>
    <row r="1985" spans="37:38" s="4" customFormat="1">
      <c r="AK1985" s="3">
        <v>1979</v>
      </c>
      <c r="AL1985" s="163">
        <v>2.7181837381753478</v>
      </c>
    </row>
    <row r="1986" spans="37:38" s="4" customFormat="1">
      <c r="AK1986" s="3">
        <v>1980</v>
      </c>
      <c r="AL1986" s="163">
        <v>2.7187369865192177</v>
      </c>
    </row>
    <row r="1987" spans="37:38" s="4" customFormat="1">
      <c r="AK1987" s="3">
        <v>1981</v>
      </c>
      <c r="AL1987" s="163">
        <v>2.7192900772045827</v>
      </c>
    </row>
    <row r="1988" spans="37:38" s="4" customFormat="1">
      <c r="AK1988" s="3">
        <v>1982</v>
      </c>
      <c r="AL1988" s="163">
        <v>2.7198430108617146</v>
      </c>
    </row>
    <row r="1989" spans="37:38" s="4" customFormat="1">
      <c r="AK1989" s="3">
        <v>1983</v>
      </c>
      <c r="AL1989" s="163">
        <v>2.720395788120324</v>
      </c>
    </row>
    <row r="1990" spans="37:38" s="4" customFormat="1">
      <c r="AK1990" s="3">
        <v>1984</v>
      </c>
      <c r="AL1990" s="163">
        <v>2.7209484096095529</v>
      </c>
    </row>
    <row r="1991" spans="37:38" s="4" customFormat="1">
      <c r="AK1991" s="3">
        <v>1985</v>
      </c>
      <c r="AL1991" s="163">
        <v>2.7215008759579828</v>
      </c>
    </row>
    <row r="1992" spans="37:38" s="4" customFormat="1">
      <c r="AK1992" s="3">
        <v>1986</v>
      </c>
      <c r="AL1992" s="163">
        <v>2.7220531877936303</v>
      </c>
    </row>
    <row r="1993" spans="37:38" s="4" customFormat="1">
      <c r="AK1993" s="3">
        <v>1987</v>
      </c>
      <c r="AL1993" s="163">
        <v>2.7226053457439496</v>
      </c>
    </row>
    <row r="1994" spans="37:38" s="4" customFormat="1">
      <c r="AK1994" s="3">
        <v>1988</v>
      </c>
      <c r="AL1994" s="163">
        <v>2.7231573504358306</v>
      </c>
    </row>
    <row r="1995" spans="37:38" s="4" customFormat="1">
      <c r="AK1995" s="3">
        <v>1989</v>
      </c>
      <c r="AL1995" s="163">
        <v>2.7237092024955993</v>
      </c>
    </row>
    <row r="1996" spans="37:38" s="4" customFormat="1">
      <c r="AK1996" s="3">
        <v>1990</v>
      </c>
      <c r="AL1996" s="163">
        <v>2.724260902549021</v>
      </c>
    </row>
    <row r="1997" spans="37:38" s="4" customFormat="1">
      <c r="AK1997" s="3">
        <v>1991</v>
      </c>
      <c r="AL1997" s="163">
        <v>2.7248124512212946</v>
      </c>
    </row>
    <row r="1998" spans="37:38" s="4" customFormat="1">
      <c r="AK1998" s="3">
        <v>1992</v>
      </c>
      <c r="AL1998" s="163">
        <v>2.7253638491370618</v>
      </c>
    </row>
    <row r="1999" spans="37:38" s="4" customFormat="1">
      <c r="AK1999" s="3">
        <v>1993</v>
      </c>
      <c r="AL1999" s="163">
        <v>2.7259150969203954</v>
      </c>
    </row>
    <row r="2000" spans="37:38" s="4" customFormat="1">
      <c r="AK2000" s="3">
        <v>1994</v>
      </c>
      <c r="AL2000" s="163">
        <v>2.7264661951948104</v>
      </c>
    </row>
    <row r="2001" spans="37:38" s="4" customFormat="1">
      <c r="AK2001" s="3">
        <v>1995</v>
      </c>
      <c r="AL2001" s="163">
        <v>2.7270171445832596</v>
      </c>
    </row>
    <row r="2002" spans="37:38" s="4" customFormat="1">
      <c r="AK2002" s="3">
        <v>1996</v>
      </c>
      <c r="AL2002" s="163">
        <v>2.7275679457081341</v>
      </c>
    </row>
    <row r="2003" spans="37:38" s="4" customFormat="1">
      <c r="AK2003" s="3">
        <v>1997</v>
      </c>
      <c r="AL2003" s="163">
        <v>2.7281185991912604</v>
      </c>
    </row>
    <row r="2004" spans="37:38" s="4" customFormat="1">
      <c r="AK2004" s="3">
        <v>1998</v>
      </c>
      <c r="AL2004" s="163">
        <v>2.7286691056539065</v>
      </c>
    </row>
    <row r="2005" spans="37:38" s="4" customFormat="1">
      <c r="AK2005" s="3">
        <v>1999</v>
      </c>
      <c r="AL2005" s="163">
        <v>2.7292194657167772</v>
      </c>
    </row>
    <row r="2006" spans="37:38" s="4" customFormat="1">
      <c r="AK2006" s="3">
        <v>2000</v>
      </c>
      <c r="AL2006" s="163">
        <v>2.7297696800000191</v>
      </c>
    </row>
    <row r="2007" spans="37:38" s="4" customFormat="1">
      <c r="AK2007" s="3">
        <v>2001</v>
      </c>
      <c r="AL2007" s="163">
        <v>2.7303197491232121</v>
      </c>
    </row>
    <row r="2008" spans="37:38" s="4" customFormat="1">
      <c r="AK2008" s="3">
        <v>2002</v>
      </c>
      <c r="AL2008" s="163">
        <v>2.7308696737053828</v>
      </c>
    </row>
    <row r="2009" spans="37:38" s="4" customFormat="1">
      <c r="AK2009" s="3">
        <v>2003</v>
      </c>
      <c r="AL2009" s="163">
        <v>2.7314194543649908</v>
      </c>
    </row>
    <row r="2010" spans="37:38" s="4" customFormat="1">
      <c r="AK2010" s="3">
        <v>2004</v>
      </c>
      <c r="AL2010" s="163">
        <v>2.7319690917199395</v>
      </c>
    </row>
    <row r="2011" spans="37:38" s="4" customFormat="1">
      <c r="AK2011" s="3">
        <v>2005</v>
      </c>
      <c r="AL2011" s="163">
        <v>2.7325185863875698</v>
      </c>
    </row>
    <row r="2012" spans="37:38" s="4" customFormat="1">
      <c r="AK2012" s="3">
        <v>2006</v>
      </c>
      <c r="AL2012" s="163">
        <v>2.7330679389846648</v>
      </c>
    </row>
    <row r="2013" spans="37:38" s="4" customFormat="1">
      <c r="AK2013" s="3">
        <v>2007</v>
      </c>
      <c r="AL2013" s="163">
        <v>2.7336171501274458</v>
      </c>
    </row>
    <row r="2014" spans="37:38" s="4" customFormat="1">
      <c r="AK2014" s="3">
        <v>2008</v>
      </c>
      <c r="AL2014" s="163">
        <v>2.7341662204315749</v>
      </c>
    </row>
    <row r="2015" spans="37:38" s="4" customFormat="1">
      <c r="AK2015" s="3">
        <v>2009</v>
      </c>
      <c r="AL2015" s="163">
        <v>2.7347151505121539</v>
      </c>
    </row>
    <row r="2016" spans="37:38" s="4" customFormat="1">
      <c r="AK2016" s="3">
        <v>2010</v>
      </c>
      <c r="AL2016" s="163">
        <v>2.7352639409837289</v>
      </c>
    </row>
    <row r="2017" spans="37:38" s="4" customFormat="1">
      <c r="AK2017" s="3">
        <v>2011</v>
      </c>
      <c r="AL2017" s="163">
        <v>2.7358125924602805</v>
      </c>
    </row>
    <row r="2018" spans="37:38" s="4" customFormat="1">
      <c r="AK2018" s="3">
        <v>2012</v>
      </c>
      <c r="AL2018" s="163">
        <v>2.7363611055552379</v>
      </c>
    </row>
    <row r="2019" spans="37:38" s="4" customFormat="1">
      <c r="AK2019" s="3">
        <v>2013</v>
      </c>
      <c r="AL2019" s="163">
        <v>2.7369094808814647</v>
      </c>
    </row>
    <row r="2020" spans="37:38" s="4" customFormat="1">
      <c r="AK2020" s="3">
        <v>2014</v>
      </c>
      <c r="AL2020" s="163">
        <v>2.7374577190512723</v>
      </c>
    </row>
    <row r="2021" spans="37:38" s="4" customFormat="1">
      <c r="AK2021" s="3">
        <v>2015</v>
      </c>
      <c r="AL2021" s="163">
        <v>2.738005820676408</v>
      </c>
    </row>
    <row r="2022" spans="37:38" s="4" customFormat="1">
      <c r="AK2022" s="3">
        <v>2016</v>
      </c>
      <c r="AL2022" s="163">
        <v>2.7385537863680645</v>
      </c>
    </row>
    <row r="2023" spans="37:38" s="4" customFormat="1">
      <c r="AK2023" s="3">
        <v>2017</v>
      </c>
      <c r="AL2023" s="163">
        <v>2.7391016167368769</v>
      </c>
    </row>
    <row r="2024" spans="37:38" s="4" customFormat="1">
      <c r="AK2024" s="3">
        <v>2018</v>
      </c>
      <c r="AL2024" s="163">
        <v>2.7396493123929186</v>
      </c>
    </row>
    <row r="2025" spans="37:38" s="4" customFormat="1">
      <c r="AK2025" s="3">
        <v>2019</v>
      </c>
      <c r="AL2025" s="163">
        <v>2.7401968739457092</v>
      </c>
    </row>
    <row r="2026" spans="37:38" s="4" customFormat="1">
      <c r="AK2026" s="3">
        <v>2020</v>
      </c>
      <c r="AL2026" s="163">
        <v>2.7407443020042108</v>
      </c>
    </row>
    <row r="2027" spans="37:38" s="4" customFormat="1">
      <c r="AK2027" s="3">
        <v>2021</v>
      </c>
      <c r="AL2027" s="163">
        <v>2.7412915971768239</v>
      </c>
    </row>
    <row r="2028" spans="37:38" s="4" customFormat="1">
      <c r="AK2028" s="3">
        <v>2022</v>
      </c>
      <c r="AL2028" s="163">
        <v>2.7418387600713978</v>
      </c>
    </row>
    <row r="2029" spans="37:38" s="4" customFormat="1">
      <c r="AK2029" s="3">
        <v>2023</v>
      </c>
      <c r="AL2029" s="163">
        <v>2.742385791295221</v>
      </c>
    </row>
    <row r="2030" spans="37:38" s="4" customFormat="1">
      <c r="AK2030" s="3">
        <v>2024</v>
      </c>
      <c r="AL2030" s="163">
        <v>2.7429326914550258</v>
      </c>
    </row>
    <row r="2031" spans="37:38" s="4" customFormat="1">
      <c r="AK2031" s="3">
        <v>2025</v>
      </c>
      <c r="AL2031" s="163">
        <v>2.7434794611569897</v>
      </c>
    </row>
    <row r="2032" spans="37:38" s="4" customFormat="1">
      <c r="AK2032" s="3">
        <v>2026</v>
      </c>
      <c r="AL2032" s="163">
        <v>2.7440261010067313</v>
      </c>
    </row>
    <row r="2033" spans="37:38" s="4" customFormat="1">
      <c r="AK2033" s="3">
        <v>2027</v>
      </c>
      <c r="AL2033" s="163">
        <v>2.7445726116093159</v>
      </c>
    </row>
    <row r="2034" spans="37:38" s="4" customFormat="1">
      <c r="AK2034" s="3">
        <v>2028</v>
      </c>
      <c r="AL2034" s="163">
        <v>2.7451189935692515</v>
      </c>
    </row>
    <row r="2035" spans="37:38" s="4" customFormat="1">
      <c r="AK2035" s="3">
        <v>2029</v>
      </c>
      <c r="AL2035" s="163">
        <v>2.7456652474904892</v>
      </c>
    </row>
    <row r="2036" spans="37:38" s="4" customFormat="1">
      <c r="AK2036" s="3">
        <v>2030</v>
      </c>
      <c r="AL2036" s="163">
        <v>2.7462113739764278</v>
      </c>
    </row>
    <row r="2037" spans="37:38" s="4" customFormat="1">
      <c r="AK2037" s="3">
        <v>2031</v>
      </c>
      <c r="AL2037" s="163">
        <v>2.746757373629904</v>
      </c>
    </row>
    <row r="2038" spans="37:38" s="4" customFormat="1">
      <c r="AK2038" s="3">
        <v>2032</v>
      </c>
      <c r="AL2038" s="163">
        <v>2.7473032470532082</v>
      </c>
    </row>
    <row r="2039" spans="37:38" s="4" customFormat="1">
      <c r="AK2039" s="3">
        <v>2033</v>
      </c>
      <c r="AL2039" s="163">
        <v>2.7478489948480678</v>
      </c>
    </row>
    <row r="2040" spans="37:38" s="4" customFormat="1">
      <c r="AK2040" s="3">
        <v>2034</v>
      </c>
      <c r="AL2040" s="163">
        <v>2.7483946176156611</v>
      </c>
    </row>
    <row r="2041" spans="37:38" s="4" customFormat="1">
      <c r="AK2041" s="3">
        <v>2035</v>
      </c>
      <c r="AL2041" s="163">
        <v>2.7489401159566085</v>
      </c>
    </row>
    <row r="2042" spans="37:38" s="4" customFormat="1">
      <c r="AK2042" s="3">
        <v>2036</v>
      </c>
      <c r="AL2042" s="163">
        <v>2.7494854904709753</v>
      </c>
    </row>
    <row r="2043" spans="37:38" s="4" customFormat="1">
      <c r="AK2043" s="3">
        <v>2037</v>
      </c>
      <c r="AL2043" s="163">
        <v>2.7500307417582768</v>
      </c>
    </row>
    <row r="2044" spans="37:38" s="4" customFormat="1">
      <c r="AK2044" s="3">
        <v>2038</v>
      </c>
      <c r="AL2044" s="163">
        <v>2.7505758704174692</v>
      </c>
    </row>
    <row r="2045" spans="37:38" s="4" customFormat="1">
      <c r="AK2045" s="3">
        <v>2039</v>
      </c>
      <c r="AL2045" s="163">
        <v>2.751120877046958</v>
      </c>
    </row>
    <row r="2046" spans="37:38" s="4" customFormat="1">
      <c r="AK2046" s="3">
        <v>2040</v>
      </c>
      <c r="AL2046" s="163">
        <v>2.7516657622445928</v>
      </c>
    </row>
    <row r="2047" spans="37:38" s="4" customFormat="1">
      <c r="AK2047" s="3">
        <v>2041</v>
      </c>
      <c r="AL2047" s="163">
        <v>2.7522105266076711</v>
      </c>
    </row>
    <row r="2048" spans="37:38" s="4" customFormat="1">
      <c r="AK2048" s="3">
        <v>2042</v>
      </c>
      <c r="AL2048" s="163">
        <v>2.7527551707329359</v>
      </c>
    </row>
    <row r="2049" spans="37:38" s="4" customFormat="1">
      <c r="AK2049" s="3">
        <v>2043</v>
      </c>
      <c r="AL2049" s="163">
        <v>2.7532996952165782</v>
      </c>
    </row>
    <row r="2050" spans="37:38" s="4" customFormat="1">
      <c r="AK2050" s="3">
        <v>2044</v>
      </c>
      <c r="AL2050" s="163">
        <v>2.7538441006542351</v>
      </c>
    </row>
    <row r="2051" spans="37:38" s="4" customFormat="1">
      <c r="AK2051" s="3">
        <v>2045</v>
      </c>
      <c r="AL2051" s="163">
        <v>2.7543883876409909</v>
      </c>
    </row>
    <row r="2052" spans="37:38" s="4" customFormat="1">
      <c r="AK2052" s="3">
        <v>2046</v>
      </c>
      <c r="AL2052" s="163">
        <v>2.7549325567713772</v>
      </c>
    </row>
    <row r="2053" spans="37:38" s="4" customFormat="1">
      <c r="AK2053" s="3">
        <v>2047</v>
      </c>
      <c r="AL2053" s="163">
        <v>2.7554766086393738</v>
      </c>
    </row>
    <row r="2054" spans="37:38" s="4" customFormat="1">
      <c r="AK2054" s="3">
        <v>2048</v>
      </c>
      <c r="AL2054" s="163">
        <v>2.7560205438384076</v>
      </c>
    </row>
    <row r="2055" spans="37:38" s="4" customFormat="1">
      <c r="AK2055" s="3">
        <v>2049</v>
      </c>
      <c r="AL2055" s="163">
        <v>2.7565643629613539</v>
      </c>
    </row>
    <row r="2056" spans="37:38" s="4" customFormat="1">
      <c r="AK2056" s="3">
        <v>2050</v>
      </c>
      <c r="AL2056" s="163">
        <v>2.7571080666005354</v>
      </c>
    </row>
    <row r="2057" spans="37:38" s="4" customFormat="1">
      <c r="AK2057" s="3">
        <v>2051</v>
      </c>
      <c r="AL2057" s="163">
        <v>2.7576516553477224</v>
      </c>
    </row>
    <row r="2058" spans="37:38" s="4" customFormat="1">
      <c r="AK2058" s="3">
        <v>2052</v>
      </c>
      <c r="AL2058" s="163">
        <v>2.7581951297941343</v>
      </c>
    </row>
    <row r="2059" spans="37:38" s="4" customFormat="1">
      <c r="AK2059" s="3">
        <v>2053</v>
      </c>
      <c r="AL2059" s="163">
        <v>2.7587384905304413</v>
      </c>
    </row>
    <row r="2060" spans="37:38" s="4" customFormat="1">
      <c r="AK2060" s="3">
        <v>2054</v>
      </c>
      <c r="AL2060" s="163">
        <v>2.7592817381467585</v>
      </c>
    </row>
    <row r="2061" spans="37:38" s="4" customFormat="1">
      <c r="AK2061" s="3">
        <v>2055</v>
      </c>
      <c r="AL2061" s="163">
        <v>2.7598248732326534</v>
      </c>
    </row>
    <row r="2062" spans="37:38" s="4" customFormat="1">
      <c r="AK2062" s="3">
        <v>2056</v>
      </c>
      <c r="AL2062" s="163">
        <v>2.760367896377141</v>
      </c>
    </row>
    <row r="2063" spans="37:38" s="4" customFormat="1">
      <c r="AK2063" s="3">
        <v>2057</v>
      </c>
      <c r="AL2063" s="163">
        <v>2.7609108081686848</v>
      </c>
    </row>
    <row r="2064" spans="37:38" s="4" customFormat="1">
      <c r="AK2064" s="3">
        <v>2058</v>
      </c>
      <c r="AL2064" s="163">
        <v>2.7614536091951987</v>
      </c>
    </row>
    <row r="2065" spans="37:38" s="4" customFormat="1">
      <c r="AK2065" s="3">
        <v>2059</v>
      </c>
      <c r="AL2065" s="163">
        <v>2.7619963000440499</v>
      </c>
    </row>
    <row r="2066" spans="37:38" s="4" customFormat="1">
      <c r="AK2066" s="3">
        <v>2060</v>
      </c>
      <c r="AL2066" s="163">
        <v>2.7625388813020466</v>
      </c>
    </row>
    <row r="2067" spans="37:38" s="4" customFormat="1">
      <c r="AK2067" s="3">
        <v>2061</v>
      </c>
      <c r="AL2067" s="163">
        <v>2.7630813535554575</v>
      </c>
    </row>
    <row r="2068" spans="37:38" s="4" customFormat="1">
      <c r="AK2068" s="3">
        <v>2062</v>
      </c>
      <c r="AL2068" s="163">
        <v>2.7636237173899931</v>
      </c>
    </row>
    <row r="2069" spans="37:38" s="4" customFormat="1">
      <c r="AK2069" s="3">
        <v>2063</v>
      </c>
      <c r="AL2069" s="163">
        <v>2.7641659733908202</v>
      </c>
    </row>
    <row r="2070" spans="37:38" s="4" customFormat="1">
      <c r="AK2070" s="3">
        <v>2064</v>
      </c>
      <c r="AL2070" s="163">
        <v>2.7647081221425531</v>
      </c>
    </row>
    <row r="2071" spans="37:38" s="4" customFormat="1">
      <c r="AK2071" s="3">
        <v>2065</v>
      </c>
      <c r="AL2071" s="163">
        <v>2.7652501642292573</v>
      </c>
    </row>
    <row r="2072" spans="37:38" s="4" customFormat="1">
      <c r="AK2072" s="3">
        <v>2066</v>
      </c>
      <c r="AL2072" s="163">
        <v>2.7657921002344499</v>
      </c>
    </row>
    <row r="2073" spans="37:38" s="4" customFormat="1">
      <c r="AK2073" s="3">
        <v>2067</v>
      </c>
      <c r="AL2073" s="163">
        <v>2.7663339307411006</v>
      </c>
    </row>
    <row r="2074" spans="37:38" s="4" customFormat="1">
      <c r="AK2074" s="3">
        <v>2068</v>
      </c>
      <c r="AL2074" s="163">
        <v>2.766875656331627</v>
      </c>
    </row>
    <row r="2075" spans="37:38" s="4" customFormat="1">
      <c r="AK2075" s="3">
        <v>2069</v>
      </c>
      <c r="AL2075" s="163">
        <v>2.7674172775879011</v>
      </c>
    </row>
    <row r="2076" spans="37:38" s="4" customFormat="1">
      <c r="AK2076" s="3">
        <v>2070</v>
      </c>
      <c r="AL2076" s="163">
        <v>2.7679587950912463</v>
      </c>
    </row>
    <row r="2077" spans="37:38" s="4" customFormat="1">
      <c r="AK2077" s="3">
        <v>2071</v>
      </c>
      <c r="AL2077" s="163">
        <v>2.7685002094224349</v>
      </c>
    </row>
    <row r="2078" spans="37:38" s="4" customFormat="1">
      <c r="AK2078" s="3">
        <v>2072</v>
      </c>
      <c r="AL2078" s="163">
        <v>2.7690415211616961</v>
      </c>
    </row>
    <row r="2079" spans="37:38" s="4" customFormat="1">
      <c r="AK2079" s="3">
        <v>2073</v>
      </c>
      <c r="AL2079" s="163">
        <v>2.7695827308887084</v>
      </c>
    </row>
    <row r="2080" spans="37:38" s="4" customFormat="1">
      <c r="AK2080" s="3">
        <v>2074</v>
      </c>
      <c r="AL2080" s="163">
        <v>2.7701238391826015</v>
      </c>
    </row>
    <row r="2081" spans="37:38" s="4" customFormat="1">
      <c r="AK2081" s="3">
        <v>2075</v>
      </c>
      <c r="AL2081" s="163">
        <v>2.7706648466219628</v>
      </c>
    </row>
    <row r="2082" spans="37:38" s="4" customFormat="1">
      <c r="AK2082" s="3">
        <v>2076</v>
      </c>
      <c r="AL2082" s="163">
        <v>2.7712057537848271</v>
      </c>
    </row>
    <row r="2083" spans="37:38" s="4" customFormat="1">
      <c r="AK2083" s="3">
        <v>2077</v>
      </c>
      <c r="AL2083" s="163">
        <v>2.771746561248686</v>
      </c>
    </row>
    <row r="2084" spans="37:38" s="4" customFormat="1">
      <c r="AK2084" s="3">
        <v>2078</v>
      </c>
      <c r="AL2084" s="163">
        <v>2.7722872695904814</v>
      </c>
    </row>
    <row r="2085" spans="37:38" s="4" customFormat="1">
      <c r="AK2085" s="3">
        <v>2079</v>
      </c>
      <c r="AL2085" s="163">
        <v>2.7728278793866119</v>
      </c>
    </row>
    <row r="2086" spans="37:38" s="4" customFormat="1">
      <c r="AK2086" s="3">
        <v>2080</v>
      </c>
      <c r="AL2086" s="163">
        <v>2.7733683912129248</v>
      </c>
    </row>
    <row r="2087" spans="37:38" s="4" customFormat="1">
      <c r="AK2087" s="3">
        <v>2081</v>
      </c>
      <c r="AL2087" s="163">
        <v>2.7739088056447265</v>
      </c>
    </row>
    <row r="2088" spans="37:38" s="4" customFormat="1">
      <c r="AK2088" s="3">
        <v>2082</v>
      </c>
      <c r="AL2088" s="163">
        <v>2.7744491232567743</v>
      </c>
    </row>
    <row r="2089" spans="37:38" s="4" customFormat="1">
      <c r="AK2089" s="3">
        <v>2083</v>
      </c>
      <c r="AL2089" s="163">
        <v>2.7749893446232798</v>
      </c>
    </row>
    <row r="2090" spans="37:38" s="4" customFormat="1">
      <c r="AK2090" s="3">
        <v>2084</v>
      </c>
      <c r="AL2090" s="163">
        <v>2.7755294703179101</v>
      </c>
    </row>
    <row r="2091" spans="37:38" s="4" customFormat="1">
      <c r="AK2091" s="3">
        <v>2085</v>
      </c>
      <c r="AL2091" s="163">
        <v>2.7760695009137866</v>
      </c>
    </row>
    <row r="2092" spans="37:38" s="4" customFormat="1">
      <c r="AK2092" s="3">
        <v>2086</v>
      </c>
      <c r="AL2092" s="163">
        <v>2.7766094369834824</v>
      </c>
    </row>
    <row r="2093" spans="37:38" s="4" customFormat="1">
      <c r="AK2093" s="3">
        <v>2087</v>
      </c>
      <c r="AL2093" s="163">
        <v>2.7771492790990302</v>
      </c>
    </row>
    <row r="2094" spans="37:38" s="4" customFormat="1">
      <c r="AK2094" s="3">
        <v>2088</v>
      </c>
      <c r="AL2094" s="163">
        <v>2.7776890278319155</v>
      </c>
    </row>
    <row r="2095" spans="37:38" s="4" customFormat="1">
      <c r="AK2095" s="3">
        <v>2089</v>
      </c>
      <c r="AL2095" s="163">
        <v>2.7782286837530772</v>
      </c>
    </row>
    <row r="2096" spans="37:38" s="4" customFormat="1">
      <c r="AK2096" s="3">
        <v>2090</v>
      </c>
      <c r="AL2096" s="163">
        <v>2.7787682474329132</v>
      </c>
    </row>
    <row r="2097" spans="37:38" s="4" customFormat="1">
      <c r="AK2097" s="3">
        <v>2091</v>
      </c>
      <c r="AL2097" s="163">
        <v>2.7793077194412739</v>
      </c>
    </row>
    <row r="2098" spans="37:38" s="4" customFormat="1">
      <c r="AK2098" s="3">
        <v>2092</v>
      </c>
      <c r="AL2098" s="163">
        <v>2.7798471003474665</v>
      </c>
    </row>
    <row r="2099" spans="37:38" s="4" customFormat="1">
      <c r="AK2099" s="3">
        <v>2093</v>
      </c>
      <c r="AL2099" s="163">
        <v>2.7803863907202557</v>
      </c>
    </row>
    <row r="2100" spans="37:38" s="4" customFormat="1">
      <c r="AK2100" s="3">
        <v>2094</v>
      </c>
      <c r="AL2100" s="163">
        <v>2.780925591127859</v>
      </c>
    </row>
    <row r="2101" spans="37:38" s="4" customFormat="1">
      <c r="AK2101" s="3">
        <v>2095</v>
      </c>
      <c r="AL2101" s="163">
        <v>2.7814647021379555</v>
      </c>
    </row>
    <row r="2102" spans="37:38" s="4" customFormat="1">
      <c r="AK2102" s="3">
        <v>2096</v>
      </c>
      <c r="AL2102" s="163">
        <v>2.7820037243176747</v>
      </c>
    </row>
    <row r="2103" spans="37:38" s="4" customFormat="1">
      <c r="AK2103" s="3">
        <v>2097</v>
      </c>
      <c r="AL2103" s="163">
        <v>2.782542658233607</v>
      </c>
    </row>
    <row r="2104" spans="37:38" s="4" customFormat="1">
      <c r="AK2104" s="3">
        <v>2098</v>
      </c>
      <c r="AL2104" s="163">
        <v>2.7830815044517982</v>
      </c>
    </row>
    <row r="2105" spans="37:38" s="4" customFormat="1">
      <c r="AK2105" s="3">
        <v>2099</v>
      </c>
      <c r="AL2105" s="163">
        <v>2.7836202635377516</v>
      </c>
    </row>
    <row r="2106" spans="37:38" s="4" customFormat="1">
      <c r="AK2106" s="3">
        <v>2100</v>
      </c>
      <c r="AL2106" s="163">
        <v>2.7841589360564267</v>
      </c>
    </row>
    <row r="2107" spans="37:38" s="4" customFormat="1">
      <c r="AK2107" s="3">
        <v>2101</v>
      </c>
      <c r="AL2107" s="163">
        <v>2.784697522572241</v>
      </c>
    </row>
    <row r="2108" spans="37:38" s="4" customFormat="1">
      <c r="AK2108" s="3">
        <v>2102</v>
      </c>
      <c r="AL2108" s="163">
        <v>2.7852360236490692</v>
      </c>
    </row>
    <row r="2109" spans="37:38" s="4" customFormat="1">
      <c r="AK2109" s="3">
        <v>2103</v>
      </c>
      <c r="AL2109" s="163">
        <v>2.7857744398502464</v>
      </c>
    </row>
    <row r="2110" spans="37:38" s="4" customFormat="1">
      <c r="AK2110" s="3">
        <v>2104</v>
      </c>
      <c r="AL2110" s="163">
        <v>2.786312771738563</v>
      </c>
    </row>
    <row r="2111" spans="37:38" s="4" customFormat="1">
      <c r="AK2111" s="3">
        <v>2105</v>
      </c>
      <c r="AL2111" s="163">
        <v>2.7868510198762668</v>
      </c>
    </row>
    <row r="2112" spans="37:38" s="4" customFormat="1">
      <c r="AK2112" s="3">
        <v>2106</v>
      </c>
      <c r="AL2112" s="163">
        <v>2.7873891848250669</v>
      </c>
    </row>
    <row r="2113" spans="37:38" s="4" customFormat="1">
      <c r="AK2113" s="3">
        <v>2107</v>
      </c>
      <c r="AL2113" s="163">
        <v>2.787927267146129</v>
      </c>
    </row>
    <row r="2114" spans="37:38" s="4" customFormat="1">
      <c r="AK2114" s="3">
        <v>2108</v>
      </c>
      <c r="AL2114" s="163">
        <v>2.7884652674000767</v>
      </c>
    </row>
    <row r="2115" spans="37:38" s="4" customFormat="1">
      <c r="AK2115" s="3">
        <v>2109</v>
      </c>
      <c r="AL2115" s="163">
        <v>2.7890031861469962</v>
      </c>
    </row>
    <row r="2116" spans="37:38" s="4" customFormat="1">
      <c r="AK2116" s="3">
        <v>2110</v>
      </c>
      <c r="AL2116" s="163">
        <v>2.7895410239464282</v>
      </c>
    </row>
    <row r="2117" spans="37:38" s="4" customFormat="1">
      <c r="AK2117" s="3">
        <v>2111</v>
      </c>
      <c r="AL2117" s="163">
        <v>2.790078781357376</v>
      </c>
    </row>
    <row r="2118" spans="37:38" s="4" customFormat="1">
      <c r="AK2118" s="3">
        <v>2112</v>
      </c>
      <c r="AL2118" s="163">
        <v>2.7906164589382993</v>
      </c>
    </row>
    <row r="2119" spans="37:38" s="4" customFormat="1">
      <c r="AK2119" s="3">
        <v>2113</v>
      </c>
      <c r="AL2119" s="163">
        <v>2.7911540572471196</v>
      </c>
    </row>
    <row r="2120" spans="37:38" s="4" customFormat="1">
      <c r="AK2120" s="3">
        <v>2114</v>
      </c>
      <c r="AL2120" s="163">
        <v>2.7916915768412194</v>
      </c>
    </row>
    <row r="2121" spans="37:38" s="4" customFormat="1">
      <c r="AK2121" s="3">
        <v>2115</v>
      </c>
      <c r="AL2121" s="163">
        <v>2.7922290182774381</v>
      </c>
    </row>
    <row r="2122" spans="37:38" s="4" customFormat="1">
      <c r="AK2122" s="3">
        <v>2116</v>
      </c>
      <c r="AL2122" s="163">
        <v>2.7927663821120778</v>
      </c>
    </row>
    <row r="2123" spans="37:38" s="4" customFormat="1">
      <c r="AK2123" s="3">
        <v>2117</v>
      </c>
      <c r="AL2123" s="163">
        <v>2.7933036689009003</v>
      </c>
    </row>
    <row r="2124" spans="37:38" s="4" customFormat="1">
      <c r="AK2124" s="3">
        <v>2118</v>
      </c>
      <c r="AL2124" s="163">
        <v>2.7938408791991267</v>
      </c>
    </row>
    <row r="2125" spans="37:38" s="4" customFormat="1">
      <c r="AK2125" s="3">
        <v>2119</v>
      </c>
      <c r="AL2125" s="163">
        <v>2.79437801356144</v>
      </c>
    </row>
    <row r="2126" spans="37:38" s="4" customFormat="1">
      <c r="AK2126" s="3">
        <v>2120</v>
      </c>
      <c r="AL2126" s="163">
        <v>2.7949150725419818</v>
      </c>
    </row>
    <row r="2127" spans="37:38" s="4" customFormat="1">
      <c r="AK2127" s="3">
        <v>2121</v>
      </c>
      <c r="AL2127" s="163">
        <v>2.7954520566943599</v>
      </c>
    </row>
    <row r="2128" spans="37:38" s="4" customFormat="1">
      <c r="AK2128" s="3">
        <v>2122</v>
      </c>
      <c r="AL2128" s="163">
        <v>2.7959889665716386</v>
      </c>
    </row>
    <row r="2129" spans="37:38" s="4" customFormat="1">
      <c r="AK2129" s="3">
        <v>2123</v>
      </c>
      <c r="AL2129" s="163">
        <v>2.7965258027263471</v>
      </c>
    </row>
    <row r="2130" spans="37:38" s="4" customFormat="1">
      <c r="AK2130" s="3">
        <v>2124</v>
      </c>
      <c r="AL2130" s="163">
        <v>2.7970625657104726</v>
      </c>
    </row>
    <row r="2131" spans="37:38" s="4" customFormat="1">
      <c r="AK2131" s="3">
        <v>2125</v>
      </c>
      <c r="AL2131" s="163">
        <v>2.7975992560754683</v>
      </c>
    </row>
    <row r="2132" spans="37:38" s="4" customFormat="1">
      <c r="AK2132" s="3">
        <v>2126</v>
      </c>
      <c r="AL2132" s="163">
        <v>2.7981358743722438</v>
      </c>
    </row>
    <row r="2133" spans="37:38" s="4" customFormat="1">
      <c r="AK2133" s="3">
        <v>2127</v>
      </c>
      <c r="AL2133" s="163">
        <v>2.7986724211511769</v>
      </c>
    </row>
    <row r="2134" spans="37:38" s="4" customFormat="1">
      <c r="AK2134" s="3">
        <v>2128</v>
      </c>
      <c r="AL2134" s="163">
        <v>2.7992088969621052</v>
      </c>
    </row>
    <row r="2135" spans="37:38" s="4" customFormat="1">
      <c r="AK2135" s="3">
        <v>2129</v>
      </c>
      <c r="AL2135" s="163">
        <v>2.7997453023543279</v>
      </c>
    </row>
    <row r="2136" spans="37:38" s="4" customFormat="1">
      <c r="AK2136" s="3">
        <v>2130</v>
      </c>
      <c r="AL2136" s="163">
        <v>2.800281637876608</v>
      </c>
    </row>
    <row r="2137" spans="37:38" s="4" customFormat="1">
      <c r="AK2137" s="3">
        <v>2131</v>
      </c>
      <c r="AL2137" s="163">
        <v>2.8008179040771704</v>
      </c>
    </row>
    <row r="2138" spans="37:38" s="4" customFormat="1">
      <c r="AK2138" s="3">
        <v>2132</v>
      </c>
      <c r="AL2138" s="163">
        <v>2.8013541015037058</v>
      </c>
    </row>
    <row r="2139" spans="37:38" s="4" customFormat="1">
      <c r="AK2139" s="3">
        <v>2133</v>
      </c>
      <c r="AL2139" s="163">
        <v>2.8018902307033651</v>
      </c>
    </row>
    <row r="2140" spans="37:38" s="4" customFormat="1">
      <c r="AK2140" s="3">
        <v>2134</v>
      </c>
      <c r="AL2140" s="163">
        <v>2.8024262922227647</v>
      </c>
    </row>
    <row r="2141" spans="37:38" s="4" customFormat="1">
      <c r="AK2141" s="3">
        <v>2135</v>
      </c>
      <c r="AL2141" s="163">
        <v>2.8029622866079853</v>
      </c>
    </row>
    <row r="2142" spans="37:38" s="4" customFormat="1">
      <c r="AK2142" s="3">
        <v>2136</v>
      </c>
      <c r="AL2142" s="163">
        <v>2.8034982144045677</v>
      </c>
    </row>
    <row r="2143" spans="37:38" s="4" customFormat="1">
      <c r="AK2143" s="3">
        <v>2137</v>
      </c>
      <c r="AL2143" s="163">
        <v>2.80403407615752</v>
      </c>
    </row>
    <row r="2144" spans="37:38" s="4" customFormat="1">
      <c r="AK2144" s="3">
        <v>2138</v>
      </c>
      <c r="AL2144" s="163">
        <v>2.8045698724113155</v>
      </c>
    </row>
    <row r="2145" spans="37:38" s="4" customFormat="1">
      <c r="AK2145" s="3">
        <v>2139</v>
      </c>
      <c r="AL2145" s="163">
        <v>2.8051056037098872</v>
      </c>
    </row>
    <row r="2146" spans="37:38" s="4" customFormat="1">
      <c r="AK2146" s="3">
        <v>2140</v>
      </c>
      <c r="AL2146" s="163">
        <v>2.8056412705966354</v>
      </c>
    </row>
    <row r="2147" spans="37:38" s="4" customFormat="1">
      <c r="AK2147" s="3">
        <v>2141</v>
      </c>
      <c r="AL2147" s="163">
        <v>2.8061768736144286</v>
      </c>
    </row>
    <row r="2148" spans="37:38" s="4" customFormat="1">
      <c r="AK2148" s="3">
        <v>2142</v>
      </c>
      <c r="AL2148" s="163">
        <v>2.8067124133055943</v>
      </c>
    </row>
    <row r="2149" spans="37:38" s="4" customFormat="1">
      <c r="AK2149" s="3">
        <v>2143</v>
      </c>
      <c r="AL2149" s="163">
        <v>2.8072478902119293</v>
      </c>
    </row>
    <row r="2150" spans="37:38" s="4" customFormat="1">
      <c r="AK2150" s="3">
        <v>2144</v>
      </c>
      <c r="AL2150" s="163">
        <v>2.8077833048746927</v>
      </c>
    </row>
    <row r="2151" spans="37:38" s="4" customFormat="1">
      <c r="AK2151" s="3">
        <v>2145</v>
      </c>
      <c r="AL2151" s="163">
        <v>2.8083186578346129</v>
      </c>
    </row>
    <row r="2152" spans="37:38" s="4" customFormat="1">
      <c r="AK2152" s="3">
        <v>2146</v>
      </c>
      <c r="AL2152" s="163">
        <v>2.8088539496318798</v>
      </c>
    </row>
    <row r="2153" spans="37:38" s="4" customFormat="1">
      <c r="AK2153" s="3">
        <v>2147</v>
      </c>
      <c r="AL2153" s="163">
        <v>2.8093891808061517</v>
      </c>
    </row>
    <row r="2154" spans="37:38" s="4" customFormat="1">
      <c r="AK2154" s="3">
        <v>2148</v>
      </c>
      <c r="AL2154" s="163">
        <v>2.8099243518965538</v>
      </c>
    </row>
    <row r="2155" spans="37:38" s="4" customFormat="1">
      <c r="AK2155" s="3">
        <v>2149</v>
      </c>
      <c r="AL2155" s="163">
        <v>2.8104594634416729</v>
      </c>
    </row>
    <row r="2156" spans="37:38" s="4" customFormat="1">
      <c r="AK2156" s="3">
        <v>2150</v>
      </c>
      <c r="AL2156" s="163">
        <v>2.8109945159795671</v>
      </c>
    </row>
    <row r="2157" spans="37:38" s="4" customFormat="1">
      <c r="AK2157" s="3">
        <v>2151</v>
      </c>
      <c r="AL2157" s="163">
        <v>2.8115295100477615</v>
      </c>
    </row>
    <row r="2158" spans="37:38" s="4" customFormat="1">
      <c r="AK2158" s="3">
        <v>2152</v>
      </c>
      <c r="AL2158" s="163">
        <v>2.8120644461832423</v>
      </c>
    </row>
    <row r="2159" spans="37:38" s="4" customFormat="1">
      <c r="AK2159" s="3">
        <v>2153</v>
      </c>
      <c r="AL2159" s="163">
        <v>2.8125993249224681</v>
      </c>
    </row>
    <row r="2160" spans="37:38" s="4" customFormat="1">
      <c r="AK2160" s="3">
        <v>2154</v>
      </c>
      <c r="AL2160" s="163">
        <v>2.8131341468013633</v>
      </c>
    </row>
    <row r="2161" spans="37:38" s="4" customFormat="1">
      <c r="AK2161" s="3">
        <v>2155</v>
      </c>
      <c r="AL2161" s="163">
        <v>2.8136689123553174</v>
      </c>
    </row>
    <row r="2162" spans="37:38" s="4" customFormat="1">
      <c r="AK2162" s="3">
        <v>2156</v>
      </c>
      <c r="AL2162" s="163">
        <v>2.8142036221191922</v>
      </c>
    </row>
    <row r="2163" spans="37:38" s="4" customFormat="1">
      <c r="AK2163" s="3">
        <v>2157</v>
      </c>
      <c r="AL2163" s="163">
        <v>2.814738276627311</v>
      </c>
    </row>
    <row r="2164" spans="37:38" s="4" customFormat="1">
      <c r="AK2164" s="3">
        <v>2158</v>
      </c>
      <c r="AL2164" s="163">
        <v>2.8152728764134709</v>
      </c>
    </row>
    <row r="2165" spans="37:38" s="4" customFormat="1">
      <c r="AK2165" s="3">
        <v>2159</v>
      </c>
      <c r="AL2165" s="163">
        <v>2.8158074220109319</v>
      </c>
    </row>
    <row r="2166" spans="37:38" s="4" customFormat="1">
      <c r="AK2166" s="3">
        <v>2160</v>
      </c>
      <c r="AL2166" s="163">
        <v>2.8163419139524266</v>
      </c>
    </row>
    <row r="2167" spans="37:38" s="4" customFormat="1">
      <c r="AK2167" s="3">
        <v>2161</v>
      </c>
      <c r="AL2167" s="163">
        <v>2.8168763527701524</v>
      </c>
    </row>
    <row r="2168" spans="37:38" s="4" customFormat="1">
      <c r="AK2168" s="3">
        <v>2162</v>
      </c>
      <c r="AL2168" s="163">
        <v>2.8174107389957799</v>
      </c>
    </row>
    <row r="2169" spans="37:38" s="4" customFormat="1">
      <c r="AK2169" s="3">
        <v>2163</v>
      </c>
      <c r="AL2169" s="163">
        <v>2.8179450731604421</v>
      </c>
    </row>
    <row r="2170" spans="37:38" s="4" customFormat="1">
      <c r="AK2170" s="3">
        <v>2164</v>
      </c>
      <c r="AL2170" s="163">
        <v>2.8184793557947465</v>
      </c>
    </row>
    <row r="2171" spans="37:38" s="4" customFormat="1">
      <c r="AK2171" s="3">
        <v>2165</v>
      </c>
      <c r="AL2171" s="163">
        <v>2.8190135874287687</v>
      </c>
    </row>
    <row r="2172" spans="37:38" s="4" customFormat="1">
      <c r="AK2172" s="3">
        <v>2166</v>
      </c>
      <c r="AL2172" s="163">
        <v>2.8195477685920518</v>
      </c>
    </row>
    <row r="2173" spans="37:38" s="4" customFormat="1">
      <c r="AK2173" s="3">
        <v>2167</v>
      </c>
      <c r="AL2173" s="163">
        <v>2.820081899813609</v>
      </c>
    </row>
    <row r="2174" spans="37:38" s="4" customFormat="1">
      <c r="AK2174" s="3">
        <v>2168</v>
      </c>
      <c r="AL2174" s="163">
        <v>2.8206159816219256</v>
      </c>
    </row>
    <row r="2175" spans="37:38" s="4" customFormat="1">
      <c r="AK2175" s="3">
        <v>2169</v>
      </c>
      <c r="AL2175" s="163">
        <v>2.8211500145449517</v>
      </c>
    </row>
    <row r="2176" spans="37:38" s="4" customFormat="1">
      <c r="AK2176" s="3">
        <v>2170</v>
      </c>
      <c r="AL2176" s="163">
        <v>2.8216839991101135</v>
      </c>
    </row>
    <row r="2177" spans="37:38" s="4" customFormat="1">
      <c r="AK2177" s="3">
        <v>2171</v>
      </c>
      <c r="AL2177" s="163">
        <v>2.822217935844304</v>
      </c>
    </row>
    <row r="2178" spans="37:38" s="4" customFormat="1">
      <c r="AK2178" s="3">
        <v>2172</v>
      </c>
      <c r="AL2178" s="163">
        <v>2.8227518252738868</v>
      </c>
    </row>
    <row r="2179" spans="37:38" s="4" customFormat="1">
      <c r="AK2179" s="3">
        <v>2173</v>
      </c>
      <c r="AL2179" s="163">
        <v>2.8232856679246958</v>
      </c>
    </row>
    <row r="2180" spans="37:38" s="4" customFormat="1">
      <c r="AK2180" s="3">
        <v>2174</v>
      </c>
      <c r="AL2180" s="163">
        <v>2.823819464322038</v>
      </c>
    </row>
    <row r="2181" spans="37:38" s="4" customFormat="1">
      <c r="AK2181" s="3">
        <v>2175</v>
      </c>
      <c r="AL2181" s="163">
        <v>2.8243532149906909</v>
      </c>
    </row>
    <row r="2182" spans="37:38" s="4" customFormat="1">
      <c r="AK2182" s="3">
        <v>2176</v>
      </c>
      <c r="AL2182" s="163">
        <v>2.8248869204549005</v>
      </c>
    </row>
    <row r="2183" spans="37:38" s="4" customFormat="1">
      <c r="AK2183" s="3">
        <v>2177</v>
      </c>
      <c r="AL2183" s="163">
        <v>2.8254205812383861</v>
      </c>
    </row>
    <row r="2184" spans="37:38" s="4" customFormat="1">
      <c r="AK2184" s="3">
        <v>2178</v>
      </c>
      <c r="AL2184" s="163">
        <v>2.8259541978643394</v>
      </c>
    </row>
    <row r="2185" spans="37:38" s="4" customFormat="1">
      <c r="AK2185" s="3">
        <v>2179</v>
      </c>
      <c r="AL2185" s="163">
        <v>2.8264877708554224</v>
      </c>
    </row>
    <row r="2186" spans="37:38" s="4" customFormat="1">
      <c r="AK2186" s="3">
        <v>2180</v>
      </c>
      <c r="AL2186" s="163">
        <v>2.8270213007337679</v>
      </c>
    </row>
    <row r="2187" spans="37:38" s="4" customFormat="1">
      <c r="AK2187" s="3">
        <v>2181</v>
      </c>
      <c r="AL2187" s="163">
        <v>2.827554788020985</v>
      </c>
    </row>
    <row r="2188" spans="37:38" s="4" customFormat="1">
      <c r="AK2188" s="3">
        <v>2182</v>
      </c>
      <c r="AL2188" s="163">
        <v>2.8280882332381512</v>
      </c>
    </row>
    <row r="2189" spans="37:38" s="4" customFormat="1">
      <c r="AK2189" s="3">
        <v>2183</v>
      </c>
      <c r="AL2189" s="163">
        <v>2.8286216369058179</v>
      </c>
    </row>
    <row r="2190" spans="37:38" s="4" customFormat="1">
      <c r="AK2190" s="3">
        <v>2184</v>
      </c>
      <c r="AL2190" s="163">
        <v>2.8291549995440097</v>
      </c>
    </row>
    <row r="2191" spans="37:38" s="4" customFormat="1">
      <c r="AK2191" s="3">
        <v>2185</v>
      </c>
      <c r="AL2191" s="163">
        <v>2.8296883216722222</v>
      </c>
    </row>
    <row r="2192" spans="37:38" s="4" customFormat="1">
      <c r="AK2192" s="3">
        <v>2186</v>
      </c>
      <c r="AL2192" s="163">
        <v>2.8302216038094259</v>
      </c>
    </row>
    <row r="2193" spans="37:38" s="4" customFormat="1">
      <c r="AK2193" s="3">
        <v>2187</v>
      </c>
      <c r="AL2193" s="163">
        <v>2.8307548464740644</v>
      </c>
    </row>
    <row r="2194" spans="37:38" s="4" customFormat="1">
      <c r="AK2194" s="3">
        <v>2188</v>
      </c>
      <c r="AL2194" s="163">
        <v>2.8312880501840541</v>
      </c>
    </row>
    <row r="2195" spans="37:38" s="4" customFormat="1">
      <c r="AK2195" s="3">
        <v>2189</v>
      </c>
      <c r="AL2195" s="163">
        <v>2.8318212154567832</v>
      </c>
    </row>
    <row r="2196" spans="37:38" s="4" customFormat="1">
      <c r="AK2196" s="3">
        <v>2190</v>
      </c>
      <c r="AL2196" s="163">
        <v>2.8323543428091176</v>
      </c>
    </row>
    <row r="2197" spans="37:38" s="4" customFormat="1">
      <c r="AK2197" s="3">
        <v>2191</v>
      </c>
      <c r="AL2197" s="163">
        <v>2.832887432757393</v>
      </c>
    </row>
    <row r="2198" spans="37:38" s="4" customFormat="1">
      <c r="AK2198" s="3">
        <v>2192</v>
      </c>
      <c r="AL2198" s="163">
        <v>2.8334204858174226</v>
      </c>
    </row>
    <row r="2199" spans="37:38" s="4" customFormat="1">
      <c r="AK2199" s="3">
        <v>2193</v>
      </c>
      <c r="AL2199" s="163">
        <v>2.8339535025044924</v>
      </c>
    </row>
    <row r="2200" spans="37:38" s="4" customFormat="1">
      <c r="AK2200" s="3">
        <v>2194</v>
      </c>
      <c r="AL2200" s="163">
        <v>2.8344864833333636</v>
      </c>
    </row>
    <row r="2201" spans="37:38" s="4" customFormat="1">
      <c r="AK2201" s="3">
        <v>2195</v>
      </c>
      <c r="AL2201" s="163">
        <v>2.8350194288182697</v>
      </c>
    </row>
    <row r="2202" spans="37:38" s="4" customFormat="1">
      <c r="AK2202" s="3">
        <v>2196</v>
      </c>
      <c r="AL2202" s="163">
        <v>2.8355523394729234</v>
      </c>
    </row>
    <row r="2203" spans="37:38" s="4" customFormat="1">
      <c r="AK2203" s="3">
        <v>2197</v>
      </c>
      <c r="AL2203" s="163">
        <v>2.8360852158105079</v>
      </c>
    </row>
    <row r="2204" spans="37:38" s="4" customFormat="1">
      <c r="AK2204" s="3">
        <v>2198</v>
      </c>
      <c r="AL2204" s="163">
        <v>2.8366180583436855</v>
      </c>
    </row>
    <row r="2205" spans="37:38" s="4" customFormat="1">
      <c r="AK2205" s="3">
        <v>2199</v>
      </c>
      <c r="AL2205" s="163">
        <v>2.8371508675845902</v>
      </c>
    </row>
    <row r="2206" spans="37:38" s="4" customFormat="1">
      <c r="AK2206" s="3">
        <v>2200</v>
      </c>
      <c r="AL2206" s="163">
        <v>2.8376836440448345</v>
      </c>
    </row>
    <row r="2207" spans="37:38" s="4" customFormat="1">
      <c r="AK2207" s="3">
        <v>2201</v>
      </c>
      <c r="AL2207" s="163">
        <v>2.8382163882355056</v>
      </c>
    </row>
    <row r="2208" spans="37:38" s="4" customFormat="1">
      <c r="AK2208" s="3">
        <v>2202</v>
      </c>
      <c r="AL2208" s="163">
        <v>2.8387491006671657</v>
      </c>
    </row>
    <row r="2209" spans="37:38" s="4" customFormat="1">
      <c r="AK2209" s="3">
        <v>2203</v>
      </c>
      <c r="AL2209" s="163">
        <v>2.8392817818498566</v>
      </c>
    </row>
    <row r="2210" spans="37:38" s="4" customFormat="1">
      <c r="AK2210" s="3">
        <v>2204</v>
      </c>
      <c r="AL2210" s="163">
        <v>2.8398144322930921</v>
      </c>
    </row>
    <row r="2211" spans="37:38" s="4" customFormat="1">
      <c r="AK2211" s="3">
        <v>2205</v>
      </c>
      <c r="AL2211" s="163">
        <v>2.8403470525058649</v>
      </c>
    </row>
    <row r="2212" spans="37:38" s="4" customFormat="1">
      <c r="AK2212" s="3">
        <v>2206</v>
      </c>
      <c r="AL2212" s="163">
        <v>2.8408796429966432</v>
      </c>
    </row>
    <row r="2213" spans="37:38" s="4" customFormat="1">
      <c r="AK2213" s="3">
        <v>2207</v>
      </c>
      <c r="AL2213" s="163">
        <v>2.8414122042733747</v>
      </c>
    </row>
    <row r="2214" spans="37:38" s="4" customFormat="1">
      <c r="AK2214" s="3">
        <v>2208</v>
      </c>
      <c r="AL2214" s="163">
        <v>2.8419447368434811</v>
      </c>
    </row>
    <row r="2215" spans="37:38" s="4" customFormat="1">
      <c r="AK2215" s="3">
        <v>2209</v>
      </c>
      <c r="AL2215" s="163">
        <v>2.8424772412138632</v>
      </c>
    </row>
    <row r="2216" spans="37:38" s="4" customFormat="1">
      <c r="AK2216" s="3">
        <v>2210</v>
      </c>
      <c r="AL2216" s="163">
        <v>2.843009717890896</v>
      </c>
    </row>
    <row r="2217" spans="37:38" s="4" customFormat="1">
      <c r="AK2217" s="3">
        <v>2211</v>
      </c>
      <c r="AL2217" s="163">
        <v>2.8435421673804382</v>
      </c>
    </row>
    <row r="2218" spans="37:38" s="4" customFormat="1">
      <c r="AK2218" s="3">
        <v>2212</v>
      </c>
      <c r="AL2218" s="163">
        <v>2.8440745901878213</v>
      </c>
    </row>
    <row r="2219" spans="37:38" s="4" customFormat="1">
      <c r="AK2219" s="3">
        <v>2213</v>
      </c>
      <c r="AL2219" s="163">
        <v>2.8446069868178561</v>
      </c>
    </row>
    <row r="2220" spans="37:38" s="4" customFormat="1">
      <c r="AK2220" s="3">
        <v>2214</v>
      </c>
      <c r="AL2220" s="163">
        <v>2.8451393577748321</v>
      </c>
    </row>
    <row r="2221" spans="37:38" s="4" customFormat="1">
      <c r="AK2221" s="3">
        <v>2215</v>
      </c>
      <c r="AL2221" s="163">
        <v>2.8456717035625161</v>
      </c>
    </row>
    <row r="2222" spans="37:38" s="4" customFormat="1">
      <c r="AK2222" s="3">
        <v>2216</v>
      </c>
      <c r="AL2222" s="163">
        <v>2.8462040246841553</v>
      </c>
    </row>
    <row r="2223" spans="37:38" s="4" customFormat="1">
      <c r="AK2223" s="3">
        <v>2217</v>
      </c>
      <c r="AL2223" s="163">
        <v>2.8467363216424739</v>
      </c>
    </row>
    <row r="2224" spans="37:38" s="4" customFormat="1">
      <c r="AK2224" s="3">
        <v>2218</v>
      </c>
      <c r="AL2224" s="163">
        <v>2.8472685949396745</v>
      </c>
    </row>
    <row r="2225" spans="37:38" s="4" customFormat="1">
      <c r="AK2225" s="3">
        <v>2219</v>
      </c>
      <c r="AL2225" s="163">
        <v>2.8478008450774421</v>
      </c>
    </row>
    <row r="2226" spans="37:38" s="4" customFormat="1">
      <c r="AK2226" s="3">
        <v>2220</v>
      </c>
      <c r="AL2226" s="163">
        <v>2.848333072556938</v>
      </c>
    </row>
    <row r="2227" spans="37:38" s="4" customFormat="1">
      <c r="AK2227" s="3">
        <v>2221</v>
      </c>
      <c r="AL2227" s="163">
        <v>2.8488652778788017</v>
      </c>
    </row>
    <row r="2228" spans="37:38" s="4" customFormat="1">
      <c r="AK2228" s="3">
        <v>2222</v>
      </c>
      <c r="AL2228" s="163">
        <v>2.8493974615431563</v>
      </c>
    </row>
    <row r="2229" spans="37:38" s="4" customFormat="1">
      <c r="AK2229" s="3">
        <v>2223</v>
      </c>
      <c r="AL2229" s="163">
        <v>2.8499296240496008</v>
      </c>
    </row>
    <row r="2230" spans="37:38" s="4" customFormat="1">
      <c r="AK2230" s="3">
        <v>2224</v>
      </c>
      <c r="AL2230" s="163">
        <v>2.8504617658972191</v>
      </c>
    </row>
    <row r="2231" spans="37:38" s="4" customFormat="1">
      <c r="AK2231" s="3">
        <v>2225</v>
      </c>
      <c r="AL2231" s="163">
        <v>2.8509938875845706</v>
      </c>
    </row>
    <row r="2232" spans="37:38" s="4" customFormat="1">
      <c r="AK2232" s="3">
        <v>2226</v>
      </c>
      <c r="AL2232" s="163">
        <v>2.8515259896096974</v>
      </c>
    </row>
    <row r="2233" spans="37:38" s="4" customFormat="1">
      <c r="AK2233" s="3">
        <v>2227</v>
      </c>
      <c r="AL2233" s="163">
        <v>2.8520580724701201</v>
      </c>
    </row>
    <row r="2234" spans="37:38" s="4" customFormat="1">
      <c r="AK2234" s="3">
        <v>2228</v>
      </c>
      <c r="AL2234" s="163">
        <v>2.8525901366628434</v>
      </c>
    </row>
    <row r="2235" spans="37:38" s="4" customFormat="1">
      <c r="AK2235" s="3">
        <v>2229</v>
      </c>
      <c r="AL2235" s="163">
        <v>2.8531221826843494</v>
      </c>
    </row>
    <row r="2236" spans="37:38" s="4" customFormat="1">
      <c r="AK2236" s="3">
        <v>2230</v>
      </c>
      <c r="AL2236" s="163">
        <v>2.8536542110306029</v>
      </c>
    </row>
    <row r="2237" spans="37:38" s="4" customFormat="1">
      <c r="AK2237" s="3">
        <v>2231</v>
      </c>
      <c r="AL2237" s="163">
        <v>2.8541862221970513</v>
      </c>
    </row>
    <row r="2238" spans="37:38" s="4" customFormat="1">
      <c r="AK2238" s="3">
        <v>2232</v>
      </c>
      <c r="AL2238" s="163">
        <v>2.8547182166786218</v>
      </c>
    </row>
    <row r="2239" spans="37:38" s="4" customFormat="1">
      <c r="AK2239" s="3">
        <v>2233</v>
      </c>
      <c r="AL2239" s="163">
        <v>2.8552501949697233</v>
      </c>
    </row>
    <row r="2240" spans="37:38" s="4" customFormat="1">
      <c r="AK2240" s="3">
        <v>2234</v>
      </c>
      <c r="AL2240" s="163">
        <v>2.855782157564247</v>
      </c>
    </row>
    <row r="2241" spans="37:38" s="4" customFormat="1">
      <c r="AK2241" s="3">
        <v>2235</v>
      </c>
      <c r="AL2241" s="163">
        <v>2.8563141049555649</v>
      </c>
    </row>
    <row r="2242" spans="37:38" s="4" customFormat="1">
      <c r="AK2242" s="3">
        <v>2236</v>
      </c>
      <c r="AL2242" s="163">
        <v>2.8568460376365348</v>
      </c>
    </row>
    <row r="2243" spans="37:38" s="4" customFormat="1">
      <c r="AK2243" s="3">
        <v>2237</v>
      </c>
      <c r="AL2243" s="163">
        <v>2.857377956099493</v>
      </c>
    </row>
    <row r="2244" spans="37:38" s="4" customFormat="1">
      <c r="AK2244" s="3">
        <v>2238</v>
      </c>
      <c r="AL2244" s="163">
        <v>2.8579098608362581</v>
      </c>
    </row>
    <row r="2245" spans="37:38" s="4" customFormat="1">
      <c r="AK2245" s="3">
        <v>2239</v>
      </c>
      <c r="AL2245" s="163">
        <v>2.8584417523381371</v>
      </c>
    </row>
    <row r="2246" spans="37:38" s="4" customFormat="1">
      <c r="AK2246" s="3">
        <v>2240</v>
      </c>
      <c r="AL2246" s="163">
        <v>2.8589736310959113</v>
      </c>
    </row>
    <row r="2247" spans="37:38" s="4" customFormat="1">
      <c r="AK2247" s="3">
        <v>2241</v>
      </c>
      <c r="AL2247" s="163">
        <v>2.8595054975998524</v>
      </c>
    </row>
    <row r="2248" spans="37:38" s="4" customFormat="1">
      <c r="AK2248" s="3">
        <v>2242</v>
      </c>
      <c r="AL2248" s="163">
        <v>2.8600373523397131</v>
      </c>
    </row>
    <row r="2249" spans="37:38" s="4" customFormat="1">
      <c r="AK2249" s="3">
        <v>2243</v>
      </c>
      <c r="AL2249" s="163">
        <v>2.8605691958047279</v>
      </c>
    </row>
    <row r="2250" spans="37:38" s="4" customFormat="1">
      <c r="AK2250" s="3">
        <v>2244</v>
      </c>
      <c r="AL2250" s="163">
        <v>2.8611010284836169</v>
      </c>
    </row>
    <row r="2251" spans="37:38" s="4" customFormat="1">
      <c r="AK2251" s="3">
        <v>2245</v>
      </c>
      <c r="AL2251" s="163">
        <v>2.8616328508645843</v>
      </c>
    </row>
    <row r="2252" spans="37:38" s="4" customFormat="1">
      <c r="AK2252" s="3">
        <v>2246</v>
      </c>
      <c r="AL2252" s="163">
        <v>2.8621646634353177</v>
      </c>
    </row>
    <row r="2253" spans="37:38" s="4" customFormat="1">
      <c r="AK2253" s="3">
        <v>2247</v>
      </c>
      <c r="AL2253" s="163">
        <v>2.8626964666829871</v>
      </c>
    </row>
    <row r="2254" spans="37:38" s="4" customFormat="1">
      <c r="AK2254" s="3">
        <v>2248</v>
      </c>
      <c r="AL2254" s="163">
        <v>2.8632282610942488</v>
      </c>
    </row>
    <row r="2255" spans="37:38" s="4" customFormat="1">
      <c r="AK2255" s="3">
        <v>2249</v>
      </c>
      <c r="AL2255" s="163">
        <v>2.8637600471552451</v>
      </c>
    </row>
    <row r="2256" spans="37:38" s="4" customFormat="1">
      <c r="AK2256" s="3">
        <v>2250</v>
      </c>
      <c r="AL2256" s="163">
        <v>2.8642918253516005</v>
      </c>
    </row>
    <row r="2257" spans="37:38" s="4" customFormat="1">
      <c r="AK2257" s="3">
        <v>2251</v>
      </c>
      <c r="AL2257" s="163">
        <v>2.8648235961684256</v>
      </c>
    </row>
    <row r="2258" spans="37:38" s="4" customFormat="1">
      <c r="AK2258" s="3">
        <v>2252</v>
      </c>
      <c r="AL2258" s="163">
        <v>2.8653553600903163</v>
      </c>
    </row>
    <row r="2259" spans="37:38" s="4" customFormat="1">
      <c r="AK2259" s="3">
        <v>2253</v>
      </c>
      <c r="AL2259" s="163">
        <v>2.8658871176013512</v>
      </c>
    </row>
    <row r="2260" spans="37:38" s="4" customFormat="1">
      <c r="AK2260" s="3">
        <v>2254</v>
      </c>
      <c r="AL2260" s="163">
        <v>2.8664188691851002</v>
      </c>
    </row>
    <row r="2261" spans="37:38" s="4" customFormat="1">
      <c r="AK2261" s="3">
        <v>2255</v>
      </c>
      <c r="AL2261" s="163">
        <v>2.8669506153246131</v>
      </c>
    </row>
    <row r="2262" spans="37:38" s="4" customFormat="1">
      <c r="AK2262" s="3">
        <v>2256</v>
      </c>
      <c r="AL2262" s="163">
        <v>2.8674823565024306</v>
      </c>
    </row>
    <row r="2263" spans="37:38" s="4" customFormat="1">
      <c r="AK2263" s="3">
        <v>2257</v>
      </c>
      <c r="AL2263" s="163">
        <v>2.8680140932005727</v>
      </c>
    </row>
    <row r="2264" spans="37:38" s="4" customFormat="1">
      <c r="AK2264" s="3">
        <v>2258</v>
      </c>
      <c r="AL2264" s="163">
        <v>2.8685458259005512</v>
      </c>
    </row>
    <row r="2265" spans="37:38" s="4" customFormat="1">
      <c r="AK2265" s="3">
        <v>2259</v>
      </c>
      <c r="AL2265" s="163">
        <v>2.869077555083364</v>
      </c>
    </row>
    <row r="2266" spans="37:38" s="4" customFormat="1">
      <c r="AK2266" s="3">
        <v>2260</v>
      </c>
      <c r="AL2266" s="163">
        <v>2.8696092812294949</v>
      </c>
    </row>
    <row r="2267" spans="37:38" s="4" customFormat="1">
      <c r="AK2267" s="3">
        <v>2261</v>
      </c>
      <c r="AL2267" s="163">
        <v>2.8701410048189104</v>
      </c>
    </row>
    <row r="2268" spans="37:38" s="4" customFormat="1">
      <c r="AK2268" s="3">
        <v>2262</v>
      </c>
      <c r="AL2268" s="163">
        <v>2.8706727263310707</v>
      </c>
    </row>
    <row r="2269" spans="37:38" s="4" customFormat="1">
      <c r="AK2269" s="3">
        <v>2263</v>
      </c>
      <c r="AL2269" s="163">
        <v>2.8712044462449202</v>
      </c>
    </row>
    <row r="2270" spans="37:38" s="4" customFormat="1">
      <c r="AK2270" s="3">
        <v>2264</v>
      </c>
      <c r="AL2270" s="163">
        <v>2.8717361650388904</v>
      </c>
    </row>
    <row r="2271" spans="37:38" s="4" customFormat="1">
      <c r="AK2271" s="3">
        <v>2265</v>
      </c>
      <c r="AL2271" s="163">
        <v>2.8722678831908977</v>
      </c>
    </row>
    <row r="2272" spans="37:38" s="4" customFormat="1">
      <c r="AK2272" s="3">
        <v>2266</v>
      </c>
      <c r="AL2272" s="163">
        <v>2.872799601178353</v>
      </c>
    </row>
    <row r="2273" spans="37:38" s="4" customFormat="1">
      <c r="AK2273" s="3">
        <v>2267</v>
      </c>
      <c r="AL2273" s="163">
        <v>2.8733313194781478</v>
      </c>
    </row>
    <row r="2274" spans="37:38" s="4" customFormat="1">
      <c r="AK2274" s="3">
        <v>2268</v>
      </c>
      <c r="AL2274" s="163">
        <v>2.8738630385666655</v>
      </c>
    </row>
    <row r="2275" spans="37:38" s="4" customFormat="1">
      <c r="AK2275" s="3">
        <v>2269</v>
      </c>
      <c r="AL2275" s="163">
        <v>2.8743947589197796</v>
      </c>
    </row>
    <row r="2276" spans="37:38" s="4" customFormat="1">
      <c r="AK2276" s="3">
        <v>2270</v>
      </c>
      <c r="AL2276" s="163">
        <v>2.8749264810128472</v>
      </c>
    </row>
    <row r="2277" spans="37:38" s="4" customFormat="1">
      <c r="AK2277" s="3">
        <v>2271</v>
      </c>
      <c r="AL2277" s="163">
        <v>2.8754582053207161</v>
      </c>
    </row>
    <row r="2278" spans="37:38" s="4" customFormat="1">
      <c r="AK2278" s="3">
        <v>2272</v>
      </c>
      <c r="AL2278" s="163">
        <v>2.875989932317724</v>
      </c>
    </row>
    <row r="2279" spans="37:38" s="4" customFormat="1">
      <c r="AK2279" s="3">
        <v>2273</v>
      </c>
      <c r="AL2279" s="163">
        <v>2.8765216624776988</v>
      </c>
    </row>
    <row r="2280" spans="37:38" s="4" customFormat="1">
      <c r="AK2280" s="3">
        <v>2274</v>
      </c>
      <c r="AL2280" s="163">
        <v>2.8770533962739542</v>
      </c>
    </row>
    <row r="2281" spans="37:38" s="4" customFormat="1">
      <c r="AK2281" s="3">
        <v>2275</v>
      </c>
      <c r="AL2281" s="163">
        <v>2.8775851341792937</v>
      </c>
    </row>
    <row r="2282" spans="37:38" s="4" customFormat="1">
      <c r="AK2282" s="3">
        <v>2276</v>
      </c>
      <c r="AL2282" s="163">
        <v>2.8781168766660148</v>
      </c>
    </row>
    <row r="2283" spans="37:38" s="4" customFormat="1">
      <c r="AK2283" s="3">
        <v>2277</v>
      </c>
      <c r="AL2283" s="163">
        <v>2.8786486242058955</v>
      </c>
    </row>
    <row r="2284" spans="37:38" s="4" customFormat="1">
      <c r="AK2284" s="3">
        <v>2278</v>
      </c>
      <c r="AL2284" s="163">
        <v>2.879180377270214</v>
      </c>
    </row>
    <row r="2285" spans="37:38" s="4" customFormat="1">
      <c r="AK2285" s="3">
        <v>2279</v>
      </c>
      <c r="AL2285" s="163">
        <v>2.8797121363297338</v>
      </c>
    </row>
    <row r="2286" spans="37:38" s="4" customFormat="1">
      <c r="AK2286" s="3">
        <v>2280</v>
      </c>
      <c r="AL2286" s="163">
        <v>2.8802439018547084</v>
      </c>
    </row>
    <row r="2287" spans="37:38" s="4" customFormat="1">
      <c r="AK2287" s="3">
        <v>2281</v>
      </c>
      <c r="AL2287" s="163">
        <v>2.8807756743148811</v>
      </c>
    </row>
    <row r="2288" spans="37:38" s="4" customFormat="1">
      <c r="AK2288" s="3">
        <v>2282</v>
      </c>
      <c r="AL2288" s="163">
        <v>2.8813074541794879</v>
      </c>
    </row>
    <row r="2289" spans="37:38" s="4" customFormat="1">
      <c r="AK2289" s="3">
        <v>2283</v>
      </c>
      <c r="AL2289" s="163">
        <v>2.8818392419172558</v>
      </c>
    </row>
    <row r="2290" spans="37:38" s="4" customFormat="1">
      <c r="AK2290" s="3">
        <v>2284</v>
      </c>
      <c r="AL2290" s="163">
        <v>2.8823710379964016</v>
      </c>
    </row>
    <row r="2291" spans="37:38" s="4" customFormat="1">
      <c r="AK2291" s="3">
        <v>2285</v>
      </c>
      <c r="AL2291" s="163">
        <v>2.8829028428846324</v>
      </c>
    </row>
    <row r="2292" spans="37:38" s="4" customFormat="1">
      <c r="AK2292" s="3">
        <v>2286</v>
      </c>
      <c r="AL2292" s="163">
        <v>2.8834346570491496</v>
      </c>
    </row>
    <row r="2293" spans="37:38" s="4" customFormat="1">
      <c r="AK2293" s="3">
        <v>2287</v>
      </c>
      <c r="AL2293" s="163">
        <v>2.8839664809566439</v>
      </c>
    </row>
    <row r="2294" spans="37:38" s="4" customFormat="1">
      <c r="AK2294" s="3">
        <v>2288</v>
      </c>
      <c r="AL2294" s="163">
        <v>2.8844983150732952</v>
      </c>
    </row>
    <row r="2295" spans="37:38" s="4" customFormat="1">
      <c r="AK2295" s="3">
        <v>2289</v>
      </c>
      <c r="AL2295" s="163">
        <v>2.8850301598647836</v>
      </c>
    </row>
    <row r="2296" spans="37:38" s="4" customFormat="1">
      <c r="AK2296" s="3">
        <v>2290</v>
      </c>
      <c r="AL2296" s="163">
        <v>2.8855620157962734</v>
      </c>
    </row>
    <row r="2297" spans="37:38" s="4" customFormat="1">
      <c r="AK2297" s="3">
        <v>2291</v>
      </c>
      <c r="AL2297" s="163">
        <v>2.8860938833324239</v>
      </c>
    </row>
    <row r="2298" spans="37:38" s="4" customFormat="1">
      <c r="AK2298" s="3">
        <v>2292</v>
      </c>
      <c r="AL2298" s="163">
        <v>2.8866257629373866</v>
      </c>
    </row>
    <row r="2299" spans="37:38" s="4" customFormat="1">
      <c r="AK2299" s="3">
        <v>2293</v>
      </c>
      <c r="AL2299" s="163">
        <v>2.887157655074807</v>
      </c>
    </row>
    <row r="2300" spans="37:38" s="4" customFormat="1">
      <c r="AK2300" s="3">
        <v>2294</v>
      </c>
      <c r="AL2300" s="163">
        <v>2.8876895602078232</v>
      </c>
    </row>
    <row r="2301" spans="37:38" s="4" customFormat="1">
      <c r="AK2301" s="3">
        <v>2295</v>
      </c>
      <c r="AL2301" s="163">
        <v>2.8882214787990628</v>
      </c>
    </row>
    <row r="2302" spans="37:38" s="4" customFormat="1">
      <c r="AK2302" s="3">
        <v>2296</v>
      </c>
      <c r="AL2302" s="163">
        <v>2.8887534113106534</v>
      </c>
    </row>
    <row r="2303" spans="37:38" s="4" customFormat="1">
      <c r="AK2303" s="3">
        <v>2297</v>
      </c>
      <c r="AL2303" s="163">
        <v>2.8892853582042082</v>
      </c>
    </row>
    <row r="2304" spans="37:38" s="4" customFormat="1">
      <c r="AK2304" s="3">
        <v>2298</v>
      </c>
      <c r="AL2304" s="163">
        <v>2.8898173199408395</v>
      </c>
    </row>
    <row r="2305" spans="37:38" s="4" customFormat="1">
      <c r="AK2305" s="3">
        <v>2299</v>
      </c>
      <c r="AL2305" s="163">
        <v>2.8903492969811522</v>
      </c>
    </row>
    <row r="2306" spans="37:38" s="4" customFormat="1">
      <c r="AK2306" s="3">
        <v>2300</v>
      </c>
      <c r="AL2306" s="163">
        <v>2.8908812897852423</v>
      </c>
    </row>
    <row r="2307" spans="37:38" s="4" customFormat="1">
      <c r="AK2307" s="3">
        <v>2301</v>
      </c>
      <c r="AL2307" s="163">
        <v>2.8914132988127035</v>
      </c>
    </row>
    <row r="2308" spans="37:38" s="4" customFormat="1">
      <c r="AK2308" s="3">
        <v>2302</v>
      </c>
      <c r="AL2308" s="163">
        <v>2.891945324522625</v>
      </c>
    </row>
    <row r="2309" spans="37:38" s="4" customFormat="1">
      <c r="AK2309" s="3">
        <v>2303</v>
      </c>
      <c r="AL2309" s="163">
        <v>2.8924773673735853</v>
      </c>
    </row>
    <row r="2310" spans="37:38" s="4" customFormat="1">
      <c r="AK2310" s="3">
        <v>2304</v>
      </c>
      <c r="AL2310" s="163">
        <v>2.8930094278236611</v>
      </c>
    </row>
    <row r="2311" spans="37:38" s="4" customFormat="1">
      <c r="AK2311" s="3">
        <v>2305</v>
      </c>
      <c r="AL2311" s="163">
        <v>2.8935415063304224</v>
      </c>
    </row>
    <row r="2312" spans="37:38" s="4" customFormat="1">
      <c r="AK2312" s="3">
        <v>2306</v>
      </c>
      <c r="AL2312" s="163">
        <v>2.8940736033509387</v>
      </c>
    </row>
    <row r="2313" spans="37:38" s="4" customFormat="1">
      <c r="AK2313" s="3">
        <v>2307</v>
      </c>
      <c r="AL2313" s="163">
        <v>2.8946057193417665</v>
      </c>
    </row>
    <row r="2314" spans="37:38" s="4" customFormat="1">
      <c r="AK2314" s="3">
        <v>2308</v>
      </c>
      <c r="AL2314" s="163">
        <v>2.8951378547589632</v>
      </c>
    </row>
    <row r="2315" spans="37:38" s="4" customFormat="1">
      <c r="AK2315" s="3">
        <v>2309</v>
      </c>
      <c r="AL2315" s="163">
        <v>2.8956700100580841</v>
      </c>
    </row>
    <row r="2316" spans="37:38" s="4" customFormat="1">
      <c r="AK2316" s="3">
        <v>2310</v>
      </c>
      <c r="AL2316" s="163">
        <v>2.8962021856941726</v>
      </c>
    </row>
    <row r="2317" spans="37:38" s="4" customFormat="1">
      <c r="AK2317" s="3">
        <v>2311</v>
      </c>
      <c r="AL2317" s="163">
        <v>2.8967343821217759</v>
      </c>
    </row>
    <row r="2318" spans="37:38" s="4" customFormat="1">
      <c r="AK2318" s="3">
        <v>2312</v>
      </c>
      <c r="AL2318" s="163">
        <v>2.8972665997949352</v>
      </c>
    </row>
    <row r="2319" spans="37:38" s="4" customFormat="1">
      <c r="AK2319" s="3">
        <v>2313</v>
      </c>
      <c r="AL2319" s="163">
        <v>2.8977988391671841</v>
      </c>
    </row>
    <row r="2320" spans="37:38" s="4" customFormat="1">
      <c r="AK2320" s="3">
        <v>2314</v>
      </c>
      <c r="AL2320" s="163">
        <v>2.8983311006915562</v>
      </c>
    </row>
    <row r="2321" spans="37:38" s="4" customFormat="1">
      <c r="AK2321" s="3">
        <v>2315</v>
      </c>
      <c r="AL2321" s="163">
        <v>2.8988633848205811</v>
      </c>
    </row>
    <row r="2322" spans="37:38" s="4" customFormat="1">
      <c r="AK2322" s="3">
        <v>2316</v>
      </c>
      <c r="AL2322" s="163">
        <v>2.8993956920062867</v>
      </c>
    </row>
    <row r="2323" spans="37:38" s="4" customFormat="1">
      <c r="AK2323" s="3">
        <v>2317</v>
      </c>
      <c r="AL2323" s="163">
        <v>2.8999280227001942</v>
      </c>
    </row>
    <row r="2324" spans="37:38" s="4" customFormat="1">
      <c r="AK2324" s="3">
        <v>2318</v>
      </c>
      <c r="AL2324" s="163">
        <v>2.900460377353328</v>
      </c>
    </row>
    <row r="2325" spans="37:38" s="4" customFormat="1">
      <c r="AK2325" s="3">
        <v>2319</v>
      </c>
      <c r="AL2325" s="163">
        <v>2.900992756416203</v>
      </c>
    </row>
    <row r="2326" spans="37:38" s="4" customFormat="1">
      <c r="AK2326" s="3">
        <v>2320</v>
      </c>
      <c r="AL2326" s="163">
        <v>2.9015251603388377</v>
      </c>
    </row>
    <row r="2327" spans="37:38" s="4" customFormat="1">
      <c r="AK2327" s="3">
        <v>2321</v>
      </c>
      <c r="AL2327" s="163">
        <v>2.902057589570743</v>
      </c>
    </row>
    <row r="2328" spans="37:38" s="4" customFormat="1">
      <c r="AK2328" s="3">
        <v>2322</v>
      </c>
      <c r="AL2328" s="163">
        <v>2.9025900445609327</v>
      </c>
    </row>
    <row r="2329" spans="37:38" s="4" customFormat="1">
      <c r="AK2329" s="3">
        <v>2323</v>
      </c>
      <c r="AL2329" s="163">
        <v>2.9031225257579183</v>
      </c>
    </row>
    <row r="2330" spans="37:38" s="4" customFormat="1">
      <c r="AK2330" s="3">
        <v>2324</v>
      </c>
      <c r="AL2330" s="163">
        <v>2.903655033609704</v>
      </c>
    </row>
    <row r="2331" spans="37:38" s="4" customFormat="1">
      <c r="AK2331" s="3">
        <v>2325</v>
      </c>
      <c r="AL2331" s="163">
        <v>2.9041875685638008</v>
      </c>
    </row>
    <row r="2332" spans="37:38" s="4" customFormat="1">
      <c r="AK2332" s="3">
        <v>2326</v>
      </c>
      <c r="AL2332" s="163">
        <v>2.9047201310672106</v>
      </c>
    </row>
    <row r="2333" spans="37:38" s="4" customFormat="1">
      <c r="AK2333" s="3">
        <v>2327</v>
      </c>
      <c r="AL2333" s="163">
        <v>2.9052527215664403</v>
      </c>
    </row>
    <row r="2334" spans="37:38" s="4" customFormat="1">
      <c r="AK2334" s="3">
        <v>2328</v>
      </c>
      <c r="AL2334" s="163">
        <v>2.9057853405074918</v>
      </c>
    </row>
    <row r="2335" spans="37:38" s="4" customFormat="1">
      <c r="AK2335" s="3">
        <v>2329</v>
      </c>
      <c r="AL2335" s="163">
        <v>2.9063179883358701</v>
      </c>
    </row>
    <row r="2336" spans="37:38" s="4" customFormat="1">
      <c r="AK2336" s="3">
        <v>2330</v>
      </c>
      <c r="AL2336" s="163">
        <v>2.9068506654965751</v>
      </c>
    </row>
    <row r="2337" spans="37:38" s="4" customFormat="1">
      <c r="AK2337" s="3">
        <v>2331</v>
      </c>
      <c r="AL2337" s="163">
        <v>2.9073833724341114</v>
      </c>
    </row>
    <row r="2338" spans="37:38" s="4" customFormat="1">
      <c r="AK2338" s="3">
        <v>2332</v>
      </c>
      <c r="AL2338" s="163">
        <v>2.9079161095924784</v>
      </c>
    </row>
    <row r="2339" spans="37:38" s="4" customFormat="1">
      <c r="AK2339" s="3">
        <v>2333</v>
      </c>
      <c r="AL2339" s="163">
        <v>2.9084488774151791</v>
      </c>
    </row>
    <row r="2340" spans="37:38" s="4" customFormat="1">
      <c r="AK2340" s="3">
        <v>2334</v>
      </c>
      <c r="AL2340" s="163">
        <v>2.9089816763452152</v>
      </c>
    </row>
    <row r="2341" spans="37:38" s="4" customFormat="1">
      <c r="AK2341" s="3">
        <v>2335</v>
      </c>
      <c r="AL2341" s="163">
        <v>2.9095145068250896</v>
      </c>
    </row>
    <row r="2342" spans="37:38" s="4" customFormat="1">
      <c r="AK2342" s="3">
        <v>2336</v>
      </c>
      <c r="AL2342" s="163">
        <v>2.9100473692968039</v>
      </c>
    </row>
    <row r="2343" spans="37:38" s="4" customFormat="1">
      <c r="AK2343" s="3">
        <v>2337</v>
      </c>
      <c r="AL2343" s="163">
        <v>2.9105802642018643</v>
      </c>
    </row>
    <row r="2344" spans="37:38" s="4" customFormat="1">
      <c r="AK2344" s="3">
        <v>2338</v>
      </c>
      <c r="AL2344" s="163">
        <v>2.9111131919812725</v>
      </c>
    </row>
    <row r="2345" spans="37:38" s="4" customFormat="1">
      <c r="AK2345" s="3">
        <v>2339</v>
      </c>
      <c r="AL2345" s="163">
        <v>2.9116461530755342</v>
      </c>
    </row>
    <row r="2346" spans="37:38" s="4" customFormat="1">
      <c r="AK2346" s="3">
        <v>2340</v>
      </c>
      <c r="AL2346" s="163">
        <v>2.9121791479246584</v>
      </c>
    </row>
    <row r="2347" spans="37:38" s="4" customFormat="1">
      <c r="AK2347" s="3">
        <v>2341</v>
      </c>
      <c r="AL2347" s="163">
        <v>2.9127121769681534</v>
      </c>
    </row>
    <row r="2348" spans="37:38" s="4" customFormat="1">
      <c r="AK2348" s="3">
        <v>2342</v>
      </c>
      <c r="AL2348" s="163">
        <v>2.9132452406450278</v>
      </c>
    </row>
    <row r="2349" spans="37:38" s="4" customFormat="1">
      <c r="AK2349" s="3">
        <v>2343</v>
      </c>
      <c r="AL2349" s="163">
        <v>2.9137783393937946</v>
      </c>
    </row>
    <row r="2350" spans="37:38" s="4" customFormat="1">
      <c r="AK2350" s="3">
        <v>2344</v>
      </c>
      <c r="AL2350" s="163">
        <v>2.9143114736524693</v>
      </c>
    </row>
    <row r="2351" spans="37:38" s="4" customFormat="1">
      <c r="AK2351" s="3">
        <v>2345</v>
      </c>
      <c r="AL2351" s="163">
        <v>2.9148446438585656</v>
      </c>
    </row>
    <row r="2352" spans="37:38" s="4" customFormat="1">
      <c r="AK2352" s="3">
        <v>2346</v>
      </c>
      <c r="AL2352" s="163">
        <v>2.9153778504491039</v>
      </c>
    </row>
    <row r="2353" spans="37:38" s="4" customFormat="1">
      <c r="AK2353" s="3">
        <v>2347</v>
      </c>
      <c r="AL2353" s="163">
        <v>2.9159110938606032</v>
      </c>
    </row>
    <row r="2354" spans="37:38" s="4" customFormat="1">
      <c r="AK2354" s="3">
        <v>2348</v>
      </c>
      <c r="AL2354" s="163">
        <v>2.9164443745290916</v>
      </c>
    </row>
    <row r="2355" spans="37:38" s="4" customFormat="1">
      <c r="AK2355" s="3">
        <v>2349</v>
      </c>
      <c r="AL2355" s="163">
        <v>2.9169776928900903</v>
      </c>
    </row>
    <row r="2356" spans="37:38" s="4" customFormat="1">
      <c r="AK2356" s="3">
        <v>2350</v>
      </c>
      <c r="AL2356" s="163">
        <v>2.9175110493786347</v>
      </c>
    </row>
    <row r="2357" spans="37:38" s="4" customFormat="1">
      <c r="AK2357" s="3">
        <v>2351</v>
      </c>
      <c r="AL2357" s="163">
        <v>2.9180444444292553</v>
      </c>
    </row>
    <row r="2358" spans="37:38" s="4" customFormat="1">
      <c r="AK2358" s="3">
        <v>2352</v>
      </c>
      <c r="AL2358" s="163">
        <v>2.9185778784759897</v>
      </c>
    </row>
    <row r="2359" spans="37:38" s="4" customFormat="1">
      <c r="AK2359" s="3">
        <v>2353</v>
      </c>
      <c r="AL2359" s="163">
        <v>2.9191113519523779</v>
      </c>
    </row>
    <row r="2360" spans="37:38" s="4" customFormat="1">
      <c r="AK2360" s="3">
        <v>2354</v>
      </c>
      <c r="AL2360" s="163">
        <v>2.9196448652914659</v>
      </c>
    </row>
    <row r="2361" spans="37:38" s="4" customFormat="1">
      <c r="AK2361" s="3">
        <v>2355</v>
      </c>
      <c r="AL2361" s="163">
        <v>2.9201784189258007</v>
      </c>
    </row>
    <row r="2362" spans="37:38" s="4" customFormat="1">
      <c r="AK2362" s="3">
        <v>2356</v>
      </c>
      <c r="AL2362" s="163">
        <v>2.9207120132874365</v>
      </c>
    </row>
    <row r="2363" spans="37:38" s="4" customFormat="1">
      <c r="AK2363" s="3">
        <v>2357</v>
      </c>
      <c r="AL2363" s="163">
        <v>2.921245648807929</v>
      </c>
    </row>
    <row r="2364" spans="37:38" s="4" customFormat="1">
      <c r="AK2364" s="3">
        <v>2358</v>
      </c>
      <c r="AL2364" s="163">
        <v>2.9217793259183389</v>
      </c>
    </row>
    <row r="2365" spans="37:38" s="4" customFormat="1">
      <c r="AK2365" s="3">
        <v>2359</v>
      </c>
      <c r="AL2365" s="163">
        <v>2.9223130450492358</v>
      </c>
    </row>
    <row r="2366" spans="37:38" s="4" customFormat="1">
      <c r="AK2366" s="3">
        <v>2360</v>
      </c>
      <c r="AL2366" s="163">
        <v>2.9228468066306892</v>
      </c>
    </row>
    <row r="2367" spans="37:38" s="4" customFormat="1">
      <c r="AK2367" s="3">
        <v>2361</v>
      </c>
      <c r="AL2367" s="163">
        <v>2.9233806110922762</v>
      </c>
    </row>
    <row r="2368" spans="37:38" s="4" customFormat="1">
      <c r="AK2368" s="3">
        <v>2362</v>
      </c>
      <c r="AL2368" s="163">
        <v>2.9239144588630785</v>
      </c>
    </row>
    <row r="2369" spans="37:38" s="4" customFormat="1">
      <c r="AK2369" s="3">
        <v>2363</v>
      </c>
      <c r="AL2369" s="163">
        <v>2.924448350371684</v>
      </c>
    </row>
    <row r="2370" spans="37:38" s="4" customFormat="1">
      <c r="AK2370" s="3">
        <v>2364</v>
      </c>
      <c r="AL2370" s="163">
        <v>2.9249822860461872</v>
      </c>
    </row>
    <row r="2371" spans="37:38" s="4" customFormat="1">
      <c r="AK2371" s="3">
        <v>2365</v>
      </c>
      <c r="AL2371" s="163">
        <v>2.9255162663141849</v>
      </c>
    </row>
    <row r="2372" spans="37:38" s="4" customFormat="1">
      <c r="AK2372" s="3">
        <v>2366</v>
      </c>
      <c r="AL2372" s="163">
        <v>2.9260502916027824</v>
      </c>
    </row>
    <row r="2373" spans="37:38" s="4" customFormat="1">
      <c r="AK2373" s="3">
        <v>2367</v>
      </c>
      <c r="AL2373" s="163">
        <v>2.9265843623385903</v>
      </c>
    </row>
    <row r="2374" spans="37:38" s="4" customFormat="1">
      <c r="AK2374" s="3">
        <v>2368</v>
      </c>
      <c r="AL2374" s="163">
        <v>2.9271184789477305</v>
      </c>
    </row>
    <row r="2375" spans="37:38" s="4" customFormat="1">
      <c r="AK2375" s="3">
        <v>2369</v>
      </c>
      <c r="AL2375" s="163">
        <v>2.9276526418558233</v>
      </c>
    </row>
    <row r="2376" spans="37:38" s="4" customFormat="1">
      <c r="AK2376" s="3">
        <v>2370</v>
      </c>
      <c r="AL2376" s="163">
        <v>2.9281868514880034</v>
      </c>
    </row>
    <row r="2377" spans="37:38" s="4" customFormat="1">
      <c r="AK2377" s="3">
        <v>2371</v>
      </c>
      <c r="AL2377" s="163">
        <v>2.9287211082689062</v>
      </c>
    </row>
    <row r="2378" spans="37:38" s="4" customFormat="1">
      <c r="AK2378" s="3">
        <v>2372</v>
      </c>
      <c r="AL2378" s="163">
        <v>2.9292554126226773</v>
      </c>
    </row>
    <row r="2379" spans="37:38" s="4" customFormat="1">
      <c r="AK2379" s="3">
        <v>2373</v>
      </c>
      <c r="AL2379" s="163">
        <v>2.9297897649729712</v>
      </c>
    </row>
    <row r="2380" spans="37:38" s="4" customFormat="1">
      <c r="AK2380" s="3">
        <v>2374</v>
      </c>
      <c r="AL2380" s="163">
        <v>2.9303241657429475</v>
      </c>
    </row>
    <row r="2381" spans="37:38" s="4" customFormat="1">
      <c r="AK2381" s="3">
        <v>2375</v>
      </c>
      <c r="AL2381" s="163">
        <v>2.9308586153552749</v>
      </c>
    </row>
    <row r="2382" spans="37:38" s="4" customFormat="1">
      <c r="AK2382" s="3">
        <v>2376</v>
      </c>
      <c r="AL2382" s="163">
        <v>2.9313931142321263</v>
      </c>
    </row>
    <row r="2383" spans="37:38" s="4" customFormat="1">
      <c r="AK2383" s="3">
        <v>2377</v>
      </c>
      <c r="AL2383" s="163">
        <v>2.9319276627951885</v>
      </c>
    </row>
    <row r="2384" spans="37:38" s="4" customFormat="1">
      <c r="AK2384" s="3">
        <v>2378</v>
      </c>
      <c r="AL2384" s="163">
        <v>2.9324622614656546</v>
      </c>
    </row>
    <row r="2385" spans="37:38" s="4" customFormat="1">
      <c r="AK2385" s="3">
        <v>2379</v>
      </c>
      <c r="AL2385" s="163">
        <v>2.9329969106642229</v>
      </c>
    </row>
    <row r="2386" spans="37:38" s="4" customFormat="1">
      <c r="AK2386" s="3">
        <v>2380</v>
      </c>
      <c r="AL2386" s="163">
        <v>2.9335316108111029</v>
      </c>
    </row>
    <row r="2387" spans="37:38" s="4" customFormat="1">
      <c r="AK2387" s="3">
        <v>2381</v>
      </c>
      <c r="AL2387" s="163">
        <v>2.9340663623260141</v>
      </c>
    </row>
    <row r="2388" spans="37:38" s="4" customFormat="1">
      <c r="AK2388" s="3">
        <v>2382</v>
      </c>
      <c r="AL2388" s="163">
        <v>2.9346011656281843</v>
      </c>
    </row>
    <row r="2389" spans="37:38" s="4" customFormat="1">
      <c r="AK2389" s="3">
        <v>2383</v>
      </c>
      <c r="AL2389" s="163">
        <v>2.9351360211363495</v>
      </c>
    </row>
    <row r="2390" spans="37:38" s="4" customFormat="1">
      <c r="AK2390" s="3">
        <v>2384</v>
      </c>
      <c r="AL2390" s="163">
        <v>2.9356709292687557</v>
      </c>
    </row>
    <row r="2391" spans="37:38" s="4" customFormat="1">
      <c r="AK2391" s="3">
        <v>2385</v>
      </c>
      <c r="AL2391" s="163">
        <v>2.9362058904431549</v>
      </c>
    </row>
    <row r="2392" spans="37:38" s="4" customFormat="1">
      <c r="AK2392" s="3">
        <v>2386</v>
      </c>
      <c r="AL2392" s="163">
        <v>2.936740905076817</v>
      </c>
    </row>
    <row r="2393" spans="37:38" s="4" customFormat="1">
      <c r="AK2393" s="3">
        <v>2387</v>
      </c>
      <c r="AL2393" s="163">
        <v>2.9372759735865137</v>
      </c>
    </row>
    <row r="2394" spans="37:38" s="4" customFormat="1">
      <c r="AK2394" s="3">
        <v>2388</v>
      </c>
      <c r="AL2394" s="163">
        <v>2.9378110963885304</v>
      </c>
    </row>
    <row r="2395" spans="37:38" s="4" customFormat="1">
      <c r="AK2395" s="3">
        <v>2389</v>
      </c>
      <c r="AL2395" s="163">
        <v>2.9383462738986661</v>
      </c>
    </row>
    <row r="2396" spans="37:38" s="4" customFormat="1">
      <c r="AK2396" s="3">
        <v>2390</v>
      </c>
      <c r="AL2396" s="163">
        <v>2.9388815065322222</v>
      </c>
    </row>
    <row r="2397" spans="37:38" s="4" customFormat="1">
      <c r="AK2397" s="3">
        <v>2391</v>
      </c>
      <c r="AL2397" s="163">
        <v>2.9394167947040168</v>
      </c>
    </row>
    <row r="2398" spans="37:38" s="4" customFormat="1">
      <c r="AK2398" s="3">
        <v>2392</v>
      </c>
      <c r="AL2398" s="163">
        <v>2.9399521388283776</v>
      </c>
    </row>
    <row r="2399" spans="37:38" s="4" customFormat="1">
      <c r="AK2399" s="3">
        <v>2393</v>
      </c>
      <c r="AL2399" s="163">
        <v>2.9404875393191436</v>
      </c>
    </row>
    <row r="2400" spans="37:38" s="4" customFormat="1">
      <c r="AK2400" s="3">
        <v>2394</v>
      </c>
      <c r="AL2400" s="163">
        <v>2.9410229965896626</v>
      </c>
    </row>
    <row r="2401" spans="37:38" s="4" customFormat="1">
      <c r="AK2401" s="3">
        <v>2395</v>
      </c>
      <c r="AL2401" s="163">
        <v>2.9415585110527975</v>
      </c>
    </row>
    <row r="2402" spans="37:38" s="4" customFormat="1">
      <c r="AK2402" s="3">
        <v>2396</v>
      </c>
      <c r="AL2402" s="163">
        <v>2.9420940831209199</v>
      </c>
    </row>
    <row r="2403" spans="37:38" s="4" customFormat="1">
      <c r="AK2403" s="3">
        <v>2397</v>
      </c>
      <c r="AL2403" s="163">
        <v>2.9426297132059127</v>
      </c>
    </row>
    <row r="2404" spans="37:38" s="4" customFormat="1">
      <c r="AK2404" s="3">
        <v>2398</v>
      </c>
      <c r="AL2404" s="163">
        <v>2.9431654017191748</v>
      </c>
    </row>
    <row r="2405" spans="37:38" s="4" customFormat="1">
      <c r="AK2405" s="3">
        <v>2399</v>
      </c>
      <c r="AL2405" s="163">
        <v>2.9437011490716132</v>
      </c>
    </row>
    <row r="2406" spans="37:38" s="4" customFormat="1">
      <c r="AK2406" s="3">
        <v>2400</v>
      </c>
      <c r="AL2406" s="163">
        <v>2.944236955673651</v>
      </c>
    </row>
    <row r="2407" spans="37:38" s="4" customFormat="1">
      <c r="AK2407" s="3">
        <v>2401</v>
      </c>
      <c r="AL2407" s="163">
        <v>2.9447728219352172</v>
      </c>
    </row>
    <row r="2408" spans="37:38" s="4" customFormat="1">
      <c r="AK2408" s="3">
        <v>2402</v>
      </c>
      <c r="AL2408" s="163">
        <v>2.9453087482657616</v>
      </c>
    </row>
    <row r="2409" spans="37:38" s="4" customFormat="1">
      <c r="AK2409" s="3">
        <v>2403</v>
      </c>
      <c r="AL2409" s="163">
        <v>2.9458447350742398</v>
      </c>
    </row>
    <row r="2410" spans="37:38" s="4" customFormat="1">
      <c r="AK2410" s="3">
        <v>2404</v>
      </c>
      <c r="AL2410" s="163">
        <v>2.9463807827691273</v>
      </c>
    </row>
    <row r="2411" spans="37:38" s="4" customFormat="1">
      <c r="AK2411" s="3">
        <v>2405</v>
      </c>
      <c r="AL2411" s="163">
        <v>2.9469168917584043</v>
      </c>
    </row>
    <row r="2412" spans="37:38" s="4" customFormat="1">
      <c r="AK2412" s="3">
        <v>2406</v>
      </c>
      <c r="AL2412" s="163">
        <v>2.9474530624495725</v>
      </c>
    </row>
    <row r="2413" spans="37:38" s="4" customFormat="1">
      <c r="AK2413" s="3">
        <v>2407</v>
      </c>
      <c r="AL2413" s="163">
        <v>2.9479892952496418</v>
      </c>
    </row>
    <row r="2414" spans="37:38" s="4" customFormat="1">
      <c r="AK2414" s="3">
        <v>2408</v>
      </c>
      <c r="AL2414" s="163">
        <v>2.9485255905651417</v>
      </c>
    </row>
    <row r="2415" spans="37:38" s="4" customFormat="1">
      <c r="AK2415" s="3">
        <v>2409</v>
      </c>
      <c r="AL2415" s="163">
        <v>2.9490619488021088</v>
      </c>
    </row>
    <row r="2416" spans="37:38" s="4" customFormat="1">
      <c r="AK2416" s="3">
        <v>2410</v>
      </c>
      <c r="AL2416" s="163">
        <v>2.9495983703660973</v>
      </c>
    </row>
    <row r="2417" spans="37:38" s="4" customFormat="1">
      <c r="AK2417" s="3">
        <v>2411</v>
      </c>
      <c r="AL2417" s="163">
        <v>2.9501348556621769</v>
      </c>
    </row>
    <row r="2418" spans="37:38" s="4" customFormat="1">
      <c r="AK2418" s="3">
        <v>2412</v>
      </c>
      <c r="AL2418" s="163">
        <v>2.9506714050949285</v>
      </c>
    </row>
    <row r="2419" spans="37:38" s="4" customFormat="1">
      <c r="AK2419" s="3">
        <v>2413</v>
      </c>
      <c r="AL2419" s="163">
        <v>2.951208019068452</v>
      </c>
    </row>
    <row r="2420" spans="37:38" s="4" customFormat="1">
      <c r="AK2420" s="3">
        <v>2414</v>
      </c>
      <c r="AL2420" s="163">
        <v>2.9517446979863577</v>
      </c>
    </row>
    <row r="2421" spans="37:38" s="4" customFormat="1">
      <c r="AK2421" s="3">
        <v>2415</v>
      </c>
      <c r="AL2421" s="163">
        <v>2.9522814422517731</v>
      </c>
    </row>
    <row r="2422" spans="37:38" s="4" customFormat="1">
      <c r="AK2422" s="3">
        <v>2416</v>
      </c>
      <c r="AL2422" s="163">
        <v>2.9528182522673427</v>
      </c>
    </row>
    <row r="2423" spans="37:38" s="4" customFormat="1">
      <c r="AK2423" s="3">
        <v>2417</v>
      </c>
      <c r="AL2423" s="163">
        <v>2.9533551284352217</v>
      </c>
    </row>
    <row r="2424" spans="37:38" s="4" customFormat="1">
      <c r="AK2424" s="3">
        <v>2418</v>
      </c>
      <c r="AL2424" s="163">
        <v>2.9538920711570853</v>
      </c>
    </row>
    <row r="2425" spans="37:38" s="4" customFormat="1">
      <c r="AK2425" s="3">
        <v>2419</v>
      </c>
      <c r="AL2425" s="163">
        <v>2.954429080834124</v>
      </c>
    </row>
    <row r="2426" spans="37:38" s="4" customFormat="1">
      <c r="AK2426" s="3">
        <v>2420</v>
      </c>
      <c r="AL2426" s="163">
        <v>2.9549661578670396</v>
      </c>
    </row>
    <row r="2427" spans="37:38" s="4" customFormat="1">
      <c r="AK2427" s="3">
        <v>2421</v>
      </c>
      <c r="AL2427" s="163">
        <v>2.9555033026560595</v>
      </c>
    </row>
    <row r="2428" spans="37:38" s="4" customFormat="1">
      <c r="AK2428" s="3">
        <v>2422</v>
      </c>
      <c r="AL2428" s="163">
        <v>2.9560405156009155</v>
      </c>
    </row>
    <row r="2429" spans="37:38" s="4" customFormat="1">
      <c r="AK2429" s="3">
        <v>2423</v>
      </c>
      <c r="AL2429" s="163">
        <v>2.9565777971008695</v>
      </c>
    </row>
    <row r="2430" spans="37:38" s="4" customFormat="1">
      <c r="AK2430" s="3">
        <v>2424</v>
      </c>
      <c r="AL2430" s="163">
        <v>2.9571151475546849</v>
      </c>
    </row>
    <row r="2431" spans="37:38" s="4" customFormat="1">
      <c r="AK2431" s="3">
        <v>2425</v>
      </c>
      <c r="AL2431" s="163">
        <v>2.9576525673606544</v>
      </c>
    </row>
    <row r="2432" spans="37:38" s="4" customFormat="1">
      <c r="AK2432" s="3">
        <v>2426</v>
      </c>
      <c r="AL2432" s="163">
        <v>2.9581900569165822</v>
      </c>
    </row>
    <row r="2433" spans="37:38" s="4" customFormat="1">
      <c r="AK2433" s="3">
        <v>2427</v>
      </c>
      <c r="AL2433" s="163">
        <v>2.9587276166197891</v>
      </c>
    </row>
    <row r="2434" spans="37:38" s="4" customFormat="1">
      <c r="AK2434" s="3">
        <v>2428</v>
      </c>
      <c r="AL2434" s="163">
        <v>2.9592652468671186</v>
      </c>
    </row>
    <row r="2435" spans="37:38" s="4" customFormat="1">
      <c r="AK2435" s="3">
        <v>2429</v>
      </c>
      <c r="AL2435" s="163">
        <v>2.9598029480549242</v>
      </c>
    </row>
    <row r="2436" spans="37:38" s="4" customFormat="1">
      <c r="AK2436" s="3">
        <v>2430</v>
      </c>
      <c r="AL2436" s="163">
        <v>2.9603407205790835</v>
      </c>
    </row>
    <row r="2437" spans="37:38" s="4" customFormat="1">
      <c r="AK2437" s="3">
        <v>2431</v>
      </c>
      <c r="AL2437" s="163">
        <v>2.9608785648349918</v>
      </c>
    </row>
    <row r="2438" spans="37:38" s="4" customFormat="1">
      <c r="AK2438" s="3">
        <v>2432</v>
      </c>
      <c r="AL2438" s="163">
        <v>2.9614164812175567</v>
      </c>
    </row>
    <row r="2439" spans="37:38" s="4" customFormat="1">
      <c r="AK2439" s="3">
        <v>2433</v>
      </c>
      <c r="AL2439" s="163">
        <v>2.9619544701212113</v>
      </c>
    </row>
    <row r="2440" spans="37:38" s="4" customFormat="1">
      <c r="AK2440" s="3">
        <v>2434</v>
      </c>
      <c r="AL2440" s="163">
        <v>2.9624925319399034</v>
      </c>
    </row>
    <row r="2441" spans="37:38" s="4" customFormat="1">
      <c r="AK2441" s="3">
        <v>2435</v>
      </c>
      <c r="AL2441" s="163">
        <v>2.9630306670670965</v>
      </c>
    </row>
    <row r="2442" spans="37:38" s="4" customFormat="1">
      <c r="AK2442" s="3">
        <v>2436</v>
      </c>
      <c r="AL2442" s="163">
        <v>2.9635688758957821</v>
      </c>
    </row>
    <row r="2443" spans="37:38" s="4" customFormat="1">
      <c r="AK2443" s="3">
        <v>2437</v>
      </c>
      <c r="AL2443" s="163">
        <v>2.9641071588184622</v>
      </c>
    </row>
    <row r="2444" spans="37:38" s="4" customFormat="1">
      <c r="AK2444" s="3">
        <v>2438</v>
      </c>
      <c r="AL2444" s="163">
        <v>2.9646455162271628</v>
      </c>
    </row>
    <row r="2445" spans="37:38" s="4" customFormat="1">
      <c r="AK2445" s="3">
        <v>2439</v>
      </c>
      <c r="AL2445" s="163">
        <v>2.9651839485134266</v>
      </c>
    </row>
    <row r="2446" spans="37:38" s="4" customFormat="1">
      <c r="AK2446" s="3">
        <v>2440</v>
      </c>
      <c r="AL2446" s="163">
        <v>2.9657224560683191</v>
      </c>
    </row>
    <row r="2447" spans="37:38" s="4" customFormat="1">
      <c r="AK2447" s="3">
        <v>2441</v>
      </c>
      <c r="AL2447" s="163">
        <v>2.9662610392824216</v>
      </c>
    </row>
    <row r="2448" spans="37:38" s="4" customFormat="1">
      <c r="AK2448" s="3">
        <v>2442</v>
      </c>
      <c r="AL2448" s="163">
        <v>2.966799698545838</v>
      </c>
    </row>
    <row r="2449" spans="37:38" s="4" customFormat="1">
      <c r="AK2449" s="3">
        <v>2443</v>
      </c>
      <c r="AL2449" s="163">
        <v>2.967338434248195</v>
      </c>
    </row>
    <row r="2450" spans="37:38" s="4" customFormat="1">
      <c r="AK2450" s="3">
        <v>2444</v>
      </c>
      <c r="AL2450" s="163">
        <v>2.9678772467786319</v>
      </c>
    </row>
    <row r="2451" spans="37:38" s="4" customFormat="1">
      <c r="AK2451" s="3">
        <v>2445</v>
      </c>
      <c r="AL2451" s="163">
        <v>2.9684161365258168</v>
      </c>
    </row>
    <row r="2452" spans="37:38" s="4" customFormat="1">
      <c r="AK2452" s="3">
        <v>2446</v>
      </c>
      <c r="AL2452" s="163">
        <v>2.968955103877934</v>
      </c>
    </row>
    <row r="2453" spans="37:38" s="4" customFormat="1">
      <c r="AK2453" s="3">
        <v>2447</v>
      </c>
      <c r="AL2453" s="163">
        <v>2.9694941492226881</v>
      </c>
    </row>
    <row r="2454" spans="37:38" s="4" customFormat="1">
      <c r="AK2454" s="3">
        <v>2448</v>
      </c>
      <c r="AL2454" s="163">
        <v>2.9700332729473113</v>
      </c>
    </row>
    <row r="2455" spans="37:38" s="4" customFormat="1">
      <c r="AK2455" s="3">
        <v>2449</v>
      </c>
      <c r="AL2455" s="163">
        <v>2.9705724754385461</v>
      </c>
    </row>
    <row r="2456" spans="37:38" s="4" customFormat="1">
      <c r="AK2456" s="3">
        <v>2450</v>
      </c>
      <c r="AL2456" s="163">
        <v>2.9711117570826677</v>
      </c>
    </row>
    <row r="2457" spans="37:38" s="4" customFormat="1">
      <c r="AK2457" s="3">
        <v>2451</v>
      </c>
      <c r="AL2457" s="163">
        <v>2.9716511182654668</v>
      </c>
    </row>
    <row r="2458" spans="37:38" s="4" customFormat="1">
      <c r="AK2458" s="3">
        <v>2452</v>
      </c>
      <c r="AL2458" s="163">
        <v>2.9721905593722555</v>
      </c>
    </row>
    <row r="2459" spans="37:38" s="4" customFormat="1">
      <c r="AK2459" s="3">
        <v>2453</v>
      </c>
      <c r="AL2459" s="163">
        <v>2.9727300807878745</v>
      </c>
    </row>
    <row r="2460" spans="37:38" s="4" customFormat="1">
      <c r="AK2460" s="3">
        <v>2454</v>
      </c>
      <c r="AL2460" s="163">
        <v>2.973269682896674</v>
      </c>
    </row>
    <row r="2461" spans="37:38" s="4" customFormat="1">
      <c r="AK2461" s="3">
        <v>2455</v>
      </c>
      <c r="AL2461" s="163">
        <v>2.9738093660825409</v>
      </c>
    </row>
    <row r="2462" spans="37:38" s="4" customFormat="1">
      <c r="AK2462" s="3">
        <v>2456</v>
      </c>
      <c r="AL2462" s="163">
        <v>2.9743491307288732</v>
      </c>
    </row>
    <row r="2463" spans="37:38" s="4" customFormat="1">
      <c r="AK2463" s="3">
        <v>2457</v>
      </c>
      <c r="AL2463" s="163">
        <v>2.9748889772186016</v>
      </c>
    </row>
    <row r="2464" spans="37:38" s="4" customFormat="1">
      <c r="AK2464" s="3">
        <v>2458</v>
      </c>
      <c r="AL2464" s="163">
        <v>2.975428905934173</v>
      </c>
    </row>
    <row r="2465" spans="37:38" s="4" customFormat="1">
      <c r="AK2465" s="3">
        <v>2459</v>
      </c>
      <c r="AL2465" s="163">
        <v>2.9759689172575574</v>
      </c>
    </row>
    <row r="2466" spans="37:38" s="4" customFormat="1">
      <c r="AK2466" s="3">
        <v>2460</v>
      </c>
      <c r="AL2466" s="163">
        <v>2.9765090115702524</v>
      </c>
    </row>
    <row r="2467" spans="37:38" s="4" customFormat="1">
      <c r="AK2467" s="3">
        <v>2461</v>
      </c>
      <c r="AL2467" s="163">
        <v>2.977049189253278</v>
      </c>
    </row>
    <row r="2468" spans="37:38" s="4" customFormat="1">
      <c r="AK2468" s="3">
        <v>2462</v>
      </c>
      <c r="AL2468" s="163">
        <v>2.977589450687173</v>
      </c>
    </row>
    <row r="2469" spans="37:38" s="4" customFormat="1">
      <c r="AK2469" s="3">
        <v>2463</v>
      </c>
      <c r="AL2469" s="163">
        <v>2.9781297962520075</v>
      </c>
    </row>
    <row r="2470" spans="37:38" s="4" customFormat="1">
      <c r="AK2470" s="3">
        <v>2464</v>
      </c>
      <c r="AL2470" s="163">
        <v>2.9786702263273659</v>
      </c>
    </row>
    <row r="2471" spans="37:38" s="4" customFormat="1">
      <c r="AK2471" s="3">
        <v>2465</v>
      </c>
      <c r="AL2471" s="163">
        <v>2.9792107412923672</v>
      </c>
    </row>
    <row r="2472" spans="37:38" s="4" customFormat="1">
      <c r="AK2472" s="3">
        <v>2466</v>
      </c>
      <c r="AL2472" s="163">
        <v>2.9797513415256516</v>
      </c>
    </row>
    <row r="2473" spans="37:38" s="4" customFormat="1">
      <c r="AK2473" s="3">
        <v>2467</v>
      </c>
      <c r="AL2473" s="163">
        <v>2.9802920274053788</v>
      </c>
    </row>
    <row r="2474" spans="37:38" s="4" customFormat="1">
      <c r="AK2474" s="3">
        <v>2468</v>
      </c>
      <c r="AL2474" s="163">
        <v>2.9808327993092418</v>
      </c>
    </row>
    <row r="2475" spans="37:38" s="4" customFormat="1">
      <c r="AK2475" s="3">
        <v>2469</v>
      </c>
      <c r="AL2475" s="163">
        <v>2.9813736576144492</v>
      </c>
    </row>
    <row r="2476" spans="37:38" s="4" customFormat="1">
      <c r="AK2476" s="3">
        <v>2470</v>
      </c>
      <c r="AL2476" s="163">
        <v>2.9819146026977448</v>
      </c>
    </row>
    <row r="2477" spans="37:38" s="4" customFormat="1">
      <c r="AK2477" s="3">
        <v>2471</v>
      </c>
      <c r="AL2477" s="163">
        <v>2.9824556349353872</v>
      </c>
    </row>
    <row r="2478" spans="37:38" s="4" customFormat="1">
      <c r="AK2478" s="3">
        <v>2472</v>
      </c>
      <c r="AL2478" s="163">
        <v>2.9829967547031688</v>
      </c>
    </row>
    <row r="2479" spans="37:38" s="4" customFormat="1">
      <c r="AK2479" s="3">
        <v>2473</v>
      </c>
      <c r="AL2479" s="163">
        <v>2.9835379623764058</v>
      </c>
    </row>
    <row r="2480" spans="37:38" s="4" customFormat="1">
      <c r="AK2480" s="3">
        <v>2474</v>
      </c>
      <c r="AL2480" s="163">
        <v>2.9840792583299351</v>
      </c>
    </row>
    <row r="2481" spans="37:38" s="4" customFormat="1">
      <c r="AK2481" s="3">
        <v>2475</v>
      </c>
      <c r="AL2481" s="163">
        <v>2.9846206429381277</v>
      </c>
    </row>
    <row r="2482" spans="37:38" s="4" customFormat="1">
      <c r="AK2482" s="3">
        <v>2476</v>
      </c>
      <c r="AL2482" s="163">
        <v>2.9851621165748754</v>
      </c>
    </row>
    <row r="2483" spans="37:38" s="4" customFormat="1">
      <c r="AK2483" s="3">
        <v>2477</v>
      </c>
      <c r="AL2483" s="163">
        <v>2.9857036796135992</v>
      </c>
    </row>
    <row r="2484" spans="37:38" s="4" customFormat="1">
      <c r="AK2484" s="3">
        <v>2478</v>
      </c>
      <c r="AL2484" s="163">
        <v>2.9862453324272438</v>
      </c>
    </row>
    <row r="2485" spans="37:38" s="4" customFormat="1">
      <c r="AK2485" s="3">
        <v>2479</v>
      </c>
      <c r="AL2485" s="163">
        <v>2.9867870753882824</v>
      </c>
    </row>
    <row r="2486" spans="37:38" s="4" customFormat="1">
      <c r="AK2486" s="3">
        <v>2480</v>
      </c>
      <c r="AL2486" s="163">
        <v>2.9873289088687152</v>
      </c>
    </row>
    <row r="2487" spans="37:38" s="4" customFormat="1">
      <c r="AK2487" s="3">
        <v>2481</v>
      </c>
      <c r="AL2487" s="163">
        <v>2.9878708332400725</v>
      </c>
    </row>
    <row r="2488" spans="37:38" s="4" customFormat="1">
      <c r="AK2488" s="3">
        <v>2482</v>
      </c>
      <c r="AL2488" s="163">
        <v>2.9884128488734047</v>
      </c>
    </row>
    <row r="2489" spans="37:38" s="4" customFormat="1">
      <c r="AK2489" s="3">
        <v>2483</v>
      </c>
      <c r="AL2489" s="163">
        <v>2.9889549561392981</v>
      </c>
    </row>
    <row r="2490" spans="37:38" s="4" customFormat="1">
      <c r="AK2490" s="3">
        <v>2484</v>
      </c>
      <c r="AL2490" s="163">
        <v>2.9894971554078618</v>
      </c>
    </row>
    <row r="2491" spans="37:38" s="4" customFormat="1">
      <c r="AK2491" s="3">
        <v>2485</v>
      </c>
      <c r="AL2491" s="163">
        <v>2.9900394470487326</v>
      </c>
    </row>
    <row r="2492" spans="37:38" s="4" customFormat="1">
      <c r="AK2492" s="3">
        <v>2486</v>
      </c>
      <c r="AL2492" s="163">
        <v>2.9905818314310757</v>
      </c>
    </row>
    <row r="2493" spans="37:38" s="4" customFormat="1">
      <c r="AK2493" s="3">
        <v>2487</v>
      </c>
      <c r="AL2493" s="163">
        <v>2.991124308923589</v>
      </c>
    </row>
    <row r="2494" spans="37:38" s="4" customFormat="1">
      <c r="AK2494" s="3">
        <v>2488</v>
      </c>
      <c r="AL2494" s="163">
        <v>2.9916668798944914</v>
      </c>
    </row>
    <row r="2495" spans="37:38" s="4" customFormat="1">
      <c r="AK2495" s="3">
        <v>2489</v>
      </c>
      <c r="AL2495" s="163">
        <v>2.9922095447115344</v>
      </c>
    </row>
    <row r="2496" spans="37:38" s="4" customFormat="1">
      <c r="AK2496" s="3">
        <v>2490</v>
      </c>
      <c r="AL2496" s="163">
        <v>2.9927523037420025</v>
      </c>
    </row>
    <row r="2497" spans="37:38" s="4" customFormat="1">
      <c r="AK2497" s="3">
        <v>2491</v>
      </c>
      <c r="AL2497" s="163">
        <v>2.993295157352704</v>
      </c>
    </row>
    <row r="2498" spans="37:38" s="4" customFormat="1">
      <c r="AK2498" s="3">
        <v>2492</v>
      </c>
      <c r="AL2498" s="163">
        <v>2.9938381059099721</v>
      </c>
    </row>
    <row r="2499" spans="37:38" s="4" customFormat="1">
      <c r="AK2499" s="3">
        <v>2493</v>
      </c>
      <c r="AL2499" s="163">
        <v>2.99438114977968</v>
      </c>
    </row>
    <row r="2500" spans="37:38" s="4" customFormat="1">
      <c r="AK2500" s="3">
        <v>2494</v>
      </c>
      <c r="AL2500" s="163">
        <v>2.994924289327225</v>
      </c>
    </row>
    <row r="2501" spans="37:38" s="4" customFormat="1">
      <c r="AK2501" s="3">
        <v>2495</v>
      </c>
      <c r="AL2501" s="163">
        <v>2.9954675249175295</v>
      </c>
    </row>
    <row r="2502" spans="37:38" s="4" customFormat="1">
      <c r="AK2502" s="3">
        <v>2496</v>
      </c>
      <c r="AL2502" s="163">
        <v>2.996010856915055</v>
      </c>
    </row>
    <row r="2503" spans="37:38" s="4" customFormat="1">
      <c r="AK2503" s="3">
        <v>2497</v>
      </c>
      <c r="AL2503" s="163">
        <v>2.9965542856837888</v>
      </c>
    </row>
    <row r="2504" spans="37:38" s="4" customFormat="1">
      <c r="AK2504" s="3">
        <v>2498</v>
      </c>
      <c r="AL2504" s="163">
        <v>2.9970978115872464</v>
      </c>
    </row>
    <row r="2505" spans="37:38" s="4" customFormat="1">
      <c r="AK2505" s="3">
        <v>2499</v>
      </c>
      <c r="AL2505" s="163">
        <v>2.9976414349884779</v>
      </c>
    </row>
    <row r="2506" spans="37:38" s="4" customFormat="1">
      <c r="AK2506" s="3">
        <v>2500</v>
      </c>
      <c r="AL2506" s="163">
        <v>2.9981851562500599</v>
      </c>
    </row>
    <row r="2507" spans="37:38" s="4" customFormat="1">
      <c r="AK2507" s="3">
        <v>2501</v>
      </c>
      <c r="AL2507" s="163">
        <v>2.9987289757341018</v>
      </c>
    </row>
    <row r="2508" spans="37:38" s="4" customFormat="1">
      <c r="AK2508" s="3">
        <v>2502</v>
      </c>
      <c r="AL2508" s="163">
        <v>2.9992728938022495</v>
      </c>
    </row>
    <row r="2509" spans="37:38" s="4" customFormat="1">
      <c r="AK2509" s="3">
        <v>2503</v>
      </c>
      <c r="AL2509" s="163">
        <v>2.9998169108156674</v>
      </c>
    </row>
    <row r="2510" spans="37:38" s="4" customFormat="1">
      <c r="AK2510" s="3">
        <v>2504</v>
      </c>
      <c r="AL2510" s="163">
        <v>3.0003610271350598</v>
      </c>
    </row>
    <row r="2511" spans="37:38" s="4" customFormat="1">
      <c r="AK2511" s="3">
        <v>2505</v>
      </c>
      <c r="AL2511" s="163">
        <v>3.0009052431206658</v>
      </c>
    </row>
    <row r="2512" spans="37:38" s="4" customFormat="1">
      <c r="AK2512" s="3">
        <v>2506</v>
      </c>
      <c r="AL2512" s="163">
        <v>3.0014495591322494</v>
      </c>
    </row>
    <row r="2513" spans="37:38" s="4" customFormat="1">
      <c r="AK2513" s="3">
        <v>2507</v>
      </c>
      <c r="AL2513" s="163">
        <v>3.0019939755291078</v>
      </c>
    </row>
    <row r="2514" spans="37:38" s="4" customFormat="1">
      <c r="AK2514" s="3">
        <v>2508</v>
      </c>
      <c r="AL2514" s="163">
        <v>3.0025384926700736</v>
      </c>
    </row>
    <row r="2515" spans="37:38" s="4" customFormat="1">
      <c r="AK2515" s="3">
        <v>2509</v>
      </c>
      <c r="AL2515" s="163">
        <v>3.0030831109135097</v>
      </c>
    </row>
    <row r="2516" spans="37:38" s="4" customFormat="1">
      <c r="AK2516" s="3">
        <v>2510</v>
      </c>
      <c r="AL2516" s="163">
        <v>3.0036278306173116</v>
      </c>
    </row>
    <row r="2517" spans="37:38" s="4" customFormat="1">
      <c r="AK2517" s="3">
        <v>2511</v>
      </c>
      <c r="AL2517" s="163">
        <v>3.0041726521389052</v>
      </c>
    </row>
    <row r="2518" spans="37:38" s="4" customFormat="1">
      <c r="AK2518" s="3">
        <v>2512</v>
      </c>
      <c r="AL2518" s="163">
        <v>3.0047175758352549</v>
      </c>
    </row>
    <row r="2519" spans="37:38" s="4" customFormat="1">
      <c r="AK2519" s="3">
        <v>2513</v>
      </c>
      <c r="AL2519" s="163">
        <v>3.0052626020628526</v>
      </c>
    </row>
    <row r="2520" spans="37:38" s="4" customFormat="1">
      <c r="AK2520" s="3">
        <v>2514</v>
      </c>
      <c r="AL2520" s="163">
        <v>3.0058077311777254</v>
      </c>
    </row>
    <row r="2521" spans="37:38" s="4" customFormat="1">
      <c r="AK2521" s="3">
        <v>2515</v>
      </c>
      <c r="AL2521" s="163">
        <v>3.0063529635354334</v>
      </c>
    </row>
    <row r="2522" spans="37:38" s="4" customFormat="1">
      <c r="AK2522" s="3">
        <v>2516</v>
      </c>
      <c r="AL2522" s="163">
        <v>3.0068982994910733</v>
      </c>
    </row>
    <row r="2523" spans="37:38" s="4" customFormat="1">
      <c r="AK2523" s="3">
        <v>2517</v>
      </c>
      <c r="AL2523" s="163">
        <v>3.0074437393992706</v>
      </c>
    </row>
    <row r="2524" spans="37:38" s="4" customFormat="1">
      <c r="AK2524" s="3">
        <v>2518</v>
      </c>
      <c r="AL2524" s="163">
        <v>3.0079892836141897</v>
      </c>
    </row>
    <row r="2525" spans="37:38" s="4" customFormat="1">
      <c r="AK2525" s="3">
        <v>2519</v>
      </c>
      <c r="AL2525" s="163">
        <v>3.0085349324895256</v>
      </c>
    </row>
    <row r="2526" spans="37:38" s="4" customFormat="1">
      <c r="AK2526" s="3">
        <v>2520</v>
      </c>
      <c r="AL2526" s="163">
        <v>3.0090806863785087</v>
      </c>
    </row>
    <row r="2527" spans="37:38" s="4" customFormat="1">
      <c r="AK2527" s="3">
        <v>2521</v>
      </c>
      <c r="AL2527" s="163">
        <v>3.0096265456339033</v>
      </c>
    </row>
    <row r="2528" spans="37:38" s="4" customFormat="1">
      <c r="AK2528" s="3">
        <v>2522</v>
      </c>
      <c r="AL2528" s="163">
        <v>3.0101725106080126</v>
      </c>
    </row>
    <row r="2529" spans="37:38" s="4" customFormat="1">
      <c r="AK2529" s="3">
        <v>2523</v>
      </c>
      <c r="AL2529" s="163">
        <v>3.010718581652668</v>
      </c>
    </row>
    <row r="2530" spans="37:38" s="4" customFormat="1">
      <c r="AK2530" s="3">
        <v>2524</v>
      </c>
      <c r="AL2530" s="163">
        <v>3.0112647591192401</v>
      </c>
    </row>
    <row r="2531" spans="37:38" s="4" customFormat="1">
      <c r="AK2531" s="3">
        <v>2525</v>
      </c>
      <c r="AL2531" s="163">
        <v>3.0118110433586338</v>
      </c>
    </row>
    <row r="2532" spans="37:38" s="4" customFormat="1">
      <c r="AK2532" s="3">
        <v>2526</v>
      </c>
      <c r="AL2532" s="163">
        <v>3.0123574347212889</v>
      </c>
    </row>
    <row r="2533" spans="37:38" s="4" customFormat="1">
      <c r="AK2533" s="3">
        <v>2527</v>
      </c>
      <c r="AL2533" s="163">
        <v>3.0129039335571832</v>
      </c>
    </row>
    <row r="2534" spans="37:38" s="4" customFormat="1">
      <c r="AK2534" s="3">
        <v>2528</v>
      </c>
      <c r="AL2534" s="163">
        <v>3.0134505402158251</v>
      </c>
    </row>
    <row r="2535" spans="37:38" s="4" customFormat="1">
      <c r="AK2535" s="3">
        <v>2529</v>
      </c>
      <c r="AL2535" s="163">
        <v>3.0139972550462684</v>
      </c>
    </row>
    <row r="2536" spans="37:38" s="4" customFormat="1">
      <c r="AK2536" s="3">
        <v>2530</v>
      </c>
      <c r="AL2536" s="163">
        <v>3.0145440783970905</v>
      </c>
    </row>
    <row r="2537" spans="37:38" s="4" customFormat="1">
      <c r="AK2537" s="3">
        <v>2531</v>
      </c>
      <c r="AL2537" s="163">
        <v>3.0150910106164157</v>
      </c>
    </row>
    <row r="2538" spans="37:38" s="4" customFormat="1">
      <c r="AK2538" s="3">
        <v>2532</v>
      </c>
      <c r="AL2538" s="163">
        <v>3.0156380520519002</v>
      </c>
    </row>
    <row r="2539" spans="37:38" s="4" customFormat="1">
      <c r="AK2539" s="3">
        <v>2533</v>
      </c>
      <c r="AL2539" s="163">
        <v>3.0161852030507372</v>
      </c>
    </row>
    <row r="2540" spans="37:38" s="4" customFormat="1">
      <c r="AK2540" s="3">
        <v>2534</v>
      </c>
      <c r="AL2540" s="163">
        <v>3.0167324639596567</v>
      </c>
    </row>
    <row r="2541" spans="37:38" s="4" customFormat="1">
      <c r="AK2541" s="3">
        <v>2535</v>
      </c>
      <c r="AL2541" s="163">
        <v>3.0172798351249277</v>
      </c>
    </row>
    <row r="2542" spans="37:38" s="4" customFormat="1">
      <c r="AK2542" s="3">
        <v>2536</v>
      </c>
      <c r="AL2542" s="163">
        <v>3.0178273168923546</v>
      </c>
    </row>
    <row r="2543" spans="37:38" s="4" customFormat="1">
      <c r="AK2543" s="3">
        <v>2537</v>
      </c>
      <c r="AL2543" s="163">
        <v>3.0183749096072794</v>
      </c>
    </row>
    <row r="2544" spans="37:38" s="4" customFormat="1">
      <c r="AK2544" s="3">
        <v>2538</v>
      </c>
      <c r="AL2544" s="163">
        <v>3.0189226136145835</v>
      </c>
    </row>
    <row r="2545" spans="37:38" s="4" customFormat="1">
      <c r="AK2545" s="3">
        <v>2539</v>
      </c>
      <c r="AL2545" s="163">
        <v>3.0194704292586816</v>
      </c>
    </row>
    <row r="2546" spans="37:38" s="4" customFormat="1">
      <c r="AK2546" s="3">
        <v>2540</v>
      </c>
      <c r="AL2546" s="163">
        <v>3.0200183568835302</v>
      </c>
    </row>
    <row r="2547" spans="37:38" s="4" customFormat="1">
      <c r="AK2547" s="3">
        <v>2541</v>
      </c>
      <c r="AL2547" s="163">
        <v>3.020566396832626</v>
      </c>
    </row>
    <row r="2548" spans="37:38" s="4" customFormat="1">
      <c r="AK2548" s="3">
        <v>2542</v>
      </c>
      <c r="AL2548" s="163">
        <v>3.0211145494490017</v>
      </c>
    </row>
    <row r="2549" spans="37:38" s="4" customFormat="1">
      <c r="AK2549" s="3">
        <v>2543</v>
      </c>
      <c r="AL2549" s="163">
        <v>3.0216628150752243</v>
      </c>
    </row>
    <row r="2550" spans="37:38" s="4" customFormat="1">
      <c r="AK2550" s="3">
        <v>2544</v>
      </c>
      <c r="AL2550" s="163">
        <v>3.0222111940534071</v>
      </c>
    </row>
    <row r="2551" spans="37:38" s="4" customFormat="1">
      <c r="AK2551" s="3">
        <v>2545</v>
      </c>
      <c r="AL2551" s="163">
        <v>3.0227596867251973</v>
      </c>
    </row>
    <row r="2552" spans="37:38" s="4" customFormat="1">
      <c r="AK2552" s="3">
        <v>2546</v>
      </c>
      <c r="AL2552" s="163">
        <v>3.0233082934317803</v>
      </c>
    </row>
    <row r="2553" spans="37:38" s="4" customFormat="1">
      <c r="AK2553" s="3">
        <v>2547</v>
      </c>
      <c r="AL2553" s="163">
        <v>3.0238570145138866</v>
      </c>
    </row>
    <row r="2554" spans="37:38" s="4" customFormat="1">
      <c r="AK2554" s="3">
        <v>2548</v>
      </c>
      <c r="AL2554" s="163">
        <v>3.0244058503117834</v>
      </c>
    </row>
    <row r="2555" spans="37:38" s="4" customFormat="1">
      <c r="AK2555" s="3">
        <v>2549</v>
      </c>
      <c r="AL2555" s="163">
        <v>3.0249548011652707</v>
      </c>
    </row>
    <row r="2556" spans="37:38" s="4" customFormat="1">
      <c r="AK2556" s="3">
        <v>2550</v>
      </c>
      <c r="AL2556" s="163">
        <v>3.0255038674137027</v>
      </c>
    </row>
    <row r="2557" spans="37:38" s="4" customFormat="1">
      <c r="AK2557" s="3">
        <v>2551</v>
      </c>
      <c r="AL2557" s="163">
        <v>3.0260530493959594</v>
      </c>
    </row>
    <row r="2558" spans="37:38" s="4" customFormat="1">
      <c r="AK2558" s="3">
        <v>2552</v>
      </c>
      <c r="AL2558" s="163">
        <v>3.0266023474504724</v>
      </c>
    </row>
    <row r="2559" spans="37:38" s="4" customFormat="1">
      <c r="AK2559" s="3">
        <v>2553</v>
      </c>
      <c r="AL2559" s="163">
        <v>3.0271517619152011</v>
      </c>
    </row>
    <row r="2560" spans="37:38" s="4" customFormat="1">
      <c r="AK2560" s="3">
        <v>2554</v>
      </c>
      <c r="AL2560" s="163">
        <v>3.0277012931276572</v>
      </c>
    </row>
    <row r="2561" spans="37:38" s="4" customFormat="1">
      <c r="AK2561" s="3">
        <v>2555</v>
      </c>
      <c r="AL2561" s="163">
        <v>3.0282509414248895</v>
      </c>
    </row>
    <row r="2562" spans="37:38" s="4" customFormat="1">
      <c r="AK2562" s="3">
        <v>2556</v>
      </c>
      <c r="AL2562" s="163">
        <v>3.0288007071434859</v>
      </c>
    </row>
    <row r="2563" spans="37:38" s="4" customFormat="1">
      <c r="AK2563" s="3">
        <v>2557</v>
      </c>
      <c r="AL2563" s="163">
        <v>3.0293505906195746</v>
      </c>
    </row>
    <row r="2564" spans="37:38" s="4" customFormat="1">
      <c r="AK2564" s="3">
        <v>2558</v>
      </c>
      <c r="AL2564" s="163">
        <v>3.0299005921888282</v>
      </c>
    </row>
    <row r="2565" spans="37:38" s="4" customFormat="1">
      <c r="AK2565" s="3">
        <v>2559</v>
      </c>
      <c r="AL2565" s="163">
        <v>3.0304507121864614</v>
      </c>
    </row>
    <row r="2566" spans="37:38" s="4" customFormat="1">
      <c r="AK2566" s="3">
        <v>2560</v>
      </c>
      <c r="AL2566" s="163">
        <v>3.031000950947226</v>
      </c>
    </row>
    <row r="2567" spans="37:38" s="4" customFormat="1">
      <c r="AK2567" s="3">
        <v>2561</v>
      </c>
      <c r="AL2567" s="163">
        <v>3.0315513088054207</v>
      </c>
    </row>
    <row r="2568" spans="37:38" s="4" customFormat="1">
      <c r="AK2568" s="3">
        <v>2562</v>
      </c>
      <c r="AL2568" s="163">
        <v>3.0321017860948811</v>
      </c>
    </row>
    <row r="2569" spans="37:38" s="4" customFormat="1">
      <c r="AK2569" s="3">
        <v>2563</v>
      </c>
      <c r="AL2569" s="163">
        <v>3.03265238314899</v>
      </c>
    </row>
    <row r="2570" spans="37:38" s="4" customFormat="1">
      <c r="AK2570" s="3">
        <v>2564</v>
      </c>
      <c r="AL2570" s="163">
        <v>3.0332031003006712</v>
      </c>
    </row>
    <row r="2571" spans="37:38" s="4" customFormat="1">
      <c r="AK2571" s="3">
        <v>2565</v>
      </c>
      <c r="AL2571" s="163">
        <v>3.0337539378823886</v>
      </c>
    </row>
    <row r="2572" spans="37:38" s="4" customFormat="1">
      <c r="AK2572" s="3">
        <v>2566</v>
      </c>
      <c r="AL2572" s="163">
        <v>3.0343048962261499</v>
      </c>
    </row>
    <row r="2573" spans="37:38" s="4" customFormat="1">
      <c r="AK2573" s="3">
        <v>2567</v>
      </c>
      <c r="AL2573" s="163">
        <v>3.0348559756635107</v>
      </c>
    </row>
    <row r="2574" spans="37:38" s="4" customFormat="1">
      <c r="AK2574" s="3">
        <v>2568</v>
      </c>
      <c r="AL2574" s="163">
        <v>3.035407176525561</v>
      </c>
    </row>
    <row r="2575" spans="37:38" s="4" customFormat="1">
      <c r="AK2575" s="3">
        <v>2569</v>
      </c>
      <c r="AL2575" s="163">
        <v>3.0359584991429402</v>
      </c>
    </row>
    <row r="2576" spans="37:38" s="4" customFormat="1">
      <c r="AK2576" s="3">
        <v>2570</v>
      </c>
      <c r="AL2576" s="163">
        <v>3.0365099438458296</v>
      </c>
    </row>
    <row r="2577" spans="37:38" s="4" customFormat="1">
      <c r="AK2577" s="3">
        <v>2571</v>
      </c>
      <c r="AL2577" s="163">
        <v>3.0370615109639569</v>
      </c>
    </row>
    <row r="2578" spans="37:38" s="4" customFormat="1">
      <c r="AK2578" s="3">
        <v>2572</v>
      </c>
      <c r="AL2578" s="163">
        <v>3.0376132008265868</v>
      </c>
    </row>
    <row r="2579" spans="37:38" s="4" customFormat="1">
      <c r="AK2579" s="3">
        <v>2573</v>
      </c>
      <c r="AL2579" s="163">
        <v>3.0381650137625353</v>
      </c>
    </row>
    <row r="2580" spans="37:38" s="4" customFormat="1">
      <c r="AK2580" s="3">
        <v>2574</v>
      </c>
      <c r="AL2580" s="163">
        <v>3.0387169501001576</v>
      </c>
    </row>
    <row r="2581" spans="37:38" s="4" customFormat="1">
      <c r="AK2581" s="3">
        <v>2575</v>
      </c>
      <c r="AL2581" s="163">
        <v>3.0392690101673594</v>
      </c>
    </row>
    <row r="2582" spans="37:38" s="4" customFormat="1">
      <c r="AK2582" s="3">
        <v>2576</v>
      </c>
      <c r="AL2582" s="163">
        <v>3.0398211942915814</v>
      </c>
    </row>
    <row r="2583" spans="37:38" s="4" customFormat="1">
      <c r="AK2583" s="3">
        <v>2577</v>
      </c>
      <c r="AL2583" s="163">
        <v>3.0403735027998193</v>
      </c>
    </row>
    <row r="2584" spans="37:38" s="4" customFormat="1">
      <c r="AK2584" s="3">
        <v>2578</v>
      </c>
      <c r="AL2584" s="163">
        <v>3.0409259360186081</v>
      </c>
    </row>
    <row r="2585" spans="37:38" s="4" customFormat="1">
      <c r="AK2585" s="3">
        <v>2579</v>
      </c>
      <c r="AL2585" s="163">
        <v>3.0414784942740263</v>
      </c>
    </row>
    <row r="2586" spans="37:38" s="4" customFormat="1">
      <c r="AK2586" s="3">
        <v>2580</v>
      </c>
      <c r="AL2586" s="163">
        <v>3.0420311778917037</v>
      </c>
    </row>
    <row r="2587" spans="37:38" s="4" customFormat="1">
      <c r="AK2587" s="3">
        <v>2581</v>
      </c>
      <c r="AL2587" s="163">
        <v>3.042583987196815</v>
      </c>
    </row>
    <row r="2588" spans="37:38" s="4" customFormat="1">
      <c r="AK2588" s="3">
        <v>2582</v>
      </c>
      <c r="AL2588" s="163">
        <v>3.0431369225140714</v>
      </c>
    </row>
    <row r="2589" spans="37:38" s="4" customFormat="1">
      <c r="AK2589" s="3">
        <v>2583</v>
      </c>
      <c r="AL2589" s="163">
        <v>3.0436899841677398</v>
      </c>
    </row>
    <row r="2590" spans="37:38" s="4" customFormat="1">
      <c r="AK2590" s="3">
        <v>2584</v>
      </c>
      <c r="AL2590" s="163">
        <v>3.0442431724816315</v>
      </c>
    </row>
    <row r="2591" spans="37:38" s="4" customFormat="1">
      <c r="AK2591" s="3">
        <v>2585</v>
      </c>
      <c r="AL2591" s="163">
        <v>3.0447964877791023</v>
      </c>
    </row>
    <row r="2592" spans="37:38" s="4" customFormat="1">
      <c r="AK2592" s="3">
        <v>2586</v>
      </c>
      <c r="AL2592" s="163">
        <v>3.045349930383054</v>
      </c>
    </row>
    <row r="2593" spans="37:38" s="4" customFormat="1">
      <c r="AK2593" s="3">
        <v>2587</v>
      </c>
      <c r="AL2593" s="163">
        <v>3.045903500615935</v>
      </c>
    </row>
    <row r="2594" spans="37:38" s="4" customFormat="1">
      <c r="AK2594" s="3">
        <v>2588</v>
      </c>
      <c r="AL2594" s="163">
        <v>3.0464571987997444</v>
      </c>
    </row>
    <row r="2595" spans="37:38" s="4" customFormat="1">
      <c r="AK2595" s="3">
        <v>2589</v>
      </c>
      <c r="AL2595" s="163">
        <v>3.0470110252560216</v>
      </c>
    </row>
    <row r="2596" spans="37:38" s="4" customFormat="1">
      <c r="AK2596" s="3">
        <v>2590</v>
      </c>
      <c r="AL2596" s="163">
        <v>3.0475649803058555</v>
      </c>
    </row>
    <row r="2597" spans="37:38" s="4" customFormat="1">
      <c r="AK2597" s="3">
        <v>2591</v>
      </c>
      <c r="AL2597" s="163">
        <v>3.0481190642698919</v>
      </c>
    </row>
    <row r="2598" spans="37:38" s="4" customFormat="1">
      <c r="AK2598" s="3">
        <v>2592</v>
      </c>
      <c r="AL2598" s="163">
        <v>3.0486732774683079</v>
      </c>
    </row>
    <row r="2599" spans="37:38" s="4" customFormat="1">
      <c r="AK2599" s="3">
        <v>2593</v>
      </c>
      <c r="AL2599" s="163">
        <v>3.0492276202208393</v>
      </c>
    </row>
    <row r="2600" spans="37:38" s="4" customFormat="1">
      <c r="AK2600" s="3">
        <v>2594</v>
      </c>
      <c r="AL2600" s="163">
        <v>3.0497820928467698</v>
      </c>
    </row>
    <row r="2601" spans="37:38" s="4" customFormat="1">
      <c r="AK2601" s="3">
        <v>2595</v>
      </c>
      <c r="AL2601" s="163">
        <v>3.0503366956649223</v>
      </c>
    </row>
    <row r="2602" spans="37:38" s="4" customFormat="1">
      <c r="AK2602" s="3">
        <v>2596</v>
      </c>
      <c r="AL2602" s="163">
        <v>3.0508914289936779</v>
      </c>
    </row>
    <row r="2603" spans="37:38" s="4" customFormat="1">
      <c r="AK2603" s="3">
        <v>2597</v>
      </c>
      <c r="AL2603" s="163">
        <v>3.0514462931509629</v>
      </c>
    </row>
    <row r="2604" spans="37:38" s="4" customFormat="1">
      <c r="AK2604" s="3">
        <v>2598</v>
      </c>
      <c r="AL2604" s="163">
        <v>3.0520012884542496</v>
      </c>
    </row>
    <row r="2605" spans="37:38" s="4" customFormat="1">
      <c r="AK2605" s="3">
        <v>2599</v>
      </c>
      <c r="AL2605" s="163">
        <v>3.0525564152205606</v>
      </c>
    </row>
    <row r="2606" spans="37:38" s="4" customFormat="1">
      <c r="AK2606" s="3">
        <v>2600</v>
      </c>
      <c r="AL2606" s="163">
        <v>3.053111673766471</v>
      </c>
    </row>
    <row r="2607" spans="37:38" s="4" customFormat="1">
      <c r="AK2607" s="3">
        <v>2601</v>
      </c>
      <c r="AL2607" s="163">
        <v>3.0536670644081005</v>
      </c>
    </row>
    <row r="2608" spans="37:38" s="4" customFormat="1">
      <c r="AK2608" s="3">
        <v>2602</v>
      </c>
      <c r="AL2608" s="163">
        <v>3.0542225874611182</v>
      </c>
    </row>
    <row r="2609" spans="37:38" s="4" customFormat="1">
      <c r="AK2609" s="3">
        <v>2603</v>
      </c>
      <c r="AL2609" s="163">
        <v>3.0547782432407473</v>
      </c>
    </row>
    <row r="2610" spans="37:38" s="4" customFormat="1">
      <c r="AK2610" s="3">
        <v>2604</v>
      </c>
      <c r="AL2610" s="163">
        <v>3.0553340320617579</v>
      </c>
    </row>
    <row r="2611" spans="37:38" s="4" customFormat="1">
      <c r="AK2611" s="3">
        <v>2605</v>
      </c>
      <c r="AL2611" s="163">
        <v>3.0558899542384701</v>
      </c>
    </row>
    <row r="2612" spans="37:38" s="4" customFormat="1">
      <c r="AK2612" s="3">
        <v>2606</v>
      </c>
      <c r="AL2612" s="163">
        <v>3.0564460100847493</v>
      </c>
    </row>
    <row r="2613" spans="37:38" s="4" customFormat="1">
      <c r="AK2613" s="3">
        <v>2607</v>
      </c>
      <c r="AL2613" s="163">
        <v>3.0570021999140238</v>
      </c>
    </row>
    <row r="2614" spans="37:38" s="4" customFormat="1">
      <c r="AK2614" s="3">
        <v>2608</v>
      </c>
      <c r="AL2614" s="163">
        <v>3.0575585240392571</v>
      </c>
    </row>
    <row r="2615" spans="37:38" s="4" customFormat="1">
      <c r="AK2615" s="3">
        <v>2609</v>
      </c>
      <c r="AL2615" s="163">
        <v>3.0581149827729783</v>
      </c>
    </row>
    <row r="2616" spans="37:38" s="4" customFormat="1">
      <c r="AK2616" s="3">
        <v>2610</v>
      </c>
      <c r="AL2616" s="163">
        <v>3.0586715764272534</v>
      </c>
    </row>
    <row r="2617" spans="37:38" s="4" customFormat="1">
      <c r="AK2617" s="3">
        <v>2611</v>
      </c>
      <c r="AL2617" s="163">
        <v>3.0592283053137095</v>
      </c>
    </row>
    <row r="2618" spans="37:38" s="4" customFormat="1">
      <c r="AK2618" s="3">
        <v>2612</v>
      </c>
      <c r="AL2618" s="163">
        <v>3.0597851697435186</v>
      </c>
    </row>
    <row r="2619" spans="37:38" s="4" customFormat="1">
      <c r="AK2619" s="3">
        <v>2613</v>
      </c>
      <c r="AL2619" s="163">
        <v>3.0603421700274125</v>
      </c>
    </row>
    <row r="2620" spans="37:38" s="4" customFormat="1">
      <c r="AK2620" s="3">
        <v>2614</v>
      </c>
      <c r="AL2620" s="163">
        <v>3.0608993064756622</v>
      </c>
    </row>
    <row r="2621" spans="37:38" s="4" customFormat="1">
      <c r="AK2621" s="3">
        <v>2615</v>
      </c>
      <c r="AL2621" s="163">
        <v>3.0614565793981012</v>
      </c>
    </row>
    <row r="2622" spans="37:38" s="4" customFormat="1">
      <c r="AK2622" s="3">
        <v>2616</v>
      </c>
      <c r="AL2622" s="163">
        <v>3.0620139891041092</v>
      </c>
    </row>
    <row r="2623" spans="37:38" s="4" customFormat="1">
      <c r="AK2623" s="3">
        <v>2617</v>
      </c>
      <c r="AL2623" s="163">
        <v>3.0625715359026229</v>
      </c>
    </row>
    <row r="2624" spans="37:38" s="4" customFormat="1">
      <c r="AK2624" s="3">
        <v>2618</v>
      </c>
      <c r="AL2624" s="163">
        <v>3.0631292201021236</v>
      </c>
    </row>
    <row r="2625" spans="37:38" s="4" customFormat="1">
      <c r="AK2625" s="3">
        <v>2619</v>
      </c>
      <c r="AL2625" s="163">
        <v>3.063687042010653</v>
      </c>
    </row>
    <row r="2626" spans="37:38" s="4" customFormat="1">
      <c r="AK2626" s="3">
        <v>2620</v>
      </c>
      <c r="AL2626" s="163">
        <v>3.0642450019358027</v>
      </c>
    </row>
    <row r="2627" spans="37:38" s="4" customFormat="1">
      <c r="AK2627" s="3">
        <v>2621</v>
      </c>
      <c r="AL2627" s="163">
        <v>3.0648031001847156</v>
      </c>
    </row>
    <row r="2628" spans="37:38" s="4" customFormat="1">
      <c r="AK2628" s="3">
        <v>2622</v>
      </c>
      <c r="AL2628" s="163">
        <v>3.0653613370640871</v>
      </c>
    </row>
    <row r="2629" spans="37:38" s="4" customFormat="1">
      <c r="AK2629" s="3">
        <v>2623</v>
      </c>
      <c r="AL2629" s="163">
        <v>3.0659197128801714</v>
      </c>
    </row>
    <row r="2630" spans="37:38" s="4" customFormat="1">
      <c r="AK2630" s="3">
        <v>2624</v>
      </c>
      <c r="AL2630" s="163">
        <v>3.0664782279387692</v>
      </c>
    </row>
    <row r="2631" spans="37:38" s="4" customFormat="1">
      <c r="AK2631" s="3">
        <v>2625</v>
      </c>
      <c r="AL2631" s="163">
        <v>3.067036882545239</v>
      </c>
    </row>
    <row r="2632" spans="37:38" s="4" customFormat="1">
      <c r="AK2632" s="3">
        <v>2626</v>
      </c>
      <c r="AL2632" s="163">
        <v>3.0675956770044936</v>
      </c>
    </row>
    <row r="2633" spans="37:38" s="4" customFormat="1">
      <c r="AK2633" s="3">
        <v>2627</v>
      </c>
      <c r="AL2633" s="163">
        <v>3.0681546116209955</v>
      </c>
    </row>
    <row r="2634" spans="37:38" s="4" customFormat="1">
      <c r="AK2634" s="3">
        <v>2628</v>
      </c>
      <c r="AL2634" s="163">
        <v>3.0687136866987617</v>
      </c>
    </row>
    <row r="2635" spans="37:38" s="4" customFormat="1">
      <c r="AK2635" s="3">
        <v>2629</v>
      </c>
      <c r="AL2635" s="163">
        <v>3.0692729025413712</v>
      </c>
    </row>
    <row r="2636" spans="37:38" s="4" customFormat="1">
      <c r="AK2636" s="3">
        <v>2630</v>
      </c>
      <c r="AL2636" s="163">
        <v>3.0698322594519536</v>
      </c>
    </row>
    <row r="2637" spans="37:38" s="4" customFormat="1">
      <c r="AK2637" s="3">
        <v>2631</v>
      </c>
      <c r="AL2637" s="163">
        <v>3.0703917577331854</v>
      </c>
    </row>
    <row r="2638" spans="37:38" s="4" customFormat="1">
      <c r="AK2638" s="3">
        <v>2632</v>
      </c>
      <c r="AL2638" s="163">
        <v>3.070951397687308</v>
      </c>
    </row>
    <row r="2639" spans="37:38" s="4" customFormat="1">
      <c r="AK2639" s="3">
        <v>2633</v>
      </c>
      <c r="AL2639" s="163">
        <v>3.0715111796161141</v>
      </c>
    </row>
    <row r="2640" spans="37:38" s="4" customFormat="1">
      <c r="AK2640" s="3">
        <v>2634</v>
      </c>
      <c r="AL2640" s="163">
        <v>3.0720711038209521</v>
      </c>
    </row>
    <row r="2641" spans="37:38" s="4" customFormat="1">
      <c r="AK2641" s="3">
        <v>2635</v>
      </c>
      <c r="AL2641" s="163">
        <v>3.0726311706027225</v>
      </c>
    </row>
    <row r="2642" spans="37:38" s="4" customFormat="1">
      <c r="AK2642" s="3">
        <v>2636</v>
      </c>
      <c r="AL2642" s="163">
        <v>3.0731913802618891</v>
      </c>
    </row>
    <row r="2643" spans="37:38" s="4" customFormat="1">
      <c r="AK2643" s="3">
        <v>2637</v>
      </c>
      <c r="AL2643" s="163">
        <v>3.0737517330984629</v>
      </c>
    </row>
    <row r="2644" spans="37:38" s="4" customFormat="1">
      <c r="AK2644" s="3">
        <v>2638</v>
      </c>
      <c r="AL2644" s="163">
        <v>3.0743122294120191</v>
      </c>
    </row>
    <row r="2645" spans="37:38" s="4" customFormat="1">
      <c r="AK2645" s="3">
        <v>2639</v>
      </c>
      <c r="AL2645" s="163">
        <v>3.0748728695016823</v>
      </c>
    </row>
    <row r="2646" spans="37:38" s="4" customFormat="1">
      <c r="AK2646" s="3">
        <v>2640</v>
      </c>
      <c r="AL2646" s="163">
        <v>3.0754336536661366</v>
      </c>
    </row>
    <row r="2647" spans="37:38" s="4" customFormat="1">
      <c r="AK2647" s="3">
        <v>2641</v>
      </c>
      <c r="AL2647" s="163">
        <v>3.0759945822036223</v>
      </c>
    </row>
    <row r="2648" spans="37:38" s="4" customFormat="1">
      <c r="AK2648" s="3">
        <v>2642</v>
      </c>
      <c r="AL2648" s="163">
        <v>3.0765556554119344</v>
      </c>
    </row>
    <row r="2649" spans="37:38" s="4" customFormat="1">
      <c r="AK2649" s="3">
        <v>2643</v>
      </c>
      <c r="AL2649" s="163">
        <v>3.0771168735884307</v>
      </c>
    </row>
    <row r="2650" spans="37:38" s="4" customFormat="1">
      <c r="AK2650" s="3">
        <v>2644</v>
      </c>
      <c r="AL2650" s="163">
        <v>3.077678237030018</v>
      </c>
    </row>
    <row r="2651" spans="37:38" s="4" customFormat="1">
      <c r="AK2651" s="3">
        <v>2645</v>
      </c>
      <c r="AL2651" s="163">
        <v>3.0782397460331654</v>
      </c>
    </row>
    <row r="2652" spans="37:38" s="4" customFormat="1">
      <c r="AK2652" s="3">
        <v>2646</v>
      </c>
      <c r="AL2652" s="163">
        <v>3.0788014008938998</v>
      </c>
    </row>
    <row r="2653" spans="37:38" s="4" customFormat="1">
      <c r="AK2653" s="3">
        <v>2647</v>
      </c>
      <c r="AL2653" s="163">
        <v>3.0793632019078054</v>
      </c>
    </row>
    <row r="2654" spans="37:38" s="4" customFormat="1">
      <c r="AK2654" s="3">
        <v>2648</v>
      </c>
      <c r="AL2654" s="163">
        <v>3.0799251493700193</v>
      </c>
    </row>
    <row r="2655" spans="37:38" s="4" customFormat="1">
      <c r="AK2655" s="3">
        <v>2649</v>
      </c>
      <c r="AL2655" s="163">
        <v>3.0804872435752464</v>
      </c>
    </row>
    <row r="2656" spans="37:38" s="4" customFormat="1">
      <c r="AK2656" s="3">
        <v>2650</v>
      </c>
      <c r="AL2656" s="163">
        <v>3.0810494848177381</v>
      </c>
    </row>
    <row r="2657" spans="37:38" s="4" customFormat="1">
      <c r="AK2657" s="3">
        <v>2651</v>
      </c>
      <c r="AL2657" s="163">
        <v>3.0816118733913149</v>
      </c>
    </row>
    <row r="2658" spans="37:38" s="4" customFormat="1">
      <c r="AK2658" s="3">
        <v>2652</v>
      </c>
      <c r="AL2658" s="163">
        <v>3.0821744095893457</v>
      </c>
    </row>
    <row r="2659" spans="37:38" s="4" customFormat="1">
      <c r="AK2659" s="3">
        <v>2653</v>
      </c>
      <c r="AL2659" s="163">
        <v>3.0827370937047678</v>
      </c>
    </row>
    <row r="2660" spans="37:38" s="4" customFormat="1">
      <c r="AK2660" s="3">
        <v>2654</v>
      </c>
      <c r="AL2660" s="163">
        <v>3.0832999260300751</v>
      </c>
    </row>
    <row r="2661" spans="37:38" s="4" customFormat="1">
      <c r="AK2661" s="3">
        <v>2655</v>
      </c>
      <c r="AL2661" s="163">
        <v>3.0838629068573122</v>
      </c>
    </row>
    <row r="2662" spans="37:38" s="4" customFormat="1">
      <c r="AK2662" s="3">
        <v>2656</v>
      </c>
      <c r="AL2662" s="163">
        <v>3.0844260364780927</v>
      </c>
    </row>
    <row r="2663" spans="37:38" s="4" customFormat="1">
      <c r="AK2663" s="3">
        <v>2657</v>
      </c>
      <c r="AL2663" s="163">
        <v>3.0849893151835879</v>
      </c>
    </row>
    <row r="2664" spans="37:38" s="4" customFormat="1">
      <c r="AK2664" s="3">
        <v>2658</v>
      </c>
      <c r="AL2664" s="163">
        <v>3.0855527432645258</v>
      </c>
    </row>
    <row r="2665" spans="37:38" s="4" customFormat="1">
      <c r="AK2665" s="3">
        <v>2659</v>
      </c>
      <c r="AL2665" s="163">
        <v>3.0861163210111964</v>
      </c>
    </row>
    <row r="2666" spans="37:38" s="4" customFormat="1">
      <c r="AK2666" s="3">
        <v>2660</v>
      </c>
      <c r="AL2666" s="163">
        <v>3.0866800487134478</v>
      </c>
    </row>
    <row r="2667" spans="37:38" s="4" customFormat="1">
      <c r="AK2667" s="3">
        <v>2661</v>
      </c>
      <c r="AL2667" s="163">
        <v>3.0872439266606908</v>
      </c>
    </row>
    <row r="2668" spans="37:38" s="4" customFormat="1">
      <c r="AK2668" s="3">
        <v>2662</v>
      </c>
      <c r="AL2668" s="163">
        <v>3.0878079551418964</v>
      </c>
    </row>
    <row r="2669" spans="37:38" s="4" customFormat="1">
      <c r="AK2669" s="3">
        <v>2663</v>
      </c>
      <c r="AL2669" s="163">
        <v>3.0883721344455921</v>
      </c>
    </row>
    <row r="2670" spans="37:38" s="4" customFormat="1">
      <c r="AK2670" s="3">
        <v>2664</v>
      </c>
      <c r="AL2670" s="163">
        <v>3.0889364648598714</v>
      </c>
    </row>
    <row r="2671" spans="37:38" s="4" customFormat="1">
      <c r="AK2671" s="3">
        <v>2665</v>
      </c>
      <c r="AL2671" s="163">
        <v>3.0895009466723864</v>
      </c>
    </row>
    <row r="2672" spans="37:38" s="4" customFormat="1">
      <c r="AK2672" s="3">
        <v>2666</v>
      </c>
      <c r="AL2672" s="163">
        <v>3.0900655801703518</v>
      </c>
    </row>
    <row r="2673" spans="37:38" s="4" customFormat="1">
      <c r="AK2673" s="3">
        <v>2667</v>
      </c>
      <c r="AL2673" s="163">
        <v>3.0906303656405396</v>
      </c>
    </row>
    <row r="2674" spans="37:38" s="4" customFormat="1">
      <c r="AK2674" s="3">
        <v>2668</v>
      </c>
      <c r="AL2674" s="163">
        <v>3.0911953033692887</v>
      </c>
    </row>
    <row r="2675" spans="37:38" s="4" customFormat="1">
      <c r="AK2675" s="3">
        <v>2669</v>
      </c>
      <c r="AL2675" s="163">
        <v>3.0917603936424962</v>
      </c>
    </row>
    <row r="2676" spans="37:38" s="4" customFormat="1">
      <c r="AK2676" s="3">
        <v>2670</v>
      </c>
      <c r="AL2676" s="163">
        <v>3.0923256367456213</v>
      </c>
    </row>
    <row r="2677" spans="37:38" s="4" customFormat="1">
      <c r="AK2677" s="3">
        <v>2671</v>
      </c>
      <c r="AL2677" s="163">
        <v>3.0928910329636854</v>
      </c>
    </row>
    <row r="2678" spans="37:38" s="4" customFormat="1">
      <c r="AK2678" s="3">
        <v>2672</v>
      </c>
      <c r="AL2678" s="163">
        <v>3.0934565825812728</v>
      </c>
    </row>
    <row r="2679" spans="37:38" s="4" customFormat="1">
      <c r="AK2679" s="3">
        <v>2673</v>
      </c>
      <c r="AL2679" s="163">
        <v>3.0940222858825335</v>
      </c>
    </row>
    <row r="2680" spans="37:38" s="4" customFormat="1">
      <c r="AK2680" s="3">
        <v>2674</v>
      </c>
      <c r="AL2680" s="163">
        <v>3.0945881431511748</v>
      </c>
    </row>
    <row r="2681" spans="37:38" s="4" customFormat="1">
      <c r="AK2681" s="3">
        <v>2675</v>
      </c>
      <c r="AL2681" s="163">
        <v>3.0951541546704635</v>
      </c>
    </row>
    <row r="2682" spans="37:38" s="4" customFormat="1">
      <c r="AK2682" s="3">
        <v>2676</v>
      </c>
      <c r="AL2682" s="163">
        <v>3.0957203207232422</v>
      </c>
    </row>
    <row r="2683" spans="37:38" s="4" customFormat="1">
      <c r="AK2683" s="3">
        <v>2677</v>
      </c>
      <c r="AL2683" s="163">
        <v>3.0962866415919033</v>
      </c>
    </row>
    <row r="2684" spans="37:38" s="4" customFormat="1">
      <c r="AK2684" s="3">
        <v>2678</v>
      </c>
      <c r="AL2684" s="163">
        <v>3.0968531175584113</v>
      </c>
    </row>
    <row r="2685" spans="37:38" s="4" customFormat="1">
      <c r="AK2685" s="3">
        <v>2679</v>
      </c>
      <c r="AL2685" s="163">
        <v>3.0974197489042901</v>
      </c>
    </row>
    <row r="2686" spans="37:38" s="4" customFormat="1">
      <c r="AK2686" s="3">
        <v>2680</v>
      </c>
      <c r="AL2686" s="163">
        <v>3.0979865359106302</v>
      </c>
    </row>
    <row r="2687" spans="37:38" s="4" customFormat="1">
      <c r="AK2687" s="3">
        <v>2681</v>
      </c>
      <c r="AL2687" s="163">
        <v>3.098553478858082</v>
      </c>
    </row>
    <row r="2688" spans="37:38" s="4" customFormat="1">
      <c r="AK2688" s="3">
        <v>2682</v>
      </c>
      <c r="AL2688" s="163">
        <v>3.0991205780268625</v>
      </c>
    </row>
    <row r="2689" spans="37:38" s="4" customFormat="1">
      <c r="AK2689" s="3">
        <v>2683</v>
      </c>
      <c r="AL2689" s="163">
        <v>3.0996878336967515</v>
      </c>
    </row>
    <row r="2690" spans="37:38" s="4" customFormat="1">
      <c r="AK2690" s="3">
        <v>2684</v>
      </c>
      <c r="AL2690" s="163">
        <v>3.1002552461470954</v>
      </c>
    </row>
    <row r="2691" spans="37:38" s="4" customFormat="1">
      <c r="AK2691" s="3">
        <v>2685</v>
      </c>
      <c r="AL2691" s="163">
        <v>3.1008228156568056</v>
      </c>
    </row>
    <row r="2692" spans="37:38" s="4" customFormat="1">
      <c r="AK2692" s="3">
        <v>2686</v>
      </c>
      <c r="AL2692" s="163">
        <v>3.1013905425043546</v>
      </c>
    </row>
    <row r="2693" spans="37:38" s="4" customFormat="1">
      <c r="AK2693" s="3">
        <v>2687</v>
      </c>
      <c r="AL2693" s="163">
        <v>3.1019584269677836</v>
      </c>
    </row>
    <row r="2694" spans="37:38" s="4" customFormat="1">
      <c r="AK2694" s="3">
        <v>2688</v>
      </c>
      <c r="AL2694" s="163">
        <v>3.1025264693246974</v>
      </c>
    </row>
    <row r="2695" spans="37:38" s="4" customFormat="1">
      <c r="AK2695" s="3">
        <v>2689</v>
      </c>
      <c r="AL2695" s="163">
        <v>3.1030946698522648</v>
      </c>
    </row>
    <row r="2696" spans="37:38" s="4" customFormat="1">
      <c r="AK2696" s="3">
        <v>2690</v>
      </c>
      <c r="AL2696" s="163">
        <v>3.1036630288272247</v>
      </c>
    </row>
    <row r="2697" spans="37:38" s="4" customFormat="1">
      <c r="AK2697" s="3">
        <v>2691</v>
      </c>
      <c r="AL2697" s="163">
        <v>3.1042315465258747</v>
      </c>
    </row>
    <row r="2698" spans="37:38" s="4" customFormat="1">
      <c r="AK2698" s="3">
        <v>2692</v>
      </c>
      <c r="AL2698" s="163">
        <v>3.1048002232240832</v>
      </c>
    </row>
    <row r="2699" spans="37:38" s="4" customFormat="1">
      <c r="AK2699" s="3">
        <v>2693</v>
      </c>
      <c r="AL2699" s="163">
        <v>3.1053690591972867</v>
      </c>
    </row>
    <row r="2700" spans="37:38" s="4" customFormat="1">
      <c r="AK2700" s="3">
        <v>2694</v>
      </c>
      <c r="AL2700" s="163">
        <v>3.1059380547204807</v>
      </c>
    </row>
    <row r="2701" spans="37:38" s="4" customFormat="1">
      <c r="AK2701" s="3">
        <v>2695</v>
      </c>
      <c r="AL2701" s="163">
        <v>3.106507210068234</v>
      </c>
    </row>
    <row r="2702" spans="37:38" s="4" customFormat="1">
      <c r="AK2702" s="3">
        <v>2696</v>
      </c>
      <c r="AL2702" s="163">
        <v>3.1070765255146808</v>
      </c>
    </row>
    <row r="2703" spans="37:38" s="4" customFormat="1">
      <c r="AK2703" s="3">
        <v>2697</v>
      </c>
      <c r="AL2703" s="163">
        <v>3.1076460013335176</v>
      </c>
    </row>
    <row r="2704" spans="37:38" s="4" customFormat="1">
      <c r="AK2704" s="3">
        <v>2698</v>
      </c>
      <c r="AL2704" s="163">
        <v>3.1082156377980112</v>
      </c>
    </row>
    <row r="2705" spans="37:38" s="4" customFormat="1">
      <c r="AK2705" s="3">
        <v>2699</v>
      </c>
      <c r="AL2705" s="163">
        <v>3.1087854351810003</v>
      </c>
    </row>
    <row r="2706" spans="37:38" s="4" customFormat="1">
      <c r="AK2706" s="3">
        <v>2700</v>
      </c>
      <c r="AL2706" s="163">
        <v>3.1093553937548806</v>
      </c>
    </row>
    <row r="2707" spans="37:38" s="4" customFormat="1">
      <c r="AK2707" s="3">
        <v>2701</v>
      </c>
      <c r="AL2707" s="163">
        <v>3.1099255137916231</v>
      </c>
    </row>
    <row r="2708" spans="37:38" s="4" customFormat="1">
      <c r="AK2708" s="3">
        <v>2702</v>
      </c>
      <c r="AL2708" s="163">
        <v>3.1104957955627657</v>
      </c>
    </row>
    <row r="2709" spans="37:38" s="4" customFormat="1">
      <c r="AK2709" s="3">
        <v>2703</v>
      </c>
      <c r="AL2709" s="163">
        <v>3.1110662393394128</v>
      </c>
    </row>
    <row r="2710" spans="37:38" s="4" customFormat="1">
      <c r="AK2710" s="3">
        <v>2704</v>
      </c>
      <c r="AL2710" s="163">
        <v>3.1116368453922347</v>
      </c>
    </row>
    <row r="2711" spans="37:38" s="4" customFormat="1">
      <c r="AK2711" s="3">
        <v>2705</v>
      </c>
      <c r="AL2711" s="163">
        <v>3.1122076139914734</v>
      </c>
    </row>
    <row r="2712" spans="37:38" s="4" customFormat="1">
      <c r="AK2712" s="3">
        <v>2706</v>
      </c>
      <c r="AL2712" s="163">
        <v>3.1127785454069388</v>
      </c>
    </row>
    <row r="2713" spans="37:38" s="4" customFormat="1">
      <c r="AK2713" s="3">
        <v>2707</v>
      </c>
      <c r="AL2713" s="163">
        <v>3.1133496399080083</v>
      </c>
    </row>
    <row r="2714" spans="37:38" s="4" customFormat="1">
      <c r="AK2714" s="3">
        <v>2708</v>
      </c>
      <c r="AL2714" s="163">
        <v>3.1139208977636308</v>
      </c>
    </row>
    <row r="2715" spans="37:38" s="4" customFormat="1">
      <c r="AK2715" s="3">
        <v>2709</v>
      </c>
      <c r="AL2715" s="163">
        <v>3.1144923192423217</v>
      </c>
    </row>
    <row r="2716" spans="37:38" s="4" customFormat="1">
      <c r="AK2716" s="3">
        <v>2710</v>
      </c>
      <c r="AL2716" s="163">
        <v>3.115063904612164</v>
      </c>
    </row>
    <row r="2717" spans="37:38" s="4" customFormat="1">
      <c r="AK2717" s="3">
        <v>2711</v>
      </c>
      <c r="AL2717" s="163">
        <v>3.1156356541408146</v>
      </c>
    </row>
    <row r="2718" spans="37:38" s="4" customFormat="1">
      <c r="AK2718" s="3">
        <v>2712</v>
      </c>
      <c r="AL2718" s="163">
        <v>3.1162075680954957</v>
      </c>
    </row>
    <row r="2719" spans="37:38" s="4" customFormat="1">
      <c r="AK2719" s="3">
        <v>2713</v>
      </c>
      <c r="AL2719" s="163">
        <v>3.1167796467430016</v>
      </c>
    </row>
    <row r="2720" spans="37:38" s="4" customFormat="1">
      <c r="AK2720" s="3">
        <v>2714</v>
      </c>
      <c r="AL2720" s="163">
        <v>3.1173518903496977</v>
      </c>
    </row>
    <row r="2721" spans="37:38" s="4" customFormat="1">
      <c r="AK2721" s="3">
        <v>2715</v>
      </c>
      <c r="AL2721" s="163">
        <v>3.1179242991815168</v>
      </c>
    </row>
    <row r="2722" spans="37:38" s="4" customFormat="1">
      <c r="AK2722" s="3">
        <v>2716</v>
      </c>
      <c r="AL2722" s="163">
        <v>3.1184968735039607</v>
      </c>
    </row>
    <row r="2723" spans="37:38" s="4" customFormat="1">
      <c r="AK2723" s="3">
        <v>2717</v>
      </c>
      <c r="AL2723" s="163">
        <v>3.1190696135821105</v>
      </c>
    </row>
    <row r="2724" spans="37:38" s="4" customFormat="1">
      <c r="AK2724" s="3">
        <v>2718</v>
      </c>
      <c r="AL2724" s="163">
        <v>3.1196425196806081</v>
      </c>
    </row>
    <row r="2725" spans="37:38" s="4" customFormat="1">
      <c r="AK2725" s="3">
        <v>2719</v>
      </c>
      <c r="AL2725" s="163">
        <v>3.1202155920636687</v>
      </c>
    </row>
    <row r="2726" spans="37:38" s="4" customFormat="1">
      <c r="AK2726" s="3">
        <v>2720</v>
      </c>
      <c r="AL2726" s="163">
        <v>3.1207888309950782</v>
      </c>
    </row>
    <row r="2727" spans="37:38" s="4" customFormat="1">
      <c r="AK2727" s="3">
        <v>2721</v>
      </c>
      <c r="AL2727" s="163">
        <v>3.1213622367382015</v>
      </c>
    </row>
    <row r="2728" spans="37:38" s="4" customFormat="1">
      <c r="AK2728" s="3">
        <v>2722</v>
      </c>
      <c r="AL2728" s="163">
        <v>3.1219358095559646</v>
      </c>
    </row>
    <row r="2729" spans="37:38" s="4" customFormat="1">
      <c r="AK2729" s="3">
        <v>2723</v>
      </c>
      <c r="AL2729" s="163">
        <v>3.1225095497108684</v>
      </c>
    </row>
    <row r="2730" spans="37:38" s="4" customFormat="1">
      <c r="AK2730" s="3">
        <v>2724</v>
      </c>
      <c r="AL2730" s="163">
        <v>3.1230834574649906</v>
      </c>
    </row>
    <row r="2731" spans="37:38" s="4" customFormat="1">
      <c r="AK2731" s="3">
        <v>2725</v>
      </c>
      <c r="AL2731" s="163">
        <v>3.1236575330799705</v>
      </c>
    </row>
    <row r="2732" spans="37:38" s="4" customFormat="1">
      <c r="AK2732" s="3">
        <v>2726</v>
      </c>
      <c r="AL2732" s="163">
        <v>3.1242317768170285</v>
      </c>
    </row>
    <row r="2733" spans="37:38" s="4" customFormat="1">
      <c r="AK2733" s="3">
        <v>2727</v>
      </c>
      <c r="AL2733" s="163">
        <v>3.1248061889369545</v>
      </c>
    </row>
    <row r="2734" spans="37:38" s="4" customFormat="1">
      <c r="AK2734" s="3">
        <v>2728</v>
      </c>
      <c r="AL2734" s="163">
        <v>3.1253807697001128</v>
      </c>
    </row>
    <row r="2735" spans="37:38" s="4" customFormat="1">
      <c r="AK2735" s="3">
        <v>2729</v>
      </c>
      <c r="AL2735" s="163">
        <v>3.1259555193664363</v>
      </c>
    </row>
    <row r="2736" spans="37:38" s="4" customFormat="1">
      <c r="AK2736" s="3">
        <v>2730</v>
      </c>
      <c r="AL2736" s="163">
        <v>3.126530438195434</v>
      </c>
    </row>
    <row r="2737" spans="37:38" s="4" customFormat="1">
      <c r="AK2737" s="3">
        <v>2731</v>
      </c>
      <c r="AL2737" s="163">
        <v>3.1271055264461838</v>
      </c>
    </row>
    <row r="2738" spans="37:38" s="4" customFormat="1">
      <c r="AK2738" s="3">
        <v>2732</v>
      </c>
      <c r="AL2738" s="163">
        <v>3.1276807843773438</v>
      </c>
    </row>
    <row r="2739" spans="37:38" s="4" customFormat="1">
      <c r="AK2739" s="3">
        <v>2733</v>
      </c>
      <c r="AL2739" s="163">
        <v>3.1282562122471402</v>
      </c>
    </row>
    <row r="2740" spans="37:38" s="4" customFormat="1">
      <c r="AK2740" s="3">
        <v>2734</v>
      </c>
      <c r="AL2740" s="163">
        <v>3.1288318103133745</v>
      </c>
    </row>
    <row r="2741" spans="37:38" s="4" customFormat="1">
      <c r="AK2741" s="3">
        <v>2735</v>
      </c>
      <c r="AL2741" s="163">
        <v>3.1294075788334199</v>
      </c>
    </row>
    <row r="2742" spans="37:38" s="4" customFormat="1">
      <c r="AK2742" s="3">
        <v>2736</v>
      </c>
      <c r="AL2742" s="163">
        <v>3.1299835180642299</v>
      </c>
    </row>
    <row r="2743" spans="37:38" s="4" customFormat="1">
      <c r="AK2743" s="3">
        <v>2737</v>
      </c>
      <c r="AL2743" s="163">
        <v>3.1305596282623269</v>
      </c>
    </row>
    <row r="2744" spans="37:38" s="4" customFormat="1">
      <c r="AK2744" s="3">
        <v>2738</v>
      </c>
      <c r="AL2744" s="163">
        <v>3.1311359096838043</v>
      </c>
    </row>
    <row r="2745" spans="37:38" s="4" customFormat="1">
      <c r="AK2745" s="3">
        <v>2739</v>
      </c>
      <c r="AL2745" s="163">
        <v>3.1317123625843388</v>
      </c>
    </row>
    <row r="2746" spans="37:38" s="4" customFormat="1">
      <c r="AK2746" s="3">
        <v>2740</v>
      </c>
      <c r="AL2746" s="163">
        <v>3.1322889872191744</v>
      </c>
    </row>
    <row r="2747" spans="37:38" s="4" customFormat="1">
      <c r="AK2747" s="3">
        <v>2741</v>
      </c>
      <c r="AL2747" s="163">
        <v>3.132865783843136</v>
      </c>
    </row>
    <row r="2748" spans="37:38" s="4" customFormat="1">
      <c r="AK2748" s="3">
        <v>2742</v>
      </c>
      <c r="AL2748" s="163">
        <v>3.1334427527106161</v>
      </c>
    </row>
    <row r="2749" spans="37:38" s="4" customFormat="1">
      <c r="AK2749" s="3">
        <v>2743</v>
      </c>
      <c r="AL2749" s="163">
        <v>3.1340198940755908</v>
      </c>
    </row>
    <row r="2750" spans="37:38" s="4" customFormat="1">
      <c r="AK2750" s="3">
        <v>2744</v>
      </c>
      <c r="AL2750" s="163">
        <v>3.1345972081916083</v>
      </c>
    </row>
    <row r="2751" spans="37:38" s="4" customFormat="1">
      <c r="AK2751" s="3">
        <v>2745</v>
      </c>
      <c r="AL2751" s="163">
        <v>3.1351746953117856</v>
      </c>
    </row>
    <row r="2752" spans="37:38" s="4" customFormat="1">
      <c r="AK2752" s="3">
        <v>2746</v>
      </c>
      <c r="AL2752" s="163">
        <v>3.1357523556888287</v>
      </c>
    </row>
    <row r="2753" spans="37:38" s="4" customFormat="1">
      <c r="AK2753" s="3">
        <v>2747</v>
      </c>
      <c r="AL2753" s="163">
        <v>3.1363301895750095</v>
      </c>
    </row>
    <row r="2754" spans="37:38" s="4" customFormat="1">
      <c r="AK2754" s="3">
        <v>2748</v>
      </c>
      <c r="AL2754" s="163">
        <v>3.1369081972221782</v>
      </c>
    </row>
    <row r="2755" spans="37:38" s="4" customFormat="1">
      <c r="AK2755" s="3">
        <v>2749</v>
      </c>
      <c r="AL2755" s="163">
        <v>3.1374863788817664</v>
      </c>
    </row>
    <row r="2756" spans="37:38" s="4" customFormat="1">
      <c r="AK2756" s="3">
        <v>2750</v>
      </c>
      <c r="AL2756" s="163">
        <v>3.1380647348047757</v>
      </c>
    </row>
    <row r="2757" spans="37:38" s="4" customFormat="1">
      <c r="AK2757" s="3">
        <v>2751</v>
      </c>
      <c r="AL2757" s="163">
        <v>3.1386432652417846</v>
      </c>
    </row>
    <row r="2758" spans="37:38" s="4" customFormat="1">
      <c r="AK2758" s="3">
        <v>2752</v>
      </c>
      <c r="AL2758" s="163">
        <v>3.1392219704429571</v>
      </c>
    </row>
    <row r="2759" spans="37:38" s="4" customFormat="1">
      <c r="AK2759" s="3">
        <v>2753</v>
      </c>
      <c r="AL2759" s="163">
        <v>3.1398008506580202</v>
      </c>
    </row>
    <row r="2760" spans="37:38" s="4" customFormat="1">
      <c r="AK2760" s="3">
        <v>2754</v>
      </c>
      <c r="AL2760" s="163">
        <v>3.1403799061362951</v>
      </c>
    </row>
    <row r="2761" spans="37:38" s="4" customFormat="1">
      <c r="AK2761" s="3">
        <v>2755</v>
      </c>
      <c r="AL2761" s="163">
        <v>3.1409591371266656</v>
      </c>
    </row>
    <row r="2762" spans="37:38" s="4" customFormat="1">
      <c r="AK2762" s="3">
        <v>2756</v>
      </c>
      <c r="AL2762" s="163">
        <v>3.1415385438775996</v>
      </c>
    </row>
    <row r="2763" spans="37:38" s="4" customFormat="1">
      <c r="AK2763" s="3">
        <v>2757</v>
      </c>
      <c r="AL2763" s="163">
        <v>3.1421181266371438</v>
      </c>
    </row>
    <row r="2764" spans="37:38" s="4" customFormat="1">
      <c r="AK2764" s="3">
        <v>2758</v>
      </c>
      <c r="AL2764" s="163">
        <v>3.1426978856529209</v>
      </c>
    </row>
    <row r="2765" spans="37:38" s="4" customFormat="1">
      <c r="AK2765" s="3">
        <v>2759</v>
      </c>
      <c r="AL2765" s="163">
        <v>3.1432778211721319</v>
      </c>
    </row>
    <row r="2766" spans="37:38" s="4" customFormat="1">
      <c r="AK2766" s="3">
        <v>2760</v>
      </c>
      <c r="AL2766" s="163">
        <v>3.143857933441558</v>
      </c>
    </row>
    <row r="2767" spans="37:38" s="4" customFormat="1">
      <c r="AK2767" s="3">
        <v>2761</v>
      </c>
      <c r="AL2767" s="163">
        <v>3.1444382227075569</v>
      </c>
    </row>
    <row r="2768" spans="37:38" s="4" customFormat="1">
      <c r="AK2768" s="3">
        <v>2762</v>
      </c>
      <c r="AL2768" s="163">
        <v>3.1450186892160641</v>
      </c>
    </row>
    <row r="2769" spans="37:38" s="4" customFormat="1">
      <c r="AK2769" s="3">
        <v>2763</v>
      </c>
      <c r="AL2769" s="163">
        <v>3.1455993332126004</v>
      </c>
    </row>
    <row r="2770" spans="37:38" s="4" customFormat="1">
      <c r="AK2770" s="3">
        <v>2764</v>
      </c>
      <c r="AL2770" s="163">
        <v>3.1461801549422539</v>
      </c>
    </row>
    <row r="2771" spans="37:38" s="4" customFormat="1">
      <c r="AK2771" s="3">
        <v>2765</v>
      </c>
      <c r="AL2771" s="163">
        <v>3.1467611546497056</v>
      </c>
    </row>
    <row r="2772" spans="37:38" s="4" customFormat="1">
      <c r="AK2772" s="3">
        <v>2766</v>
      </c>
      <c r="AL2772" s="163">
        <v>3.147342332579206</v>
      </c>
    </row>
    <row r="2773" spans="37:38" s="4" customFormat="1">
      <c r="AK2773" s="3">
        <v>2767</v>
      </c>
      <c r="AL2773" s="163">
        <v>3.1479236889745881</v>
      </c>
    </row>
    <row r="2774" spans="37:38" s="4" customFormat="1">
      <c r="AK2774" s="3">
        <v>2768</v>
      </c>
      <c r="AL2774" s="163">
        <v>3.1485052240792699</v>
      </c>
    </row>
    <row r="2775" spans="37:38" s="4" customFormat="1">
      <c r="AK2775" s="3">
        <v>2769</v>
      </c>
      <c r="AL2775" s="163">
        <v>3.1490869381362403</v>
      </c>
    </row>
    <row r="2776" spans="37:38" s="4" customFormat="1">
      <c r="AK2776" s="3">
        <v>2770</v>
      </c>
      <c r="AL2776" s="163">
        <v>3.1496688313880776</v>
      </c>
    </row>
    <row r="2777" spans="37:38" s="4" customFormat="1">
      <c r="AK2777" s="3">
        <v>2771</v>
      </c>
      <c r="AL2777" s="163">
        <v>3.1502509040769304</v>
      </c>
    </row>
    <row r="2778" spans="37:38" s="4" customFormat="1">
      <c r="AK2778" s="3">
        <v>2772</v>
      </c>
      <c r="AL2778" s="163">
        <v>3.15083315644454</v>
      </c>
    </row>
    <row r="2779" spans="37:38" s="4" customFormat="1">
      <c r="AK2779" s="3">
        <v>2773</v>
      </c>
      <c r="AL2779" s="163">
        <v>3.1514155887322177</v>
      </c>
    </row>
    <row r="2780" spans="37:38" s="4" customFormat="1">
      <c r="AK2780" s="3">
        <v>2774</v>
      </c>
      <c r="AL2780" s="163">
        <v>3.1519982011808594</v>
      </c>
    </row>
    <row r="2781" spans="37:38" s="4" customFormat="1">
      <c r="AK2781" s="3">
        <v>2775</v>
      </c>
      <c r="AL2781" s="163">
        <v>3.1525809940309459</v>
      </c>
    </row>
    <row r="2782" spans="37:38" s="4" customFormat="1">
      <c r="AK2782" s="3">
        <v>2776</v>
      </c>
      <c r="AL2782" s="163">
        <v>3.1531639675225334</v>
      </c>
    </row>
    <row r="2783" spans="37:38" s="4" customFormat="1">
      <c r="AK2783" s="3">
        <v>2777</v>
      </c>
      <c r="AL2783" s="163">
        <v>3.1537471218952664</v>
      </c>
    </row>
    <row r="2784" spans="37:38" s="4" customFormat="1">
      <c r="AK2784" s="3">
        <v>2778</v>
      </c>
      <c r="AL2784" s="163">
        <v>3.1543304573883648</v>
      </c>
    </row>
    <row r="2785" spans="37:38" s="4" customFormat="1">
      <c r="AK2785" s="3">
        <v>2779</v>
      </c>
      <c r="AL2785" s="163">
        <v>3.1549139742406309</v>
      </c>
    </row>
    <row r="2786" spans="37:38" s="4" customFormat="1">
      <c r="AK2786" s="3">
        <v>2780</v>
      </c>
      <c r="AL2786" s="163">
        <v>3.1554976726904513</v>
      </c>
    </row>
    <row r="2787" spans="37:38" s="4" customFormat="1">
      <c r="AK2787" s="3">
        <v>2781</v>
      </c>
      <c r="AL2787" s="163">
        <v>3.1560815529757997</v>
      </c>
    </row>
    <row r="2788" spans="37:38" s="4" customFormat="1">
      <c r="AK2788" s="3">
        <v>2782</v>
      </c>
      <c r="AL2788" s="163">
        <v>3.1566656153342199</v>
      </c>
    </row>
    <row r="2789" spans="37:38" s="4" customFormat="1">
      <c r="AK2789" s="3">
        <v>2783</v>
      </c>
      <c r="AL2789" s="163">
        <v>3.1572498600028513</v>
      </c>
    </row>
    <row r="2790" spans="37:38" s="4" customFormat="1">
      <c r="AK2790" s="3">
        <v>2784</v>
      </c>
      <c r="AL2790" s="163">
        <v>3.1578342872184075</v>
      </c>
    </row>
    <row r="2791" spans="37:38" s="4" customFormat="1">
      <c r="AK2791" s="3">
        <v>2785</v>
      </c>
      <c r="AL2791" s="163">
        <v>3.1584188972171847</v>
      </c>
    </row>
    <row r="2792" spans="37:38" s="4" customFormat="1">
      <c r="AK2792" s="3">
        <v>2786</v>
      </c>
      <c r="AL2792" s="163">
        <v>3.1590036902350702</v>
      </c>
    </row>
    <row r="2793" spans="37:38" s="4" customFormat="1">
      <c r="AK2793" s="3">
        <v>2787</v>
      </c>
      <c r="AL2793" s="163">
        <v>3.1595886665075259</v>
      </c>
    </row>
    <row r="2794" spans="37:38" s="4" customFormat="1">
      <c r="AK2794" s="3">
        <v>2788</v>
      </c>
      <c r="AL2794" s="163">
        <v>3.1601738262696051</v>
      </c>
    </row>
    <row r="2795" spans="37:38" s="4" customFormat="1">
      <c r="AK2795" s="3">
        <v>2789</v>
      </c>
      <c r="AL2795" s="163">
        <v>3.1607591697559405</v>
      </c>
    </row>
    <row r="2796" spans="37:38" s="4" customFormat="1">
      <c r="AK2796" s="3">
        <v>2790</v>
      </c>
      <c r="AL2796" s="163">
        <v>3.1613446972007435</v>
      </c>
    </row>
    <row r="2797" spans="37:38" s="4" customFormat="1">
      <c r="AK2797" s="3">
        <v>2791</v>
      </c>
      <c r="AL2797" s="163">
        <v>3.1619304088378226</v>
      </c>
    </row>
    <row r="2798" spans="37:38" s="4" customFormat="1">
      <c r="AK2798" s="3">
        <v>2792</v>
      </c>
      <c r="AL2798" s="163">
        <v>3.1625163049005565</v>
      </c>
    </row>
    <row r="2799" spans="37:38" s="4" customFormat="1">
      <c r="AK2799" s="3">
        <v>2793</v>
      </c>
      <c r="AL2799" s="163">
        <v>3.1631023856219169</v>
      </c>
    </row>
    <row r="2800" spans="37:38" s="4" customFormat="1">
      <c r="AK2800" s="3">
        <v>2794</v>
      </c>
      <c r="AL2800" s="163">
        <v>3.1636886512344606</v>
      </c>
    </row>
    <row r="2801" spans="37:38" s="4" customFormat="1">
      <c r="AK2801" s="3">
        <v>2795</v>
      </c>
      <c r="AL2801" s="163">
        <v>3.1642751019703264</v>
      </c>
    </row>
    <row r="2802" spans="37:38" s="4" customFormat="1">
      <c r="AK2802" s="3">
        <v>2796</v>
      </c>
      <c r="AL2802" s="163">
        <v>3.1648617380612358</v>
      </c>
    </row>
    <row r="2803" spans="37:38" s="4" customFormat="1">
      <c r="AK2803" s="3">
        <v>2797</v>
      </c>
      <c r="AL2803" s="163">
        <v>3.1654485597385009</v>
      </c>
    </row>
    <row r="2804" spans="37:38" s="4" customFormat="1">
      <c r="AK2804" s="3">
        <v>2798</v>
      </c>
      <c r="AL2804" s="163">
        <v>3.1660355672330134</v>
      </c>
    </row>
    <row r="2805" spans="37:38" s="4" customFormat="1">
      <c r="AK2805" s="3">
        <v>2799</v>
      </c>
      <c r="AL2805" s="163">
        <v>3.1666227607752555</v>
      </c>
    </row>
    <row r="2806" spans="37:38" s="4" customFormat="1">
      <c r="AK2806" s="3">
        <v>2800</v>
      </c>
      <c r="AL2806" s="163">
        <v>3.1672101405952926</v>
      </c>
    </row>
    <row r="2807" spans="37:38" s="4" customFormat="1">
      <c r="AK2807" s="3">
        <v>2801</v>
      </c>
      <c r="AL2807" s="163">
        <v>3.167797706922777</v>
      </c>
    </row>
    <row r="2808" spans="37:38" s="4" customFormat="1">
      <c r="AK2808" s="3">
        <v>2802</v>
      </c>
      <c r="AL2808" s="163">
        <v>3.1683854599869461</v>
      </c>
    </row>
    <row r="2809" spans="37:38" s="4" customFormat="1">
      <c r="AK2809" s="3">
        <v>2803</v>
      </c>
      <c r="AL2809" s="163">
        <v>3.1689734000166272</v>
      </c>
    </row>
    <row r="2810" spans="37:38" s="4" customFormat="1">
      <c r="AK2810" s="3">
        <v>2804</v>
      </c>
      <c r="AL2810" s="163">
        <v>3.1695615272402256</v>
      </c>
    </row>
    <row r="2811" spans="37:38" s="4" customFormat="1">
      <c r="AK2811" s="3">
        <v>2805</v>
      </c>
      <c r="AL2811" s="163">
        <v>3.1701498418857414</v>
      </c>
    </row>
    <row r="2812" spans="37:38" s="4" customFormat="1">
      <c r="AK2812" s="3">
        <v>2806</v>
      </c>
      <c r="AL2812" s="163">
        <v>3.1707383441807595</v>
      </c>
    </row>
    <row r="2813" spans="37:38" s="4" customFormat="1">
      <c r="AK2813" s="3">
        <v>2807</v>
      </c>
      <c r="AL2813" s="163">
        <v>3.17132703435245</v>
      </c>
    </row>
    <row r="2814" spans="37:38" s="4" customFormat="1">
      <c r="AK2814" s="3">
        <v>2808</v>
      </c>
      <c r="AL2814" s="163">
        <v>3.1719159126275747</v>
      </c>
    </row>
    <row r="2815" spans="37:38" s="4" customFormat="1">
      <c r="AK2815" s="3">
        <v>2809</v>
      </c>
      <c r="AL2815" s="163">
        <v>3.1725049792324747</v>
      </c>
    </row>
    <row r="2816" spans="37:38" s="4" customFormat="1">
      <c r="AK2816" s="3">
        <v>2810</v>
      </c>
      <c r="AL2816" s="163">
        <v>3.1730942343930848</v>
      </c>
    </row>
    <row r="2817" spans="37:38" s="4" customFormat="1">
      <c r="AK2817" s="3">
        <v>2811</v>
      </c>
      <c r="AL2817" s="163">
        <v>3.1736836783349269</v>
      </c>
    </row>
    <row r="2818" spans="37:38" s="4" customFormat="1">
      <c r="AK2818" s="3">
        <v>2812</v>
      </c>
      <c r="AL2818" s="163">
        <v>3.1742733112831099</v>
      </c>
    </row>
    <row r="2819" spans="37:38" s="4" customFormat="1">
      <c r="AK2819" s="3">
        <v>2813</v>
      </c>
      <c r="AL2819" s="163">
        <v>3.1748631334623312</v>
      </c>
    </row>
    <row r="2820" spans="37:38" s="4" customFormat="1">
      <c r="AK2820" s="3">
        <v>2814</v>
      </c>
      <c r="AL2820" s="163">
        <v>3.1754531450968755</v>
      </c>
    </row>
    <row r="2821" spans="37:38" s="4" customFormat="1">
      <c r="AK2821" s="3">
        <v>2815</v>
      </c>
      <c r="AL2821" s="163">
        <v>3.1760433464106184</v>
      </c>
    </row>
    <row r="2822" spans="37:38" s="4" customFormat="1">
      <c r="AK2822" s="3">
        <v>2816</v>
      </c>
      <c r="AL2822" s="163">
        <v>3.1766337376270224</v>
      </c>
    </row>
    <row r="2823" spans="37:38" s="4" customFormat="1">
      <c r="AK2823" s="3">
        <v>2817</v>
      </c>
      <c r="AL2823" s="163">
        <v>3.1772243189691354</v>
      </c>
    </row>
    <row r="2824" spans="37:38" s="4" customFormat="1">
      <c r="AK2824" s="3">
        <v>2818</v>
      </c>
      <c r="AL2824" s="163">
        <v>3.1778150906596032</v>
      </c>
    </row>
    <row r="2825" spans="37:38" s="4" customFormat="1">
      <c r="AK2825" s="3">
        <v>2819</v>
      </c>
      <c r="AL2825" s="163">
        <v>3.178406052920653</v>
      </c>
    </row>
    <row r="2826" spans="37:38" s="4" customFormat="1">
      <c r="AK2826" s="3">
        <v>2820</v>
      </c>
      <c r="AL2826" s="163">
        <v>3.1789972059741038</v>
      </c>
    </row>
    <row r="2827" spans="37:38" s="4" customFormat="1">
      <c r="AK2827" s="3">
        <v>2821</v>
      </c>
      <c r="AL2827" s="163">
        <v>3.1795885500413625</v>
      </c>
    </row>
    <row r="2828" spans="37:38" s="4" customFormat="1">
      <c r="AK2828" s="3">
        <v>2822</v>
      </c>
      <c r="AL2828" s="163">
        <v>3.1801800853434328</v>
      </c>
    </row>
    <row r="2829" spans="37:38" s="4" customFormat="1">
      <c r="AK2829" s="3">
        <v>2823</v>
      </c>
      <c r="AL2829" s="163">
        <v>3.1807718121008994</v>
      </c>
    </row>
    <row r="2830" spans="37:38" s="4" customFormat="1">
      <c r="AK2830" s="3">
        <v>2824</v>
      </c>
      <c r="AL2830" s="163">
        <v>3.1813637305339419</v>
      </c>
    </row>
    <row r="2831" spans="37:38" s="4" customFormat="1">
      <c r="AK2831" s="3">
        <v>2825</v>
      </c>
      <c r="AL2831" s="163">
        <v>3.1819558408623294</v>
      </c>
    </row>
    <row r="2832" spans="37:38" s="4" customFormat="1">
      <c r="AK2832" s="3">
        <v>2826</v>
      </c>
      <c r="AL2832" s="163">
        <v>3.1825481433054188</v>
      </c>
    </row>
    <row r="2833" spans="37:38" s="4" customFormat="1">
      <c r="AK2833" s="3">
        <v>2827</v>
      </c>
      <c r="AL2833" s="163">
        <v>3.1831406380821634</v>
      </c>
    </row>
    <row r="2834" spans="37:38" s="4" customFormat="1">
      <c r="AK2834" s="3">
        <v>2828</v>
      </c>
      <c r="AL2834" s="163">
        <v>3.1837333254111027</v>
      </c>
    </row>
    <row r="2835" spans="37:38" s="4" customFormat="1">
      <c r="AK2835" s="3">
        <v>2829</v>
      </c>
      <c r="AL2835" s="163">
        <v>3.1843262055103714</v>
      </c>
    </row>
    <row r="2836" spans="37:38" s="4" customFormat="1">
      <c r="AK2836" s="3">
        <v>2830</v>
      </c>
      <c r="AL2836" s="163">
        <v>3.1849192785976879</v>
      </c>
    </row>
    <row r="2837" spans="37:38" s="4" customFormat="1">
      <c r="AK2837" s="3">
        <v>2831</v>
      </c>
      <c r="AL2837" s="163">
        <v>3.1855125448903725</v>
      </c>
    </row>
    <row r="2838" spans="37:38" s="4" customFormat="1">
      <c r="AK2838" s="3">
        <v>2832</v>
      </c>
      <c r="AL2838" s="163">
        <v>3.1861060046053282</v>
      </c>
    </row>
    <row r="2839" spans="37:38" s="4" customFormat="1">
      <c r="AK2839" s="3">
        <v>2833</v>
      </c>
      <c r="AL2839" s="163">
        <v>3.1866996579590525</v>
      </c>
    </row>
    <row r="2840" spans="37:38" s="4" customFormat="1">
      <c r="AK2840" s="3">
        <v>2834</v>
      </c>
      <c r="AL2840" s="163">
        <v>3.187293505167637</v>
      </c>
    </row>
    <row r="2841" spans="37:38" s="4" customFormat="1">
      <c r="AK2841" s="3">
        <v>2835</v>
      </c>
      <c r="AL2841" s="163">
        <v>3.1878875464467633</v>
      </c>
    </row>
    <row r="2842" spans="37:38" s="4" customFormat="1">
      <c r="AK2842" s="3">
        <v>2836</v>
      </c>
      <c r="AL2842" s="163">
        <v>3.1884817820117068</v>
      </c>
    </row>
    <row r="2843" spans="37:38" s="4" customFormat="1">
      <c r="AK2843" s="3">
        <v>2837</v>
      </c>
      <c r="AL2843" s="163">
        <v>3.1890762120773348</v>
      </c>
    </row>
    <row r="2844" spans="37:38" s="4" customFormat="1">
      <c r="AK2844" s="3">
        <v>2838</v>
      </c>
      <c r="AL2844" s="163">
        <v>3.1896708368581073</v>
      </c>
    </row>
    <row r="2845" spans="37:38" s="4" customFormat="1">
      <c r="AK2845" s="3">
        <v>2839</v>
      </c>
      <c r="AL2845" s="163">
        <v>3.1902656565680756</v>
      </c>
    </row>
    <row r="2846" spans="37:38" s="4" customFormat="1">
      <c r="AK2846" s="3">
        <v>2840</v>
      </c>
      <c r="AL2846" s="163">
        <v>3.1908606714208845</v>
      </c>
    </row>
    <row r="2847" spans="37:38" s="4" customFormat="1">
      <c r="AK2847" s="3">
        <v>2841</v>
      </c>
      <c r="AL2847" s="163">
        <v>3.1914558816297771</v>
      </c>
    </row>
    <row r="2848" spans="37:38" s="4" customFormat="1">
      <c r="AK2848" s="3">
        <v>2842</v>
      </c>
      <c r="AL2848" s="163">
        <v>3.192051287407585</v>
      </c>
    </row>
    <row r="2849" spans="37:38" s="4" customFormat="1">
      <c r="AK2849" s="3">
        <v>2843</v>
      </c>
      <c r="AL2849" s="163">
        <v>3.1926468889667308</v>
      </c>
    </row>
    <row r="2850" spans="37:38" s="4" customFormat="1">
      <c r="AK2850" s="3">
        <v>2844</v>
      </c>
      <c r="AL2850" s="163">
        <v>3.1932426865192367</v>
      </c>
    </row>
    <row r="2851" spans="37:38" s="4" customFormat="1">
      <c r="AK2851" s="3">
        <v>2845</v>
      </c>
      <c r="AL2851" s="163">
        <v>3.1938386802767158</v>
      </c>
    </row>
    <row r="2852" spans="37:38" s="4" customFormat="1">
      <c r="AK2852" s="3">
        <v>2846</v>
      </c>
      <c r="AL2852" s="163">
        <v>3.1944348704503778</v>
      </c>
    </row>
    <row r="2853" spans="37:38" s="4" customFormat="1">
      <c r="AK2853" s="3">
        <v>2847</v>
      </c>
      <c r="AL2853" s="163">
        <v>3.1950312572510229</v>
      </c>
    </row>
    <row r="2854" spans="37:38" s="4" customFormat="1">
      <c r="AK2854" s="3">
        <v>2848</v>
      </c>
      <c r="AL2854" s="163">
        <v>3.1956278408890495</v>
      </c>
    </row>
    <row r="2855" spans="37:38" s="4" customFormat="1">
      <c r="AK2855" s="3">
        <v>2849</v>
      </c>
      <c r="AL2855" s="163">
        <v>3.1962246215744496</v>
      </c>
    </row>
    <row r="2856" spans="37:38" s="4" customFormat="1">
      <c r="AK2856" s="3">
        <v>2850</v>
      </c>
      <c r="AL2856" s="163">
        <v>3.1968215995168108</v>
      </c>
    </row>
    <row r="2857" spans="37:38" s="4" customFormat="1">
      <c r="AK2857" s="3">
        <v>2851</v>
      </c>
      <c r="AL2857" s="163">
        <v>3.197418774925314</v>
      </c>
    </row>
    <row r="2858" spans="37:38" s="4" customFormat="1">
      <c r="AK2858" s="3">
        <v>2852</v>
      </c>
      <c r="AL2858" s="163">
        <v>3.198016148008735</v>
      </c>
    </row>
    <row r="2859" spans="37:38" s="4" customFormat="1">
      <c r="AK2859" s="3">
        <v>2853</v>
      </c>
      <c r="AL2859" s="163">
        <v>3.1986137189754444</v>
      </c>
    </row>
    <row r="2860" spans="37:38" s="4" customFormat="1">
      <c r="AK2860" s="3">
        <v>2854</v>
      </c>
      <c r="AL2860" s="163">
        <v>3.1992114880334159</v>
      </c>
    </row>
    <row r="2861" spans="37:38" s="4" customFormat="1">
      <c r="AK2861" s="3">
        <v>2855</v>
      </c>
      <c r="AL2861" s="163">
        <v>3.1998094553902123</v>
      </c>
    </row>
    <row r="2862" spans="37:38" s="4" customFormat="1">
      <c r="AK2862" s="3">
        <v>2856</v>
      </c>
      <c r="AL2862" s="163">
        <v>3.2004076212529879</v>
      </c>
    </row>
    <row r="2863" spans="37:38" s="4" customFormat="1">
      <c r="AK2863" s="3">
        <v>2857</v>
      </c>
      <c r="AL2863" s="163">
        <v>3.2010059858285023</v>
      </c>
    </row>
    <row r="2864" spans="37:38" s="4" customFormat="1">
      <c r="AK2864" s="3">
        <v>2858</v>
      </c>
      <c r="AL2864" s="163">
        <v>3.2016045493231133</v>
      </c>
    </row>
    <row r="2865" spans="37:38" s="4" customFormat="1">
      <c r="AK2865" s="3">
        <v>2859</v>
      </c>
      <c r="AL2865" s="163">
        <v>3.20220331194276</v>
      </c>
    </row>
    <row r="2866" spans="37:38" s="4" customFormat="1">
      <c r="AK2866" s="3">
        <v>2860</v>
      </c>
      <c r="AL2866" s="163">
        <v>3.2028022738929969</v>
      </c>
    </row>
    <row r="2867" spans="37:38" s="4" customFormat="1">
      <c r="AK2867" s="3">
        <v>2861</v>
      </c>
      <c r="AL2867" s="163">
        <v>3.2034014353789604</v>
      </c>
    </row>
    <row r="2868" spans="37:38" s="4" customFormat="1">
      <c r="AK2868" s="3">
        <v>2862</v>
      </c>
      <c r="AL2868" s="163">
        <v>3.2040007966053992</v>
      </c>
    </row>
    <row r="2869" spans="37:38" s="4" customFormat="1">
      <c r="AK2869" s="3">
        <v>2863</v>
      </c>
      <c r="AL2869" s="163">
        <v>3.2046003577766387</v>
      </c>
    </row>
    <row r="2870" spans="37:38" s="4" customFormat="1">
      <c r="AK2870" s="3">
        <v>2864</v>
      </c>
      <c r="AL2870" s="163">
        <v>3.2052001190966251</v>
      </c>
    </row>
    <row r="2871" spans="37:38" s="4" customFormat="1">
      <c r="AK2871" s="3">
        <v>2865</v>
      </c>
      <c r="AL2871" s="163">
        <v>3.20580008076888</v>
      </c>
    </row>
    <row r="2872" spans="37:38" s="4" customFormat="1">
      <c r="AK2872" s="3">
        <v>2866</v>
      </c>
      <c r="AL2872" s="163">
        <v>3.2064002429965397</v>
      </c>
    </row>
    <row r="2873" spans="37:38" s="4" customFormat="1">
      <c r="AK2873" s="3">
        <v>2867</v>
      </c>
      <c r="AL2873" s="163">
        <v>3.2070006059823313</v>
      </c>
    </row>
    <row r="2874" spans="37:38" s="4" customFormat="1">
      <c r="AK2874" s="3">
        <v>2868</v>
      </c>
      <c r="AL2874" s="163">
        <v>3.2076011699285814</v>
      </c>
    </row>
    <row r="2875" spans="37:38" s="4" customFormat="1">
      <c r="AK2875" s="3">
        <v>2869</v>
      </c>
      <c r="AL2875" s="163">
        <v>3.2082019350372173</v>
      </c>
    </row>
    <row r="2876" spans="37:38" s="4" customFormat="1">
      <c r="AK2876" s="3">
        <v>2870</v>
      </c>
      <c r="AL2876" s="163">
        <v>3.2088029015097579</v>
      </c>
    </row>
    <row r="2877" spans="37:38" s="4" customFormat="1">
      <c r="AK2877" s="3">
        <v>2871</v>
      </c>
      <c r="AL2877" s="163">
        <v>3.2094040695473267</v>
      </c>
    </row>
    <row r="2878" spans="37:38" s="4" customFormat="1">
      <c r="AK2878" s="3">
        <v>2872</v>
      </c>
      <c r="AL2878" s="163">
        <v>3.2100054393506463</v>
      </c>
    </row>
    <row r="2879" spans="37:38" s="4" customFormat="1">
      <c r="AK2879" s="3">
        <v>2873</v>
      </c>
      <c r="AL2879" s="163">
        <v>3.210607011120036</v>
      </c>
    </row>
    <row r="2880" spans="37:38" s="4" customFormat="1">
      <c r="AK2880" s="3">
        <v>2874</v>
      </c>
      <c r="AL2880" s="163">
        <v>3.2112087850554141</v>
      </c>
    </row>
    <row r="2881" spans="37:38" s="4" customFormat="1">
      <c r="AK2881" s="3">
        <v>2875</v>
      </c>
      <c r="AL2881" s="163">
        <v>3.2118107613563041</v>
      </c>
    </row>
    <row r="2882" spans="37:38" s="4" customFormat="1">
      <c r="AK2882" s="3">
        <v>2876</v>
      </c>
      <c r="AL2882" s="163">
        <v>3.2124129402218191</v>
      </c>
    </row>
    <row r="2883" spans="37:38" s="4" customFormat="1">
      <c r="AK2883" s="3">
        <v>2877</v>
      </c>
      <c r="AL2883" s="163">
        <v>3.2130153218506807</v>
      </c>
    </row>
    <row r="2884" spans="37:38" s="4" customFormat="1">
      <c r="AK2884" s="3">
        <v>2878</v>
      </c>
      <c r="AL2884" s="163">
        <v>3.2136179064412098</v>
      </c>
    </row>
    <row r="2885" spans="37:38" s="4" customFormat="1">
      <c r="AK2885" s="3">
        <v>2879</v>
      </c>
      <c r="AL2885" s="163">
        <v>3.2142206941913196</v>
      </c>
    </row>
    <row r="2886" spans="37:38" s="4" customFormat="1">
      <c r="AK2886" s="3">
        <v>2880</v>
      </c>
      <c r="AL2886" s="163">
        <v>3.2148236852985335</v>
      </c>
    </row>
    <row r="2887" spans="37:38" s="4" customFormat="1">
      <c r="AK2887" s="3">
        <v>2881</v>
      </c>
      <c r="AL2887" s="163">
        <v>3.2154268799599683</v>
      </c>
    </row>
    <row r="2888" spans="37:38" s="4" customFormat="1">
      <c r="AK2888" s="3">
        <v>2882</v>
      </c>
      <c r="AL2888" s="163">
        <v>3.2160302783723504</v>
      </c>
    </row>
    <row r="2889" spans="37:38" s="4" customFormat="1">
      <c r="AK2889" s="3">
        <v>2883</v>
      </c>
      <c r="AL2889" s="163">
        <v>3.2166338807319974</v>
      </c>
    </row>
    <row r="2890" spans="37:38" s="4" customFormat="1">
      <c r="AK2890" s="3">
        <v>2884</v>
      </c>
      <c r="AL2890" s="163">
        <v>3.2172376872348329</v>
      </c>
    </row>
    <row r="2891" spans="37:38" s="4" customFormat="1">
      <c r="AK2891" s="3">
        <v>2885</v>
      </c>
      <c r="AL2891" s="163">
        <v>3.2178416980763767</v>
      </c>
    </row>
    <row r="2892" spans="37:38" s="4" customFormat="1">
      <c r="AK2892" s="3">
        <v>2886</v>
      </c>
      <c r="AL2892" s="163">
        <v>3.2184459134517622</v>
      </c>
    </row>
    <row r="2893" spans="37:38" s="4" customFormat="1">
      <c r="AK2893" s="3">
        <v>2887</v>
      </c>
      <c r="AL2893" s="163">
        <v>3.2190503335557112</v>
      </c>
    </row>
    <row r="2894" spans="37:38" s="4" customFormat="1">
      <c r="AK2894" s="3">
        <v>2888</v>
      </c>
      <c r="AL2894" s="163">
        <v>3.2196549585825567</v>
      </c>
    </row>
    <row r="2895" spans="37:38" s="4" customFormat="1">
      <c r="AK2895" s="3">
        <v>2889</v>
      </c>
      <c r="AL2895" s="163">
        <v>3.2202597887262283</v>
      </c>
    </row>
    <row r="2896" spans="37:38" s="4" customFormat="1">
      <c r="AK2896" s="3">
        <v>2890</v>
      </c>
      <c r="AL2896" s="163">
        <v>3.2208648241802567</v>
      </c>
    </row>
    <row r="2897" spans="37:38" s="4" customFormat="1">
      <c r="AK2897" s="3">
        <v>2891</v>
      </c>
      <c r="AL2897" s="163">
        <v>3.2214700651377828</v>
      </c>
    </row>
    <row r="2898" spans="37:38" s="4" customFormat="1">
      <c r="AK2898" s="3">
        <v>2892</v>
      </c>
      <c r="AL2898" s="163">
        <v>3.2220755117915414</v>
      </c>
    </row>
    <row r="2899" spans="37:38" s="4" customFormat="1">
      <c r="AK2899" s="3">
        <v>2893</v>
      </c>
      <c r="AL2899" s="163">
        <v>3.2226811643338795</v>
      </c>
    </row>
    <row r="2900" spans="37:38" s="4" customFormat="1">
      <c r="AK2900" s="3">
        <v>2894</v>
      </c>
      <c r="AL2900" s="163">
        <v>3.2232870229567339</v>
      </c>
    </row>
    <row r="2901" spans="37:38" s="4" customFormat="1">
      <c r="AK2901" s="3">
        <v>2895</v>
      </c>
      <c r="AL2901" s="163">
        <v>3.2238930878516587</v>
      </c>
    </row>
    <row r="2902" spans="37:38" s="4" customFormat="1">
      <c r="AK2902" s="3">
        <v>2896</v>
      </c>
      <c r="AL2902" s="163">
        <v>3.2244993592098012</v>
      </c>
    </row>
    <row r="2903" spans="37:38" s="4" customFormat="1">
      <c r="AK2903" s="3">
        <v>2897</v>
      </c>
      <c r="AL2903" s="163">
        <v>3.2251058372219168</v>
      </c>
    </row>
    <row r="2904" spans="37:38" s="4" customFormat="1">
      <c r="AK2904" s="3">
        <v>2898</v>
      </c>
      <c r="AL2904" s="163">
        <v>3.2257125220783647</v>
      </c>
    </row>
    <row r="2905" spans="37:38" s="4" customFormat="1">
      <c r="AK2905" s="3">
        <v>2899</v>
      </c>
      <c r="AL2905" s="163">
        <v>3.2263194139691054</v>
      </c>
    </row>
    <row r="2906" spans="37:38" s="4" customFormat="1">
      <c r="AK2906" s="3">
        <v>2900</v>
      </c>
      <c r="AL2906" s="163">
        <v>3.2269265130837042</v>
      </c>
    </row>
    <row r="2907" spans="37:38" s="4" customFormat="1">
      <c r="AK2907" s="3">
        <v>2901</v>
      </c>
      <c r="AL2907" s="163">
        <v>3.2275338196113368</v>
      </c>
    </row>
    <row r="2908" spans="37:38" s="4" customFormat="1">
      <c r="AK2908" s="3">
        <v>2902</v>
      </c>
      <c r="AL2908" s="163">
        <v>3.2281413337407718</v>
      </c>
    </row>
    <row r="2909" spans="37:38" s="4" customFormat="1">
      <c r="AK2909" s="3">
        <v>2903</v>
      </c>
      <c r="AL2909" s="163">
        <v>3.2287490556603933</v>
      </c>
    </row>
    <row r="2910" spans="37:38" s="4" customFormat="1">
      <c r="AK2910" s="3">
        <v>2904</v>
      </c>
      <c r="AL2910" s="163">
        <v>3.2293569855581818</v>
      </c>
    </row>
    <row r="2911" spans="37:38" s="4" customFormat="1">
      <c r="AK2911" s="3">
        <v>2905</v>
      </c>
      <c r="AL2911" s="163">
        <v>3.2299651236217297</v>
      </c>
    </row>
    <row r="2912" spans="37:38" s="4" customFormat="1">
      <c r="AK2912" s="3">
        <v>2906</v>
      </c>
      <c r="AL2912" s="163">
        <v>3.2305734700382329</v>
      </c>
    </row>
    <row r="2913" spans="37:38" s="4" customFormat="1">
      <c r="AK2913" s="3">
        <v>2907</v>
      </c>
      <c r="AL2913" s="163">
        <v>3.2311820249944856</v>
      </c>
    </row>
    <row r="2914" spans="37:38" s="4" customFormat="1">
      <c r="AK2914" s="3">
        <v>2908</v>
      </c>
      <c r="AL2914" s="163">
        <v>3.2317907886769008</v>
      </c>
    </row>
    <row r="2915" spans="37:38" s="4" customFormat="1">
      <c r="AK2915" s="3">
        <v>2909</v>
      </c>
      <c r="AL2915" s="163">
        <v>3.2323997612714823</v>
      </c>
    </row>
    <row r="2916" spans="37:38" s="4" customFormat="1">
      <c r="AK2916" s="3">
        <v>2910</v>
      </c>
      <c r="AL2916" s="163">
        <v>3.2330089429638527</v>
      </c>
    </row>
    <row r="2917" spans="37:38" s="4" customFormat="1">
      <c r="AK2917" s="3">
        <v>2911</v>
      </c>
      <c r="AL2917" s="163">
        <v>3.2336183339392348</v>
      </c>
    </row>
    <row r="2918" spans="37:38" s="4" customFormat="1">
      <c r="AK2918" s="3">
        <v>2912</v>
      </c>
      <c r="AL2918" s="163">
        <v>3.2342279343824551</v>
      </c>
    </row>
    <row r="2919" spans="37:38" s="4" customFormat="1">
      <c r="AK2919" s="3">
        <v>2913</v>
      </c>
      <c r="AL2919" s="163">
        <v>3.234837744477951</v>
      </c>
    </row>
    <row r="2920" spans="37:38" s="4" customFormat="1">
      <c r="AK2920" s="3">
        <v>2914</v>
      </c>
      <c r="AL2920" s="163">
        <v>3.2354477644097659</v>
      </c>
    </row>
    <row r="2921" spans="37:38" s="4" customFormat="1">
      <c r="AK2921" s="3">
        <v>2915</v>
      </c>
      <c r="AL2921" s="163">
        <v>3.2360579943615515</v>
      </c>
    </row>
    <row r="2922" spans="37:38" s="4" customFormat="1">
      <c r="AK2922" s="3">
        <v>2916</v>
      </c>
      <c r="AL2922" s="163">
        <v>3.2366684345165608</v>
      </c>
    </row>
    <row r="2923" spans="37:38" s="4" customFormat="1">
      <c r="AK2923" s="3">
        <v>2917</v>
      </c>
      <c r="AL2923" s="163">
        <v>3.2372790850576556</v>
      </c>
    </row>
    <row r="2924" spans="37:38" s="4" customFormat="1">
      <c r="AK2924" s="3">
        <v>2918</v>
      </c>
      <c r="AL2924" s="163">
        <v>3.2378899461673134</v>
      </c>
    </row>
    <row r="2925" spans="37:38" s="4" customFormat="1">
      <c r="AK2925" s="3">
        <v>2919</v>
      </c>
      <c r="AL2925" s="163">
        <v>3.2385010180276108</v>
      </c>
    </row>
    <row r="2926" spans="37:38" s="4" customFormat="1">
      <c r="AK2926" s="3">
        <v>2920</v>
      </c>
      <c r="AL2926" s="163">
        <v>3.2391123008202305</v>
      </c>
    </row>
    <row r="2927" spans="37:38" s="4" customFormat="1">
      <c r="AK2927" s="3">
        <v>2921</v>
      </c>
      <c r="AL2927" s="163">
        <v>3.2397237947264728</v>
      </c>
    </row>
    <row r="2928" spans="37:38" s="4" customFormat="1">
      <c r="AK2928" s="3">
        <v>2922</v>
      </c>
      <c r="AL2928" s="163">
        <v>3.2403354999272369</v>
      </c>
    </row>
    <row r="2929" spans="37:38" s="4" customFormat="1">
      <c r="AK2929" s="3">
        <v>2923</v>
      </c>
      <c r="AL2929" s="163">
        <v>3.2409474166030323</v>
      </c>
    </row>
    <row r="2930" spans="37:38" s="4" customFormat="1">
      <c r="AK2930" s="3">
        <v>2924</v>
      </c>
      <c r="AL2930" s="163">
        <v>3.2415595449339794</v>
      </c>
    </row>
    <row r="2931" spans="37:38" s="4" customFormat="1">
      <c r="AK2931" s="3">
        <v>2925</v>
      </c>
      <c r="AL2931" s="163">
        <v>3.242171885099812</v>
      </c>
    </row>
    <row r="2932" spans="37:38" s="4" customFormat="1">
      <c r="AK2932" s="3">
        <v>2926</v>
      </c>
      <c r="AL2932" s="163">
        <v>3.2427844372798584</v>
      </c>
    </row>
    <row r="2933" spans="37:38" s="4" customFormat="1">
      <c r="AK2933" s="3">
        <v>2927</v>
      </c>
      <c r="AL2933" s="163">
        <v>3.2433972016530688</v>
      </c>
    </row>
    <row r="2934" spans="37:38" s="4" customFormat="1">
      <c r="AK2934" s="3">
        <v>2928</v>
      </c>
      <c r="AL2934" s="163">
        <v>3.244010178397998</v>
      </c>
    </row>
    <row r="2935" spans="37:38" s="4" customFormat="1">
      <c r="AK2935" s="3">
        <v>2929</v>
      </c>
      <c r="AL2935" s="163">
        <v>3.2446233676928111</v>
      </c>
    </row>
    <row r="2936" spans="37:38" s="4" customFormat="1">
      <c r="AK2936" s="3">
        <v>2930</v>
      </c>
      <c r="AL2936" s="163">
        <v>3.245236769715282</v>
      </c>
    </row>
    <row r="2937" spans="37:38" s="4" customFormat="1">
      <c r="AK2937" s="3">
        <v>2931</v>
      </c>
      <c r="AL2937" s="163">
        <v>3.2458503846427935</v>
      </c>
    </row>
    <row r="2938" spans="37:38" s="4" customFormat="1">
      <c r="AK2938" s="3">
        <v>2932</v>
      </c>
      <c r="AL2938" s="163">
        <v>3.2464642126523398</v>
      </c>
    </row>
    <row r="2939" spans="37:38" s="4" customFormat="1">
      <c r="AK2939" s="3">
        <v>2933</v>
      </c>
      <c r="AL2939" s="163">
        <v>3.2470782539205274</v>
      </c>
    </row>
    <row r="2940" spans="37:38" s="4" customFormat="1">
      <c r="AK2940" s="3">
        <v>2934</v>
      </c>
      <c r="AL2940" s="163">
        <v>3.2476925086235702</v>
      </c>
    </row>
    <row r="2941" spans="37:38" s="4" customFormat="1">
      <c r="AK2941" s="3">
        <v>2935</v>
      </c>
      <c r="AL2941" s="163">
        <v>3.2483069769372883</v>
      </c>
    </row>
    <row r="2942" spans="37:38" s="4" customFormat="1">
      <c r="AK2942" s="3">
        <v>2936</v>
      </c>
      <c r="AL2942" s="163">
        <v>3.248921659037125</v>
      </c>
    </row>
    <row r="2943" spans="37:38" s="4" customFormat="1">
      <c r="AK2943" s="3">
        <v>2937</v>
      </c>
      <c r="AL2943" s="163">
        <v>3.2495365550981212</v>
      </c>
    </row>
    <row r="2944" spans="37:38" s="4" customFormat="1">
      <c r="AK2944" s="3">
        <v>2938</v>
      </c>
      <c r="AL2944" s="163">
        <v>3.2501516652949354</v>
      </c>
    </row>
    <row r="2945" spans="37:38" s="4" customFormat="1">
      <c r="AK2945" s="3">
        <v>2939</v>
      </c>
      <c r="AL2945" s="163">
        <v>3.2507669898018383</v>
      </c>
    </row>
    <row r="2946" spans="37:38" s="4" customFormat="1">
      <c r="AK2946" s="3">
        <v>2940</v>
      </c>
      <c r="AL2946" s="163">
        <v>3.2513825287927096</v>
      </c>
    </row>
    <row r="2947" spans="37:38" s="4" customFormat="1">
      <c r="AK2947" s="3">
        <v>2941</v>
      </c>
      <c r="AL2947" s="163">
        <v>3.2519982824410421</v>
      </c>
    </row>
    <row r="2948" spans="37:38" s="4" customFormat="1">
      <c r="AK2948" s="3">
        <v>2942</v>
      </c>
      <c r="AL2948" s="163">
        <v>3.2526142509199358</v>
      </c>
    </row>
    <row r="2949" spans="37:38" s="4" customFormat="1">
      <c r="AK2949" s="3">
        <v>2943</v>
      </c>
      <c r="AL2949" s="163">
        <v>3.2532304344021088</v>
      </c>
    </row>
    <row r="2950" spans="37:38" s="4" customFormat="1">
      <c r="AK2950" s="3">
        <v>2944</v>
      </c>
      <c r="AL2950" s="163">
        <v>3.2538468330598889</v>
      </c>
    </row>
    <row r="2951" spans="37:38" s="4" customFormat="1">
      <c r="AK2951" s="3">
        <v>2945</v>
      </c>
      <c r="AL2951" s="163">
        <v>3.2544634470652158</v>
      </c>
    </row>
    <row r="2952" spans="37:38" s="4" customFormat="1">
      <c r="AK2952" s="3">
        <v>2946</v>
      </c>
      <c r="AL2952" s="163">
        <v>3.2550802765896432</v>
      </c>
    </row>
    <row r="2953" spans="37:38" s="4" customFormat="1">
      <c r="AK2953" s="3">
        <v>2947</v>
      </c>
      <c r="AL2953" s="163">
        <v>3.2556973218043335</v>
      </c>
    </row>
    <row r="2954" spans="37:38" s="4" customFormat="1">
      <c r="AK2954" s="3">
        <v>2948</v>
      </c>
      <c r="AL2954" s="163">
        <v>3.2563145828800684</v>
      </c>
    </row>
    <row r="2955" spans="37:38" s="4" customFormat="1">
      <c r="AK2955" s="3">
        <v>2949</v>
      </c>
      <c r="AL2955" s="163">
        <v>3.25693205998724</v>
      </c>
    </row>
    <row r="2956" spans="37:38" s="4" customFormat="1">
      <c r="AK2956" s="3">
        <v>2950</v>
      </c>
      <c r="AL2956" s="163">
        <v>3.2575497532958488</v>
      </c>
    </row>
    <row r="2957" spans="37:38" s="4" customFormat="1">
      <c r="AK2957" s="3">
        <v>2951</v>
      </c>
      <c r="AL2957" s="163">
        <v>3.2581676629755187</v>
      </c>
    </row>
    <row r="2958" spans="37:38" s="4" customFormat="1">
      <c r="AK2958" s="3">
        <v>2952</v>
      </c>
      <c r="AL2958" s="163">
        <v>3.258785789195473</v>
      </c>
    </row>
    <row r="2959" spans="37:38" s="4" customFormat="1">
      <c r="AK2959" s="3">
        <v>2953</v>
      </c>
      <c r="AL2959" s="163">
        <v>3.2594041321245659</v>
      </c>
    </row>
    <row r="2960" spans="37:38" s="4" customFormat="1">
      <c r="AK2960" s="3">
        <v>2954</v>
      </c>
      <c r="AL2960" s="163">
        <v>3.2600226919312516</v>
      </c>
    </row>
    <row r="2961" spans="37:38" s="4" customFormat="1">
      <c r="AK2961" s="3">
        <v>2955</v>
      </c>
      <c r="AL2961" s="163">
        <v>3.2606414687836081</v>
      </c>
    </row>
    <row r="2962" spans="37:38" s="4" customFormat="1">
      <c r="AK2962" s="3">
        <v>2956</v>
      </c>
      <c r="AL2962" s="163">
        <v>3.2612604628493207</v>
      </c>
    </row>
    <row r="2963" spans="37:38" s="4" customFormat="1">
      <c r="AK2963" s="3">
        <v>2957</v>
      </c>
      <c r="AL2963" s="163">
        <v>3.2618796742956913</v>
      </c>
    </row>
    <row r="2964" spans="37:38" s="4" customFormat="1">
      <c r="AK2964" s="3">
        <v>2958</v>
      </c>
      <c r="AL2964" s="163">
        <v>3.2624991032896378</v>
      </c>
    </row>
    <row r="2965" spans="37:38" s="4" customFormat="1">
      <c r="AK2965" s="3">
        <v>2959</v>
      </c>
      <c r="AL2965" s="163">
        <v>3.2631187499976932</v>
      </c>
    </row>
    <row r="2966" spans="37:38" s="4" customFormat="1">
      <c r="AK2966" s="3">
        <v>2960</v>
      </c>
      <c r="AL2966" s="163">
        <v>3.2637386145860088</v>
      </c>
    </row>
    <row r="2967" spans="37:38" s="4" customFormat="1">
      <c r="AK2967" s="3">
        <v>2961</v>
      </c>
      <c r="AL2967" s="163">
        <v>3.2643586972203384</v>
      </c>
    </row>
    <row r="2968" spans="37:38" s="4" customFormat="1">
      <c r="AK2968" s="3">
        <v>2962</v>
      </c>
      <c r="AL2968" s="163">
        <v>3.2649789980660673</v>
      </c>
    </row>
    <row r="2969" spans="37:38" s="4" customFormat="1">
      <c r="AK2969" s="3">
        <v>2963</v>
      </c>
      <c r="AL2969" s="163">
        <v>3.2655995172881846</v>
      </c>
    </row>
    <row r="2970" spans="37:38" s="4" customFormat="1">
      <c r="AK2970" s="3">
        <v>2964</v>
      </c>
      <c r="AL2970" s="163">
        <v>3.2662202550513055</v>
      </c>
    </row>
    <row r="2971" spans="37:38" s="4" customFormat="1">
      <c r="AK2971" s="3">
        <v>2965</v>
      </c>
      <c r="AL2971" s="163">
        <v>3.2668412115196528</v>
      </c>
    </row>
    <row r="2972" spans="37:38" s="4" customFormat="1">
      <c r="AK2972" s="3">
        <v>2966</v>
      </c>
      <c r="AL2972" s="163">
        <v>3.267462386857066</v>
      </c>
    </row>
    <row r="2973" spans="37:38" s="4" customFormat="1">
      <c r="AK2973" s="3">
        <v>2967</v>
      </c>
      <c r="AL2973" s="163">
        <v>3.2680837812270065</v>
      </c>
    </row>
    <row r="2974" spans="37:38" s="4" customFormat="1">
      <c r="AK2974" s="3">
        <v>2968</v>
      </c>
      <c r="AL2974" s="163">
        <v>3.2687053947925517</v>
      </c>
    </row>
    <row r="2975" spans="37:38" s="4" customFormat="1">
      <c r="AK2975" s="3">
        <v>2969</v>
      </c>
      <c r="AL2975" s="163">
        <v>3.2693272277163854</v>
      </c>
    </row>
    <row r="2976" spans="37:38" s="4" customFormat="1">
      <c r="AK2976" s="3">
        <v>2970</v>
      </c>
      <c r="AL2976" s="163">
        <v>3.2699492801608225</v>
      </c>
    </row>
    <row r="2977" spans="37:38" s="4" customFormat="1">
      <c r="AK2977" s="3">
        <v>2971</v>
      </c>
      <c r="AL2977" s="163">
        <v>3.2705715522877878</v>
      </c>
    </row>
    <row r="2978" spans="37:38" s="4" customFormat="1">
      <c r="AK2978" s="3">
        <v>2972</v>
      </c>
      <c r="AL2978" s="163">
        <v>3.2711940442588201</v>
      </c>
    </row>
    <row r="2979" spans="37:38" s="4" customFormat="1">
      <c r="AK2979" s="3">
        <v>2973</v>
      </c>
      <c r="AL2979" s="163">
        <v>3.2718167562350851</v>
      </c>
    </row>
    <row r="2980" spans="37:38" s="4" customFormat="1">
      <c r="AK2980" s="3">
        <v>2974</v>
      </c>
      <c r="AL2980" s="163">
        <v>3.272439688377359</v>
      </c>
    </row>
    <row r="2981" spans="37:38" s="4" customFormat="1">
      <c r="AK2981" s="3">
        <v>2975</v>
      </c>
      <c r="AL2981" s="163">
        <v>3.2730628408460358</v>
      </c>
    </row>
    <row r="2982" spans="37:38" s="4" customFormat="1">
      <c r="AK2982" s="3">
        <v>2976</v>
      </c>
      <c r="AL2982" s="163">
        <v>3.273686213801132</v>
      </c>
    </row>
    <row r="2983" spans="37:38" s="4" customFormat="1">
      <c r="AK2983" s="3">
        <v>2977</v>
      </c>
      <c r="AL2983" s="163">
        <v>3.2743098074022807</v>
      </c>
    </row>
    <row r="2984" spans="37:38" s="4" customFormat="1">
      <c r="AK2984" s="3">
        <v>2978</v>
      </c>
      <c r="AL2984" s="163">
        <v>3.2749336218087306</v>
      </c>
    </row>
    <row r="2985" spans="37:38" s="4" customFormat="1">
      <c r="AK2985" s="3">
        <v>2979</v>
      </c>
      <c r="AL2985" s="163">
        <v>3.2755576571793497</v>
      </c>
    </row>
    <row r="2986" spans="37:38" s="4" customFormat="1">
      <c r="AK2986" s="3">
        <v>2980</v>
      </c>
      <c r="AL2986" s="163">
        <v>3.2761819136726285</v>
      </c>
    </row>
    <row r="2987" spans="37:38" s="4" customFormat="1">
      <c r="AK2987" s="3">
        <v>2981</v>
      </c>
      <c r="AL2987" s="163">
        <v>3.2768063914466743</v>
      </c>
    </row>
    <row r="2988" spans="37:38" s="4" customFormat="1">
      <c r="AK2988" s="3">
        <v>2982</v>
      </c>
      <c r="AL2988" s="163">
        <v>3.2774310906592108</v>
      </c>
    </row>
    <row r="2989" spans="37:38" s="4" customFormat="1">
      <c r="AK2989" s="3">
        <v>2983</v>
      </c>
      <c r="AL2989" s="163">
        <v>3.2780560114675863</v>
      </c>
    </row>
    <row r="2990" spans="37:38" s="4" customFormat="1">
      <c r="AK2990" s="3">
        <v>2984</v>
      </c>
      <c r="AL2990" s="163">
        <v>3.278681154028761</v>
      </c>
    </row>
    <row r="2991" spans="37:38" s="4" customFormat="1">
      <c r="AK2991" s="3">
        <v>2985</v>
      </c>
      <c r="AL2991" s="163">
        <v>3.2793065184993226</v>
      </c>
    </row>
    <row r="2992" spans="37:38" s="4" customFormat="1">
      <c r="AK2992" s="3">
        <v>2986</v>
      </c>
      <c r="AL2992" s="163">
        <v>3.2799321050354773</v>
      </c>
    </row>
    <row r="2993" spans="37:38" s="4" customFormat="1">
      <c r="AK2993" s="3">
        <v>2987</v>
      </c>
      <c r="AL2993" s="163">
        <v>3.2805579137930483</v>
      </c>
    </row>
    <row r="2994" spans="37:38" s="4" customFormat="1">
      <c r="AK2994" s="3">
        <v>2988</v>
      </c>
      <c r="AL2994" s="163">
        <v>3.2811839449274771</v>
      </c>
    </row>
    <row r="2995" spans="37:38" s="4" customFormat="1">
      <c r="AK2995" s="3">
        <v>2989</v>
      </c>
      <c r="AL2995" s="163">
        <v>3.2818101985938348</v>
      </c>
    </row>
    <row r="2996" spans="37:38" s="4" customFormat="1">
      <c r="AK2996" s="3">
        <v>2990</v>
      </c>
      <c r="AL2996" s="163">
        <v>3.2824366749468017</v>
      </c>
    </row>
    <row r="2997" spans="37:38" s="4" customFormat="1">
      <c r="AK2997" s="3">
        <v>2991</v>
      </c>
      <c r="AL2997" s="163">
        <v>3.2830633741406876</v>
      </c>
    </row>
    <row r="2998" spans="37:38" s="4" customFormat="1">
      <c r="AK2998" s="3">
        <v>2992</v>
      </c>
      <c r="AL2998" s="163">
        <v>3.2836902963294219</v>
      </c>
    </row>
    <row r="2999" spans="37:38" s="4" customFormat="1">
      <c r="AK2999" s="3">
        <v>2993</v>
      </c>
      <c r="AL2999" s="163">
        <v>3.2843174416665493</v>
      </c>
    </row>
    <row r="3000" spans="37:38" s="4" customFormat="1">
      <c r="AK3000" s="3">
        <v>2994</v>
      </c>
      <c r="AL3000" s="163">
        <v>3.2849448103052414</v>
      </c>
    </row>
    <row r="3001" spans="37:38" s="4" customFormat="1">
      <c r="AK3001" s="3">
        <v>2995</v>
      </c>
      <c r="AL3001" s="163">
        <v>3.2855724023982904</v>
      </c>
    </row>
    <row r="3002" spans="37:38" s="4" customFormat="1">
      <c r="AK3002" s="3">
        <v>2996</v>
      </c>
      <c r="AL3002" s="163">
        <v>3.2862002180981085</v>
      </c>
    </row>
    <row r="3003" spans="37:38" s="4" customFormat="1">
      <c r="AK3003" s="3">
        <v>2997</v>
      </c>
      <c r="AL3003" s="163">
        <v>3.2868282575567331</v>
      </c>
    </row>
    <row r="3004" spans="37:38" s="4" customFormat="1">
      <c r="AK3004" s="3">
        <v>2998</v>
      </c>
      <c r="AL3004" s="163">
        <v>3.2874565209258182</v>
      </c>
    </row>
    <row r="3005" spans="37:38" s="4" customFormat="1">
      <c r="AK3005" s="3">
        <v>2999</v>
      </c>
      <c r="AL3005" s="163">
        <v>3.2880850083566457</v>
      </c>
    </row>
    <row r="3006" spans="37:38" s="4" customFormat="1">
      <c r="AK3006" s="3">
        <v>3000</v>
      </c>
      <c r="AL3006" s="163">
        <v>3.2887137200001191</v>
      </c>
    </row>
    <row r="3007" spans="37:38" s="4" customFormat="1">
      <c r="AK3007" s="3">
        <v>3001</v>
      </c>
      <c r="AL3007" s="163">
        <v>3.2893426560067596</v>
      </c>
    </row>
    <row r="3008" spans="37:38" s="4" customFormat="1">
      <c r="AK3008" s="3">
        <v>3002</v>
      </c>
      <c r="AL3008" s="163">
        <v>3.2899718165267169</v>
      </c>
    </row>
    <row r="3009" spans="37:38" s="4" customFormat="1">
      <c r="AK3009" s="3">
        <v>3003</v>
      </c>
      <c r="AL3009" s="163">
        <v>3.2906012017097592</v>
      </c>
    </row>
    <row r="3010" spans="37:38" s="4" customFormat="1">
      <c r="AK3010" s="3">
        <v>3004</v>
      </c>
      <c r="AL3010" s="163">
        <v>3.2912308117052822</v>
      </c>
    </row>
    <row r="3011" spans="37:38" s="4" customFormat="1">
      <c r="AK3011" s="3">
        <v>3005</v>
      </c>
      <c r="AL3011" s="163">
        <v>3.2918606466623017</v>
      </c>
    </row>
    <row r="3012" spans="37:38" s="4" customFormat="1">
      <c r="AK3012" s="3">
        <v>3006</v>
      </c>
      <c r="AL3012" s="163">
        <v>3.2924907067294598</v>
      </c>
    </row>
    <row r="3013" spans="37:38" s="4" customFormat="1">
      <c r="AK3013" s="3">
        <v>3007</v>
      </c>
      <c r="AL3013" s="163">
        <v>3.29312099205502</v>
      </c>
    </row>
    <row r="3014" spans="37:38" s="4" customFormat="1">
      <c r="AK3014" s="3">
        <v>3008</v>
      </c>
      <c r="AL3014" s="163">
        <v>3.2937515027868698</v>
      </c>
    </row>
    <row r="3015" spans="37:38" s="4" customFormat="1">
      <c r="AK3015" s="3">
        <v>3009</v>
      </c>
      <c r="AL3015" s="163">
        <v>3.2943822390725193</v>
      </c>
    </row>
    <row r="3016" spans="37:38" s="4" customFormat="1">
      <c r="AK3016" s="3">
        <v>3010</v>
      </c>
      <c r="AL3016" s="163">
        <v>3.2950132010591107</v>
      </c>
    </row>
    <row r="3017" spans="37:38" s="4" customFormat="1">
      <c r="AK3017" s="3">
        <v>3011</v>
      </c>
      <c r="AL3017" s="163">
        <v>3.2956443888934008</v>
      </c>
    </row>
    <row r="3018" spans="37:38" s="4" customFormat="1">
      <c r="AK3018" s="3">
        <v>3012</v>
      </c>
      <c r="AL3018" s="163">
        <v>3.2962758027217767</v>
      </c>
    </row>
    <row r="3019" spans="37:38" s="4" customFormat="1">
      <c r="AK3019" s="3">
        <v>3013</v>
      </c>
      <c r="AL3019" s="163">
        <v>3.2969074426902503</v>
      </c>
    </row>
    <row r="3020" spans="37:38" s="4" customFormat="1">
      <c r="AK3020" s="3">
        <v>3014</v>
      </c>
      <c r="AL3020" s="163">
        <v>3.2975393089444527</v>
      </c>
    </row>
    <row r="3021" spans="37:38" s="4" customFormat="1">
      <c r="AK3021" s="3">
        <v>3015</v>
      </c>
      <c r="AL3021" s="163">
        <v>3.2981714016296482</v>
      </c>
    </row>
    <row r="3022" spans="37:38" s="4" customFormat="1">
      <c r="AK3022" s="3">
        <v>3016</v>
      </c>
      <c r="AL3022" s="163">
        <v>3.2988037208907244</v>
      </c>
    </row>
    <row r="3023" spans="37:38" s="4" customFormat="1">
      <c r="AK3023" s="3">
        <v>3017</v>
      </c>
      <c r="AL3023" s="163">
        <v>3.2994362668721884</v>
      </c>
    </row>
    <row r="3024" spans="37:38" s="4" customFormat="1">
      <c r="AK3024" s="3">
        <v>3018</v>
      </c>
      <c r="AL3024" s="163">
        <v>3.3000690397181787</v>
      </c>
    </row>
    <row r="3025" spans="37:38" s="4" customFormat="1">
      <c r="AK3025" s="3">
        <v>3019</v>
      </c>
      <c r="AL3025" s="163">
        <v>3.3007020395724598</v>
      </c>
    </row>
    <row r="3026" spans="37:38" s="4" customFormat="1">
      <c r="AK3026" s="3">
        <v>3020</v>
      </c>
      <c r="AL3026" s="163">
        <v>3.3013352665784255</v>
      </c>
    </row>
    <row r="3027" spans="37:38" s="4" customFormat="1">
      <c r="AK3027" s="3">
        <v>3021</v>
      </c>
      <c r="AL3027" s="163">
        <v>3.301968720879084</v>
      </c>
    </row>
    <row r="3028" spans="37:38" s="4" customFormat="1">
      <c r="AK3028" s="3">
        <v>3022</v>
      </c>
      <c r="AL3028" s="163">
        <v>3.3026024026170786</v>
      </c>
    </row>
    <row r="3029" spans="37:38" s="4" customFormat="1">
      <c r="AK3029" s="3">
        <v>3023</v>
      </c>
      <c r="AL3029" s="163">
        <v>3.3032363119346826</v>
      </c>
    </row>
    <row r="3030" spans="37:38" s="4" customFormat="1">
      <c r="AK3030" s="3">
        <v>3024</v>
      </c>
      <c r="AL3030" s="163">
        <v>3.3038704489737887</v>
      </c>
    </row>
    <row r="3031" spans="37:38" s="4" customFormat="1">
      <c r="AK3031" s="3">
        <v>3025</v>
      </c>
      <c r="AL3031" s="163">
        <v>3.3045048138759205</v>
      </c>
    </row>
    <row r="3032" spans="37:38" s="4" customFormat="1">
      <c r="AK3032" s="3">
        <v>3026</v>
      </c>
      <c r="AL3032" s="163">
        <v>3.3051394067822271</v>
      </c>
    </row>
    <row r="3033" spans="37:38" s="4" customFormat="1">
      <c r="AK3033" s="3">
        <v>3027</v>
      </c>
      <c r="AL3033" s="163">
        <v>3.305774227833485</v>
      </c>
    </row>
    <row r="3034" spans="37:38" s="4" customFormat="1">
      <c r="AK3034" s="3">
        <v>3028</v>
      </c>
      <c r="AL3034" s="163">
        <v>3.3064092771701055</v>
      </c>
    </row>
    <row r="3035" spans="37:38" s="4" customFormat="1">
      <c r="AK3035" s="3">
        <v>3029</v>
      </c>
      <c r="AL3035" s="163">
        <v>3.3070445549321121</v>
      </c>
    </row>
    <row r="3036" spans="37:38" s="4" customFormat="1">
      <c r="AK3036" s="3">
        <v>3030</v>
      </c>
      <c r="AL3036" s="163">
        <v>3.3076800612591706</v>
      </c>
    </row>
    <row r="3037" spans="37:38" s="4" customFormat="1">
      <c r="AK3037" s="3">
        <v>3031</v>
      </c>
      <c r="AL3037" s="163">
        <v>3.3083157962905698</v>
      </c>
    </row>
    <row r="3038" spans="37:38" s="4" customFormat="1">
      <c r="AK3038" s="3">
        <v>3032</v>
      </c>
      <c r="AL3038" s="163">
        <v>3.3089517601652267</v>
      </c>
    </row>
    <row r="3039" spans="37:38" s="4" customFormat="1">
      <c r="AK3039" s="3">
        <v>3033</v>
      </c>
      <c r="AL3039" s="163">
        <v>3.309587953021687</v>
      </c>
    </row>
    <row r="3040" spans="37:38" s="4" customFormat="1">
      <c r="AK3040" s="3">
        <v>3034</v>
      </c>
      <c r="AL3040" s="163">
        <v>3.3102243749981231</v>
      </c>
    </row>
    <row r="3041" spans="37:38" s="4" customFormat="1">
      <c r="AK3041" s="3">
        <v>3035</v>
      </c>
      <c r="AL3041" s="163">
        <v>3.3108610262323395</v>
      </c>
    </row>
    <row r="3042" spans="37:38" s="4" customFormat="1">
      <c r="AK3042" s="3">
        <v>3036</v>
      </c>
      <c r="AL3042" s="163">
        <v>3.3114979068617694</v>
      </c>
    </row>
    <row r="3043" spans="37:38" s="4" customFormat="1">
      <c r="AK3043" s="3">
        <v>3037</v>
      </c>
      <c r="AL3043" s="163">
        <v>3.3121350170234725</v>
      </c>
    </row>
    <row r="3044" spans="37:38" s="4" customFormat="1">
      <c r="AK3044" s="3">
        <v>3038</v>
      </c>
      <c r="AL3044" s="163">
        <v>3.3127723568541443</v>
      </c>
    </row>
    <row r="3045" spans="37:38" s="4" customFormat="1">
      <c r="AK3045" s="3">
        <v>3039</v>
      </c>
      <c r="AL3045" s="163">
        <v>3.3134099264900998</v>
      </c>
    </row>
    <row r="3046" spans="37:38" s="4" customFormat="1">
      <c r="AK3046" s="3">
        <v>3040</v>
      </c>
      <c r="AL3046" s="163">
        <v>3.3140477260672898</v>
      </c>
    </row>
    <row r="3047" spans="37:38" s="4" customFormat="1">
      <c r="AK3047" s="3">
        <v>3041</v>
      </c>
      <c r="AL3047" s="163">
        <v>3.3146857557212948</v>
      </c>
    </row>
    <row r="3048" spans="37:38" s="4" customFormat="1">
      <c r="AK3048" s="3">
        <v>3042</v>
      </c>
      <c r="AL3048" s="163">
        <v>3.3153240155873265</v>
      </c>
    </row>
    <row r="3049" spans="37:38" s="4" customFormat="1">
      <c r="AK3049" s="3">
        <v>3043</v>
      </c>
      <c r="AL3049" s="163">
        <v>3.3159625058002278</v>
      </c>
    </row>
    <row r="3050" spans="37:38" s="4" customFormat="1">
      <c r="AK3050" s="3">
        <v>3044</v>
      </c>
      <c r="AL3050" s="163">
        <v>3.3166012264944649</v>
      </c>
    </row>
    <row r="3051" spans="37:38" s="4" customFormat="1">
      <c r="AK3051" s="3">
        <v>3045</v>
      </c>
      <c r="AL3051" s="163">
        <v>3.3172401778041465</v>
      </c>
    </row>
    <row r="3052" spans="37:38" s="4" customFormat="1">
      <c r="AK3052" s="3">
        <v>3046</v>
      </c>
      <c r="AL3052" s="163">
        <v>3.3178793598629981</v>
      </c>
    </row>
    <row r="3053" spans="37:38" s="4" customFormat="1">
      <c r="AK3053" s="3">
        <v>3047</v>
      </c>
      <c r="AL3053" s="163">
        <v>3.3185187728043863</v>
      </c>
    </row>
    <row r="3054" spans="37:38" s="4" customFormat="1">
      <c r="AK3054" s="3">
        <v>3048</v>
      </c>
      <c r="AL3054" s="163">
        <v>3.3191584167613071</v>
      </c>
    </row>
    <row r="3055" spans="37:38" s="4" customFormat="1">
      <c r="AK3055" s="3">
        <v>3049</v>
      </c>
      <c r="AL3055" s="163">
        <v>3.3197982918663893</v>
      </c>
    </row>
    <row r="3056" spans="37:38" s="4" customFormat="1">
      <c r="AK3056" s="3">
        <v>3050</v>
      </c>
      <c r="AL3056" s="163">
        <v>3.3204383982518881</v>
      </c>
    </row>
    <row r="3057" spans="37:38" s="4" customFormat="1">
      <c r="AK3057" s="3">
        <v>3051</v>
      </c>
      <c r="AL3057" s="163">
        <v>3.3210787360496958</v>
      </c>
    </row>
    <row r="3058" spans="37:38" s="4" customFormat="1">
      <c r="AK3058" s="3">
        <v>3052</v>
      </c>
      <c r="AL3058" s="163">
        <v>3.321719305391329</v>
      </c>
    </row>
    <row r="3059" spans="37:38" s="4" customFormat="1">
      <c r="AK3059" s="3">
        <v>3053</v>
      </c>
      <c r="AL3059" s="163">
        <v>3.3223601064079493</v>
      </c>
    </row>
    <row r="3060" spans="37:38" s="4" customFormat="1">
      <c r="AK3060" s="3">
        <v>3054</v>
      </c>
      <c r="AL3060" s="163">
        <v>3.323001139230338</v>
      </c>
    </row>
    <row r="3061" spans="37:38" s="4" customFormat="1">
      <c r="AK3061" s="3">
        <v>3055</v>
      </c>
      <c r="AL3061" s="163">
        <v>3.3236424039889165</v>
      </c>
    </row>
    <row r="3062" spans="37:38" s="4" customFormat="1">
      <c r="AK3062" s="3">
        <v>3056</v>
      </c>
      <c r="AL3062" s="163">
        <v>3.3242839008137381</v>
      </c>
    </row>
    <row r="3063" spans="37:38" s="4" customFormat="1">
      <c r="AK3063" s="3">
        <v>3057</v>
      </c>
      <c r="AL3063" s="163">
        <v>3.3249256298344836</v>
      </c>
    </row>
    <row r="3064" spans="37:38" s="4" customFormat="1">
      <c r="AK3064" s="3">
        <v>3058</v>
      </c>
      <c r="AL3064" s="163">
        <v>3.3255675911804743</v>
      </c>
    </row>
    <row r="3065" spans="37:38" s="4" customFormat="1">
      <c r="AK3065" s="3">
        <v>3059</v>
      </c>
      <c r="AL3065" s="163">
        <v>3.3262097849806587</v>
      </c>
    </row>
    <row r="3066" spans="37:38" s="4" customFormat="1">
      <c r="AK3066" s="3">
        <v>3060</v>
      </c>
      <c r="AL3066" s="163">
        <v>3.3268522113636241</v>
      </c>
    </row>
    <row r="3067" spans="37:38" s="4" customFormat="1">
      <c r="AK3067" s="3">
        <v>3061</v>
      </c>
      <c r="AL3067" s="163">
        <v>3.327494870457584</v>
      </c>
    </row>
    <row r="3068" spans="37:38" s="4" customFormat="1">
      <c r="AK3068" s="3">
        <v>3062</v>
      </c>
      <c r="AL3068" s="163">
        <v>3.328137762390396</v>
      </c>
    </row>
    <row r="3069" spans="37:38" s="4" customFormat="1">
      <c r="AK3069" s="3">
        <v>3063</v>
      </c>
      <c r="AL3069" s="163">
        <v>3.328780887289545</v>
      </c>
    </row>
    <row r="3070" spans="37:38" s="4" customFormat="1">
      <c r="AK3070" s="3">
        <v>3064</v>
      </c>
      <c r="AL3070" s="163">
        <v>3.3294242452821496</v>
      </c>
    </row>
    <row r="3071" spans="37:38" s="4" customFormat="1">
      <c r="AK3071" s="3">
        <v>3065</v>
      </c>
      <c r="AL3071" s="163">
        <v>3.3300678364949614</v>
      </c>
    </row>
    <row r="3072" spans="37:38" s="4" customFormat="1">
      <c r="AK3072" s="3">
        <v>3066</v>
      </c>
      <c r="AL3072" s="163">
        <v>3.3307116610543757</v>
      </c>
    </row>
    <row r="3073" spans="37:38" s="4" customFormat="1">
      <c r="AK3073" s="3">
        <v>3067</v>
      </c>
      <c r="AL3073" s="163">
        <v>3.3313557190864156</v>
      </c>
    </row>
    <row r="3074" spans="37:38" s="4" customFormat="1">
      <c r="AK3074" s="3">
        <v>3068</v>
      </c>
      <c r="AL3074" s="163">
        <v>3.332000010716734</v>
      </c>
    </row>
    <row r="3075" spans="37:38" s="4" customFormat="1">
      <c r="AK3075" s="3">
        <v>3069</v>
      </c>
      <c r="AL3075" s="163">
        <v>3.3326445360706316</v>
      </c>
    </row>
    <row r="3076" spans="37:38" s="4" customFormat="1">
      <c r="AK3076" s="3">
        <v>3070</v>
      </c>
      <c r="AL3076" s="163">
        <v>3.333289295273032</v>
      </c>
    </row>
    <row r="3077" spans="37:38" s="4" customFormat="1">
      <c r="AK3077" s="3">
        <v>3071</v>
      </c>
      <c r="AL3077" s="163">
        <v>3.3339342884485044</v>
      </c>
    </row>
    <row r="3078" spans="37:38" s="4" customFormat="1">
      <c r="AK3078" s="3">
        <v>3072</v>
      </c>
      <c r="AL3078" s="163">
        <v>3.334579515721249</v>
      </c>
    </row>
    <row r="3079" spans="37:38" s="4" customFormat="1">
      <c r="AK3079" s="3">
        <v>3073</v>
      </c>
      <c r="AL3079" s="163">
        <v>3.3352249772150984</v>
      </c>
    </row>
    <row r="3080" spans="37:38" s="4" customFormat="1">
      <c r="AK3080" s="3">
        <v>3074</v>
      </c>
      <c r="AL3080" s="163">
        <v>3.3358706730535292</v>
      </c>
    </row>
    <row r="3081" spans="37:38" s="4" customFormat="1">
      <c r="AK3081" s="3">
        <v>3075</v>
      </c>
      <c r="AL3081" s="163">
        <v>3.3365166033596454</v>
      </c>
    </row>
    <row r="3082" spans="37:38" s="4" customFormat="1">
      <c r="AK3082" s="3">
        <v>3076</v>
      </c>
      <c r="AL3082" s="163">
        <v>3.3371627682561962</v>
      </c>
    </row>
    <row r="3083" spans="37:38" s="4" customFormat="1">
      <c r="AK3083" s="3">
        <v>3077</v>
      </c>
      <c r="AL3083" s="163">
        <v>3.3378091678655588</v>
      </c>
    </row>
    <row r="3084" spans="37:38" s="4" customFormat="1">
      <c r="AK3084" s="3">
        <v>3078</v>
      </c>
      <c r="AL3084" s="163">
        <v>3.3384558023097544</v>
      </c>
    </row>
    <row r="3085" spans="37:38" s="4" customFormat="1">
      <c r="AK3085" s="3">
        <v>3079</v>
      </c>
      <c r="AL3085" s="163">
        <v>3.3391026717104415</v>
      </c>
    </row>
    <row r="3086" spans="37:38" s="4" customFormat="1">
      <c r="AK3086" s="3">
        <v>3080</v>
      </c>
      <c r="AL3086" s="163">
        <v>3.3397497761889032</v>
      </c>
    </row>
    <row r="3087" spans="37:38" s="4" customFormat="1">
      <c r="AK3087" s="3">
        <v>3081</v>
      </c>
      <c r="AL3087" s="163">
        <v>3.3403971158660752</v>
      </c>
    </row>
    <row r="3088" spans="37:38" s="4" customFormat="1">
      <c r="AK3088" s="3">
        <v>3082</v>
      </c>
      <c r="AL3088" s="163">
        <v>3.3410446908625224</v>
      </c>
    </row>
    <row r="3089" spans="37:38" s="4" customFormat="1">
      <c r="AK3089" s="3">
        <v>3083</v>
      </c>
      <c r="AL3089" s="163">
        <v>3.3416925012984522</v>
      </c>
    </row>
    <row r="3090" spans="37:38" s="4" customFormat="1">
      <c r="AK3090" s="3">
        <v>3084</v>
      </c>
      <c r="AL3090" s="163">
        <v>3.3423405472937056</v>
      </c>
    </row>
    <row r="3091" spans="37:38" s="4" customFormat="1">
      <c r="AK3091" s="3">
        <v>3085</v>
      </c>
      <c r="AL3091" s="163">
        <v>3.3429888289677634</v>
      </c>
    </row>
    <row r="3092" spans="37:38" s="4" customFormat="1">
      <c r="AK3092" s="3">
        <v>3086</v>
      </c>
      <c r="AL3092" s="163">
        <v>3.3436373464397433</v>
      </c>
    </row>
    <row r="3093" spans="37:38" s="4" customFormat="1">
      <c r="AK3093" s="3">
        <v>3087</v>
      </c>
      <c r="AL3093" s="163">
        <v>3.3442860998284041</v>
      </c>
    </row>
    <row r="3094" spans="37:38" s="4" customFormat="1">
      <c r="AK3094" s="3">
        <v>3088</v>
      </c>
      <c r="AL3094" s="163">
        <v>3.3449350892521412</v>
      </c>
    </row>
    <row r="3095" spans="37:38" s="4" customFormat="1">
      <c r="AK3095" s="3">
        <v>3089</v>
      </c>
      <c r="AL3095" s="163">
        <v>3.3455843148289883</v>
      </c>
    </row>
    <row r="3096" spans="37:38" s="4" customFormat="1">
      <c r="AK3096" s="3">
        <v>3090</v>
      </c>
      <c r="AL3096" s="163">
        <v>3.3462337766766206</v>
      </c>
    </row>
    <row r="3097" spans="37:38" s="4" customFormat="1">
      <c r="AK3097" s="3">
        <v>3091</v>
      </c>
      <c r="AL3097" s="163">
        <v>3.3468834749123517</v>
      </c>
    </row>
    <row r="3098" spans="37:38" s="4" customFormat="1">
      <c r="AK3098" s="3">
        <v>3092</v>
      </c>
      <c r="AL3098" s="163">
        <v>3.34753340965313</v>
      </c>
    </row>
    <row r="3099" spans="37:38" s="4" customFormat="1">
      <c r="AK3099" s="3">
        <v>3093</v>
      </c>
      <c r="AL3099" s="163">
        <v>3.3481835810155522</v>
      </c>
    </row>
    <row r="3100" spans="37:38" s="4" customFormat="1">
      <c r="AK3100" s="3">
        <v>3094</v>
      </c>
      <c r="AL3100" s="163">
        <v>3.3488339891158465</v>
      </c>
    </row>
    <row r="3101" spans="37:38" s="4" customFormat="1">
      <c r="AK3101" s="3">
        <v>3095</v>
      </c>
      <c r="AL3101" s="163">
        <v>3.3494846340698823</v>
      </c>
    </row>
    <row r="3102" spans="37:38" s="4" customFormat="1">
      <c r="AK3102" s="3">
        <v>3096</v>
      </c>
      <c r="AL3102" s="163">
        <v>3.3501355159931752</v>
      </c>
    </row>
    <row r="3103" spans="37:38" s="4" customFormat="1">
      <c r="AK3103" s="3">
        <v>3097</v>
      </c>
      <c r="AL3103" s="163">
        <v>3.3507866350008761</v>
      </c>
    </row>
    <row r="3104" spans="37:38" s="4" customFormat="1">
      <c r="AK3104" s="3">
        <v>3098</v>
      </c>
      <c r="AL3104" s="163">
        <v>3.3514379912077739</v>
      </c>
    </row>
    <row r="3105" spans="37:38" s="4" customFormat="1">
      <c r="AK3105" s="3">
        <v>3099</v>
      </c>
      <c r="AL3105" s="163">
        <v>3.3520895847283008</v>
      </c>
    </row>
    <row r="3106" spans="37:38" s="4" customFormat="1">
      <c r="AK3106" s="3">
        <v>3100</v>
      </c>
      <c r="AL3106" s="163">
        <v>3.3527414156765336</v>
      </c>
    </row>
    <row r="3107" spans="37:38" s="4" customFormat="1">
      <c r="AK3107" s="3">
        <v>3101</v>
      </c>
      <c r="AL3107" s="163">
        <v>3.3533934841661868</v>
      </c>
    </row>
    <row r="3108" spans="37:38" s="4" customFormat="1">
      <c r="AK3108" s="3">
        <v>3102</v>
      </c>
      <c r="AL3108" s="163">
        <v>3.3540457903106122</v>
      </c>
    </row>
    <row r="3109" spans="37:38" s="4" customFormat="1">
      <c r="AK3109" s="3">
        <v>3103</v>
      </c>
      <c r="AL3109" s="163">
        <v>3.3546983342228089</v>
      </c>
    </row>
    <row r="3110" spans="37:38" s="4" customFormat="1">
      <c r="AK3110" s="3">
        <v>3104</v>
      </c>
      <c r="AL3110" s="163">
        <v>3.3553511160154179</v>
      </c>
    </row>
    <row r="3111" spans="37:38" s="4" customFormat="1">
      <c r="AK3111" s="3">
        <v>3105</v>
      </c>
      <c r="AL3111" s="163">
        <v>3.3560041358007151</v>
      </c>
    </row>
    <row r="3112" spans="37:38" s="4" customFormat="1">
      <c r="AK3112" s="3">
        <v>3106</v>
      </c>
      <c r="AL3112" s="163">
        <v>3.3566573936906257</v>
      </c>
    </row>
    <row r="3113" spans="37:38" s="4" customFormat="1">
      <c r="AK3113" s="3">
        <v>3107</v>
      </c>
      <c r="AL3113" s="163">
        <v>3.3573108897967097</v>
      </c>
    </row>
    <row r="3114" spans="37:38" s="4" customFormat="1">
      <c r="AK3114" s="3">
        <v>3108</v>
      </c>
      <c r="AL3114" s="163">
        <v>3.3579646242301773</v>
      </c>
    </row>
    <row r="3115" spans="37:38" s="4" customFormat="1">
      <c r="AK3115" s="3">
        <v>3109</v>
      </c>
      <c r="AL3115" s="163">
        <v>3.3586185971018789</v>
      </c>
    </row>
    <row r="3116" spans="37:38" s="4" customFormat="1">
      <c r="AK3116" s="3">
        <v>3110</v>
      </c>
      <c r="AL3116" s="163">
        <v>3.3592728085222965</v>
      </c>
    </row>
    <row r="3117" spans="37:38" s="4" customFormat="1">
      <c r="AK3117" s="3">
        <v>3111</v>
      </c>
      <c r="AL3117" s="163">
        <v>3.3599272586015743</v>
      </c>
    </row>
    <row r="3118" spans="37:38" s="4" customFormat="1">
      <c r="AK3118" s="3">
        <v>3112</v>
      </c>
      <c r="AL3118" s="163">
        <v>3.3605819474494885</v>
      </c>
    </row>
    <row r="3119" spans="37:38" s="4" customFormat="1">
      <c r="AK3119" s="3">
        <v>3113</v>
      </c>
      <c r="AL3119" s="163">
        <v>3.3612368751754573</v>
      </c>
    </row>
    <row r="3120" spans="37:38" s="4" customFormat="1">
      <c r="AK3120" s="3">
        <v>3114</v>
      </c>
      <c r="AL3120" s="163">
        <v>3.3618920418885456</v>
      </c>
    </row>
    <row r="3121" spans="37:38" s="4" customFormat="1">
      <c r="AK3121" s="3">
        <v>3115</v>
      </c>
      <c r="AL3121" s="163">
        <v>3.3625474476974584</v>
      </c>
    </row>
    <row r="3122" spans="37:38" s="4" customFormat="1">
      <c r="AK3122" s="3">
        <v>3116</v>
      </c>
      <c r="AL3122" s="163">
        <v>3.3632030927105472</v>
      </c>
    </row>
    <row r="3123" spans="37:38" s="4" customFormat="1">
      <c r="AK3123" s="3">
        <v>3117</v>
      </c>
      <c r="AL3123" s="163">
        <v>3.3638589770358087</v>
      </c>
    </row>
    <row r="3124" spans="37:38" s="4" customFormat="1">
      <c r="AK3124" s="3">
        <v>3118</v>
      </c>
      <c r="AL3124" s="163">
        <v>3.3645151007808827</v>
      </c>
    </row>
    <row r="3125" spans="37:38" s="4" customFormat="1">
      <c r="AK3125" s="3">
        <v>3119</v>
      </c>
      <c r="AL3125" s="163">
        <v>3.3651714640530535</v>
      </c>
    </row>
    <row r="3126" spans="37:38" s="4" customFormat="1">
      <c r="AK3126" s="3">
        <v>3120</v>
      </c>
      <c r="AL3126" s="163">
        <v>3.3658280669592435</v>
      </c>
    </row>
    <row r="3127" spans="37:38" s="4" customFormat="1">
      <c r="AK3127" s="3">
        <v>3121</v>
      </c>
      <c r="AL3127" s="163">
        <v>3.3664849096060316</v>
      </c>
    </row>
    <row r="3128" spans="37:38" s="4" customFormat="1">
      <c r="AK3128" s="3">
        <v>3122</v>
      </c>
      <c r="AL3128" s="163">
        <v>3.3671419920996297</v>
      </c>
    </row>
    <row r="3129" spans="37:38" s="4" customFormat="1">
      <c r="AK3129" s="3">
        <v>3123</v>
      </c>
      <c r="AL3129" s="163">
        <v>3.3677993145459038</v>
      </c>
    </row>
    <row r="3130" spans="37:38" s="4" customFormat="1">
      <c r="AK3130" s="3">
        <v>3124</v>
      </c>
      <c r="AL3130" s="163">
        <v>3.3684568770503613</v>
      </c>
    </row>
    <row r="3131" spans="37:38" s="4" customFormat="1">
      <c r="AK3131" s="3">
        <v>3125</v>
      </c>
      <c r="AL3131" s="163">
        <v>3.3691146797181548</v>
      </c>
    </row>
    <row r="3132" spans="37:38" s="4" customFormat="1">
      <c r="AK3132" s="3">
        <v>3126</v>
      </c>
      <c r="AL3132" s="163">
        <v>3.3697727226540835</v>
      </c>
    </row>
    <row r="3133" spans="37:38" s="4" customFormat="1">
      <c r="AK3133" s="3">
        <v>3127</v>
      </c>
      <c r="AL3133" s="163">
        <v>3.3704310059625904</v>
      </c>
    </row>
    <row r="3134" spans="37:38" s="4" customFormat="1">
      <c r="AK3134" s="3">
        <v>3128</v>
      </c>
      <c r="AL3134" s="163">
        <v>3.3710895297477665</v>
      </c>
    </row>
    <row r="3135" spans="37:38" s="4" customFormat="1">
      <c r="AK3135" s="3">
        <v>3129</v>
      </c>
      <c r="AL3135" s="163">
        <v>3.3717482941133468</v>
      </c>
    </row>
    <row r="3136" spans="37:38" s="4" customFormat="1">
      <c r="AK3136" s="3">
        <v>3130</v>
      </c>
      <c r="AL3136" s="163">
        <v>3.3724072991627181</v>
      </c>
    </row>
    <row r="3137" spans="37:38" s="4" customFormat="1">
      <c r="AK3137" s="3">
        <v>3131</v>
      </c>
      <c r="AL3137" s="163">
        <v>3.373066544998907</v>
      </c>
    </row>
    <row r="3138" spans="37:38" s="4" customFormat="1">
      <c r="AK3138" s="3">
        <v>3132</v>
      </c>
      <c r="AL3138" s="163">
        <v>3.3737260317245874</v>
      </c>
    </row>
    <row r="3139" spans="37:38" s="4" customFormat="1">
      <c r="AK3139" s="3">
        <v>3133</v>
      </c>
      <c r="AL3139" s="163">
        <v>3.3743857594420854</v>
      </c>
    </row>
    <row r="3140" spans="37:38" s="4" customFormat="1">
      <c r="AK3140" s="3">
        <v>3134</v>
      </c>
      <c r="AL3140" s="163">
        <v>3.3750457282533701</v>
      </c>
    </row>
    <row r="3141" spans="37:38" s="4" customFormat="1">
      <c r="AK3141" s="3">
        <v>3135</v>
      </c>
      <c r="AL3141" s="163">
        <v>3.3757059382600554</v>
      </c>
    </row>
    <row r="3142" spans="37:38" s="4" customFormat="1">
      <c r="AK3142" s="3">
        <v>3136</v>
      </c>
      <c r="AL3142" s="163">
        <v>3.3763663895634086</v>
      </c>
    </row>
    <row r="3143" spans="37:38" s="4" customFormat="1">
      <c r="AK3143" s="3">
        <v>3137</v>
      </c>
      <c r="AL3143" s="163">
        <v>3.377027082264342</v>
      </c>
    </row>
    <row r="3144" spans="37:38" s="4" customFormat="1">
      <c r="AK3144" s="3">
        <v>3138</v>
      </c>
      <c r="AL3144" s="163">
        <v>3.377688016463416</v>
      </c>
    </row>
    <row r="3145" spans="37:38" s="4" customFormat="1">
      <c r="AK3145" s="3">
        <v>3139</v>
      </c>
      <c r="AL3145" s="163">
        <v>3.3783491922608371</v>
      </c>
    </row>
    <row r="3146" spans="37:38" s="4" customFormat="1">
      <c r="AK3146" s="3">
        <v>3140</v>
      </c>
      <c r="AL3146" s="163">
        <v>3.3790106097564587</v>
      </c>
    </row>
    <row r="3147" spans="37:38" s="4" customFormat="1">
      <c r="AK3147" s="3">
        <v>3141</v>
      </c>
      <c r="AL3147" s="163">
        <v>3.3796722690497898</v>
      </c>
    </row>
    <row r="3148" spans="37:38" s="4" customFormat="1">
      <c r="AK3148" s="3">
        <v>3142</v>
      </c>
      <c r="AL3148" s="163">
        <v>3.3803341702399763</v>
      </c>
    </row>
    <row r="3149" spans="37:38" s="4" customFormat="1">
      <c r="AK3149" s="3">
        <v>3143</v>
      </c>
      <c r="AL3149" s="163">
        <v>3.3809963134258267</v>
      </c>
    </row>
    <row r="3150" spans="37:38" s="4" customFormat="1">
      <c r="AK3150" s="3">
        <v>3144</v>
      </c>
      <c r="AL3150" s="163">
        <v>3.3816586987057908</v>
      </c>
    </row>
    <row r="3151" spans="37:38" s="4" customFormat="1">
      <c r="AK3151" s="3">
        <v>3145</v>
      </c>
      <c r="AL3151" s="163">
        <v>3.3823213261779657</v>
      </c>
    </row>
    <row r="3152" spans="37:38" s="4" customFormat="1">
      <c r="AK3152" s="3">
        <v>3146</v>
      </c>
      <c r="AL3152" s="163">
        <v>3.3829841959400975</v>
      </c>
    </row>
    <row r="3153" spans="37:38" s="4" customFormat="1">
      <c r="AK3153" s="3">
        <v>3147</v>
      </c>
      <c r="AL3153" s="163">
        <v>3.3836473080895875</v>
      </c>
    </row>
    <row r="3154" spans="37:38" s="4" customFormat="1">
      <c r="AK3154" s="3">
        <v>3148</v>
      </c>
      <c r="AL3154" s="163">
        <v>3.384310662723482</v>
      </c>
    </row>
    <row r="3155" spans="37:38" s="4" customFormat="1">
      <c r="AK3155" s="3">
        <v>3149</v>
      </c>
      <c r="AL3155" s="163">
        <v>3.3849742599384798</v>
      </c>
    </row>
    <row r="3156" spans="37:38" s="4" customFormat="1">
      <c r="AK3156" s="3">
        <v>3150</v>
      </c>
      <c r="AL3156" s="163">
        <v>3.385638099830929</v>
      </c>
    </row>
    <row r="3157" spans="37:38" s="4" customFormat="1">
      <c r="AK3157" s="3">
        <v>3151</v>
      </c>
      <c r="AL3157" s="163">
        <v>3.3863021824968236</v>
      </c>
    </row>
    <row r="3158" spans="37:38" s="4" customFormat="1">
      <c r="AK3158" s="3">
        <v>3152</v>
      </c>
      <c r="AL3158" s="163">
        <v>3.386966508031815</v>
      </c>
    </row>
    <row r="3159" spans="37:38" s="4" customFormat="1">
      <c r="AK3159" s="3">
        <v>3153</v>
      </c>
      <c r="AL3159" s="163">
        <v>3.3876310765311994</v>
      </c>
    </row>
    <row r="3160" spans="37:38" s="4" customFormat="1">
      <c r="AK3160" s="3">
        <v>3154</v>
      </c>
      <c r="AL3160" s="163">
        <v>3.3882958880899272</v>
      </c>
    </row>
    <row r="3161" spans="37:38" s="4" customFormat="1">
      <c r="AK3161" s="3">
        <v>3155</v>
      </c>
      <c r="AL3161" s="163">
        <v>3.3889609428025995</v>
      </c>
    </row>
    <row r="3162" spans="37:38" s="4" customFormat="1">
      <c r="AK3162" s="3">
        <v>3156</v>
      </c>
      <c r="AL3162" s="163">
        <v>3.3896262407634641</v>
      </c>
    </row>
    <row r="3163" spans="37:38" s="4" customFormat="1">
      <c r="AK3163" s="3">
        <v>3157</v>
      </c>
      <c r="AL3163" s="163">
        <v>3.3902917820664271</v>
      </c>
    </row>
    <row r="3164" spans="37:38" s="4" customFormat="1">
      <c r="AK3164" s="3">
        <v>3158</v>
      </c>
      <c r="AL3164" s="163">
        <v>3.39095756680504</v>
      </c>
    </row>
    <row r="3165" spans="37:38" s="4" customFormat="1">
      <c r="AK3165" s="3">
        <v>3159</v>
      </c>
      <c r="AL3165" s="163">
        <v>3.3916235950725082</v>
      </c>
    </row>
    <row r="3166" spans="37:38" s="4" customFormat="1">
      <c r="AK3166" s="3">
        <v>3160</v>
      </c>
      <c r="AL3166" s="163">
        <v>3.3922898669616908</v>
      </c>
    </row>
    <row r="3167" spans="37:38" s="4" customFormat="1">
      <c r="AK3167" s="3">
        <v>3161</v>
      </c>
      <c r="AL3167" s="163">
        <v>3.3929563825650959</v>
      </c>
    </row>
    <row r="3168" spans="37:38" s="4" customFormat="1">
      <c r="AK3168" s="3">
        <v>3162</v>
      </c>
      <c r="AL3168" s="163">
        <v>3.3936231419748815</v>
      </c>
    </row>
    <row r="3169" spans="37:38" s="4" customFormat="1">
      <c r="AK3169" s="3">
        <v>3163</v>
      </c>
      <c r="AL3169" s="163">
        <v>3.3942901452828687</v>
      </c>
    </row>
    <row r="3170" spans="37:38" s="4" customFormat="1">
      <c r="AK3170" s="3">
        <v>3164</v>
      </c>
      <c r="AL3170" s="163">
        <v>3.3949573925805185</v>
      </c>
    </row>
    <row r="3171" spans="37:38" s="4" customFormat="1">
      <c r="AK3171" s="3">
        <v>3165</v>
      </c>
      <c r="AL3171" s="163">
        <v>3.3956248839589529</v>
      </c>
    </row>
    <row r="3172" spans="37:38" s="4" customFormat="1">
      <c r="AK3172" s="3">
        <v>3166</v>
      </c>
      <c r="AL3172" s="163">
        <v>3.3962926195089391</v>
      </c>
    </row>
    <row r="3173" spans="37:38" s="4" customFormat="1">
      <c r="AK3173" s="3">
        <v>3167</v>
      </c>
      <c r="AL3173" s="163">
        <v>3.3969605993209089</v>
      </c>
    </row>
    <row r="3174" spans="37:38" s="4" customFormat="1">
      <c r="AK3174" s="3">
        <v>3168</v>
      </c>
      <c r="AL3174" s="163">
        <v>3.3976288234849354</v>
      </c>
    </row>
    <row r="3175" spans="37:38" s="4" customFormat="1">
      <c r="AK3175" s="3">
        <v>3169</v>
      </c>
      <c r="AL3175" s="163">
        <v>3.3982972920907537</v>
      </c>
    </row>
    <row r="3176" spans="37:38" s="4" customFormat="1">
      <c r="AK3176" s="3">
        <v>3170</v>
      </c>
      <c r="AL3176" s="163">
        <v>3.3989660052277486</v>
      </c>
    </row>
    <row r="3177" spans="37:38" s="4" customFormat="1">
      <c r="AK3177" s="3">
        <v>3171</v>
      </c>
      <c r="AL3177" s="163">
        <v>3.3996349629849565</v>
      </c>
    </row>
    <row r="3178" spans="37:38" s="4" customFormat="1">
      <c r="AK3178" s="3">
        <v>3172</v>
      </c>
      <c r="AL3178" s="163">
        <v>3.4003041654510762</v>
      </c>
    </row>
    <row r="3179" spans="37:38" s="4" customFormat="1">
      <c r="AK3179" s="3">
        <v>3173</v>
      </c>
      <c r="AL3179" s="163">
        <v>3.4009736127144508</v>
      </c>
    </row>
    <row r="3180" spans="37:38" s="4" customFormat="1">
      <c r="AK3180" s="3">
        <v>3174</v>
      </c>
      <c r="AL3180" s="163">
        <v>3.4016433048630836</v>
      </c>
    </row>
    <row r="3181" spans="37:38" s="4" customFormat="1">
      <c r="AK3181" s="3">
        <v>3175</v>
      </c>
      <c r="AL3181" s="163">
        <v>3.4023132419846314</v>
      </c>
    </row>
    <row r="3182" spans="37:38" s="4" customFormat="1">
      <c r="AK3182" s="3">
        <v>3176</v>
      </c>
      <c r="AL3182" s="163">
        <v>3.402983424166405</v>
      </c>
    </row>
    <row r="3183" spans="37:38" s="4" customFormat="1">
      <c r="AK3183" s="3">
        <v>3177</v>
      </c>
      <c r="AL3183" s="163">
        <v>3.4036538514953731</v>
      </c>
    </row>
    <row r="3184" spans="37:38" s="4" customFormat="1">
      <c r="AK3184" s="3">
        <v>3178</v>
      </c>
      <c r="AL3184" s="163">
        <v>3.4043245240581537</v>
      </c>
    </row>
    <row r="3185" spans="37:38" s="4" customFormat="1">
      <c r="AK3185" s="3">
        <v>3179</v>
      </c>
      <c r="AL3185" s="163">
        <v>3.4049954419410233</v>
      </c>
    </row>
    <row r="3186" spans="37:38" s="4" customFormat="1">
      <c r="AK3186" s="3">
        <v>3180</v>
      </c>
      <c r="AL3186" s="163">
        <v>3.4056666052299138</v>
      </c>
    </row>
    <row r="3187" spans="37:38" s="4" customFormat="1">
      <c r="AK3187" s="3">
        <v>3181</v>
      </c>
      <c r="AL3187" s="163">
        <v>3.4063380140104162</v>
      </c>
    </row>
    <row r="3188" spans="37:38" s="4" customFormat="1">
      <c r="AK3188" s="3">
        <v>3182</v>
      </c>
      <c r="AL3188" s="163">
        <v>3.40700966836777</v>
      </c>
    </row>
    <row r="3189" spans="37:38" s="4" customFormat="1">
      <c r="AK3189" s="3">
        <v>3183</v>
      </c>
      <c r="AL3189" s="163">
        <v>3.4076815683868804</v>
      </c>
    </row>
    <row r="3190" spans="37:38" s="4" customFormat="1">
      <c r="AK3190" s="3">
        <v>3184</v>
      </c>
      <c r="AL3190" s="163">
        <v>3.4083537141522968</v>
      </c>
    </row>
    <row r="3191" spans="37:38" s="4" customFormat="1">
      <c r="AK3191" s="3">
        <v>3185</v>
      </c>
      <c r="AL3191" s="163">
        <v>3.4090261057482372</v>
      </c>
    </row>
    <row r="3192" spans="37:38" s="4" customFormat="1">
      <c r="AK3192" s="3">
        <v>3186</v>
      </c>
      <c r="AL3192" s="163">
        <v>3.4096987432585659</v>
      </c>
    </row>
    <row r="3193" spans="37:38" s="4" customFormat="1">
      <c r="AK3193" s="3">
        <v>3187</v>
      </c>
      <c r="AL3193" s="163">
        <v>3.4103716267668114</v>
      </c>
    </row>
    <row r="3194" spans="37:38" s="4" customFormat="1">
      <c r="AK3194" s="3">
        <v>3188</v>
      </c>
      <c r="AL3194" s="163">
        <v>3.4110447563561541</v>
      </c>
    </row>
    <row r="3195" spans="37:38" s="4" customFormat="1">
      <c r="AK3195" s="3">
        <v>3189</v>
      </c>
      <c r="AL3195" s="163">
        <v>3.4117181321094372</v>
      </c>
    </row>
    <row r="3196" spans="37:38" s="4" customFormat="1">
      <c r="AK3196" s="3">
        <v>3190</v>
      </c>
      <c r="AL3196" s="163">
        <v>3.4123917541091524</v>
      </c>
    </row>
    <row r="3197" spans="37:38" s="4" customFormat="1">
      <c r="AK3197" s="3">
        <v>3191</v>
      </c>
      <c r="AL3197" s="163">
        <v>3.4130656224374603</v>
      </c>
    </row>
    <row r="3198" spans="37:38" s="4" customFormat="1">
      <c r="AK3198" s="3">
        <v>3192</v>
      </c>
      <c r="AL3198" s="163">
        <v>3.4137397371761669</v>
      </c>
    </row>
    <row r="3199" spans="37:38" s="4" customFormat="1">
      <c r="AK3199" s="3">
        <v>3193</v>
      </c>
      <c r="AL3199" s="163">
        <v>3.4144140984067475</v>
      </c>
    </row>
    <row r="3200" spans="37:38" s="4" customFormat="1">
      <c r="AK3200" s="3">
        <v>3194</v>
      </c>
      <c r="AL3200" s="163">
        <v>3.415088706210327</v>
      </c>
    </row>
    <row r="3201" spans="37:38" s="4" customFormat="1">
      <c r="AK3201" s="3">
        <v>3195</v>
      </c>
      <c r="AL3201" s="163">
        <v>3.4157635606676946</v>
      </c>
    </row>
    <row r="3202" spans="37:38" s="4" customFormat="1">
      <c r="AK3202" s="3">
        <v>3196</v>
      </c>
      <c r="AL3202" s="163">
        <v>3.4164386618592921</v>
      </c>
    </row>
    <row r="3203" spans="37:38" s="4" customFormat="1">
      <c r="AK3203" s="3">
        <v>3197</v>
      </c>
      <c r="AL3203" s="163">
        <v>3.4171140098652271</v>
      </c>
    </row>
    <row r="3204" spans="37:38" s="4" customFormat="1">
      <c r="AK3204" s="3">
        <v>3198</v>
      </c>
      <c r="AL3204" s="163">
        <v>3.4177896047652556</v>
      </c>
    </row>
    <row r="3205" spans="37:38" s="4" customFormat="1">
      <c r="AK3205" s="3">
        <v>3199</v>
      </c>
      <c r="AL3205" s="163">
        <v>3.4184654466388031</v>
      </c>
    </row>
    <row r="3206" spans="37:38" s="4" customFormat="1">
      <c r="AK3206" s="3">
        <v>3200</v>
      </c>
      <c r="AL3206" s="163">
        <v>3.4191415355649495</v>
      </c>
    </row>
    <row r="3207" spans="37:38" s="4" customFormat="1">
      <c r="AK3207" s="3">
        <v>3201</v>
      </c>
      <c r="AL3207" s="163">
        <v>3.419817871622433</v>
      </c>
    </row>
    <row r="3208" spans="37:38" s="4" customFormat="1">
      <c r="AK3208" s="3">
        <v>3202</v>
      </c>
      <c r="AL3208" s="163">
        <v>3.4204944548896536</v>
      </c>
    </row>
    <row r="3209" spans="37:38" s="4" customFormat="1">
      <c r="AK3209" s="3">
        <v>3203</v>
      </c>
      <c r="AL3209" s="163">
        <v>3.4211712854446708</v>
      </c>
    </row>
    <row r="3210" spans="37:38" s="4" customFormat="1">
      <c r="AK3210" s="3">
        <v>3204</v>
      </c>
      <c r="AL3210" s="163">
        <v>3.4218483633652026</v>
      </c>
    </row>
    <row r="3211" spans="37:38" s="4" customFormat="1">
      <c r="AK3211" s="3">
        <v>3205</v>
      </c>
      <c r="AL3211" s="163">
        <v>3.4225256887286299</v>
      </c>
    </row>
    <row r="3212" spans="37:38" s="4" customFormat="1">
      <c r="AK3212" s="3">
        <v>3206</v>
      </c>
      <c r="AL3212" s="163">
        <v>3.4232032616119858</v>
      </c>
    </row>
    <row r="3213" spans="37:38" s="4" customFormat="1">
      <c r="AK3213" s="3">
        <v>3207</v>
      </c>
      <c r="AL3213" s="163">
        <v>3.4238810820919783</v>
      </c>
    </row>
    <row r="3214" spans="37:38" s="4" customFormat="1">
      <c r="AK3214" s="3">
        <v>3208</v>
      </c>
      <c r="AL3214" s="163">
        <v>3.424559150244959</v>
      </c>
    </row>
    <row r="3215" spans="37:38" s="4" customFormat="1">
      <c r="AK3215" s="3">
        <v>3209</v>
      </c>
      <c r="AL3215" s="163">
        <v>3.4252374661469571</v>
      </c>
    </row>
    <row r="3216" spans="37:38" s="4" customFormat="1">
      <c r="AK3216" s="3">
        <v>3210</v>
      </c>
      <c r="AL3216" s="163">
        <v>3.4259160298736511</v>
      </c>
    </row>
    <row r="3217" spans="37:38" s="4" customFormat="1">
      <c r="AK3217" s="3">
        <v>3211</v>
      </c>
      <c r="AL3217" s="163">
        <v>3.4265948415003846</v>
      </c>
    </row>
    <row r="3218" spans="37:38" s="4" customFormat="1">
      <c r="AK3218" s="3">
        <v>3212</v>
      </c>
      <c r="AL3218" s="163">
        <v>3.4272739011021569</v>
      </c>
    </row>
    <row r="3219" spans="37:38" s="4" customFormat="1">
      <c r="AK3219" s="3">
        <v>3213</v>
      </c>
      <c r="AL3219" s="163">
        <v>3.4279532087536406</v>
      </c>
    </row>
    <row r="3220" spans="37:38" s="4" customFormat="1">
      <c r="AK3220" s="3">
        <v>3214</v>
      </c>
      <c r="AL3220" s="163">
        <v>3.428632764529163</v>
      </c>
    </row>
    <row r="3221" spans="37:38" s="4" customFormat="1">
      <c r="AK3221" s="3">
        <v>3215</v>
      </c>
      <c r="AL3221" s="163">
        <v>3.429312568502707</v>
      </c>
    </row>
    <row r="3222" spans="37:38" s="4" customFormat="1">
      <c r="AK3222" s="3">
        <v>3216</v>
      </c>
      <c r="AL3222" s="163">
        <v>3.4299926207479352</v>
      </c>
    </row>
    <row r="3223" spans="37:38" s="4" customFormat="1">
      <c r="AK3223" s="3">
        <v>3217</v>
      </c>
      <c r="AL3223" s="163">
        <v>3.4306729213381546</v>
      </c>
    </row>
    <row r="3224" spans="37:38" s="4" customFormat="1">
      <c r="AK3224" s="3">
        <v>3218</v>
      </c>
      <c r="AL3224" s="163">
        <v>3.4313534703463411</v>
      </c>
    </row>
    <row r="3225" spans="37:38" s="4" customFormat="1">
      <c r="AK3225" s="3">
        <v>3219</v>
      </c>
      <c r="AL3225" s="163">
        <v>3.4320342678451357</v>
      </c>
    </row>
    <row r="3226" spans="37:38" s="4" customFormat="1">
      <c r="AK3226" s="3">
        <v>3220</v>
      </c>
      <c r="AL3226" s="163">
        <v>3.4327153139068414</v>
      </c>
    </row>
    <row r="3227" spans="37:38" s="4" customFormat="1">
      <c r="AK3227" s="3">
        <v>3221</v>
      </c>
      <c r="AL3227" s="163">
        <v>3.4333966086034211</v>
      </c>
    </row>
    <row r="3228" spans="37:38" s="4" customFormat="1">
      <c r="AK3228" s="3">
        <v>3222</v>
      </c>
      <c r="AL3228" s="163">
        <v>3.4340781520065069</v>
      </c>
    </row>
    <row r="3229" spans="37:38" s="4" customFormat="1">
      <c r="AK3229" s="3">
        <v>3223</v>
      </c>
      <c r="AL3229" s="163">
        <v>3.4347599441873813</v>
      </c>
    </row>
    <row r="3230" spans="37:38" s="4" customFormat="1">
      <c r="AK3230" s="3">
        <v>3224</v>
      </c>
      <c r="AL3230" s="163">
        <v>3.4354419852170137</v>
      </c>
    </row>
    <row r="3231" spans="37:38" s="4" customFormat="1">
      <c r="AK3231" s="3">
        <v>3225</v>
      </c>
      <c r="AL3231" s="163">
        <v>3.4361242751660113</v>
      </c>
    </row>
    <row r="3232" spans="37:38" s="4" customFormat="1">
      <c r="AK3232" s="3">
        <v>3226</v>
      </c>
      <c r="AL3232" s="163">
        <v>3.4368068141046582</v>
      </c>
    </row>
    <row r="3233" spans="37:38" s="4" customFormat="1">
      <c r="AK3233" s="3">
        <v>3227</v>
      </c>
      <c r="AL3233" s="163">
        <v>3.4374896021029047</v>
      </c>
    </row>
    <row r="3234" spans="37:38" s="4" customFormat="1">
      <c r="AK3234" s="3">
        <v>3228</v>
      </c>
      <c r="AL3234" s="163">
        <v>3.438172639230364</v>
      </c>
    </row>
    <row r="3235" spans="37:38" s="4" customFormat="1">
      <c r="AK3235" s="3">
        <v>3229</v>
      </c>
      <c r="AL3235" s="163">
        <v>3.4388559255563083</v>
      </c>
    </row>
    <row r="3236" spans="37:38" s="4" customFormat="1">
      <c r="AK3236" s="3">
        <v>3230</v>
      </c>
      <c r="AL3236" s="163">
        <v>3.439539461149677</v>
      </c>
    </row>
    <row r="3237" spans="37:38" s="4" customFormat="1">
      <c r="AK3237" s="3">
        <v>3231</v>
      </c>
      <c r="AL3237" s="163">
        <v>3.4402232460790745</v>
      </c>
    </row>
    <row r="3238" spans="37:38" s="4" customFormat="1">
      <c r="AK3238" s="3">
        <v>3232</v>
      </c>
      <c r="AL3238" s="163">
        <v>3.4409072804127763</v>
      </c>
    </row>
    <row r="3239" spans="37:38" s="4" customFormat="1">
      <c r="AK3239" s="3">
        <v>3233</v>
      </c>
      <c r="AL3239" s="163">
        <v>3.4415915642187134</v>
      </c>
    </row>
    <row r="3240" spans="37:38" s="4" customFormat="1">
      <c r="AK3240" s="3">
        <v>3234</v>
      </c>
      <c r="AL3240" s="163">
        <v>3.4422760975644833</v>
      </c>
    </row>
    <row r="3241" spans="37:38" s="4" customFormat="1">
      <c r="AK3241" s="3">
        <v>3235</v>
      </c>
      <c r="AL3241" s="163">
        <v>3.4429608805173646</v>
      </c>
    </row>
    <row r="3242" spans="37:38" s="4" customFormat="1">
      <c r="AK3242" s="3">
        <v>3236</v>
      </c>
      <c r="AL3242" s="163">
        <v>3.4436459131442803</v>
      </c>
    </row>
    <row r="3243" spans="37:38" s="4" customFormat="1">
      <c r="AK3243" s="3">
        <v>3237</v>
      </c>
      <c r="AL3243" s="163">
        <v>3.444331195511829</v>
      </c>
    </row>
    <row r="3244" spans="37:38" s="4" customFormat="1">
      <c r="AK3244" s="3">
        <v>3238</v>
      </c>
      <c r="AL3244" s="163">
        <v>3.4450167276862715</v>
      </c>
    </row>
    <row r="3245" spans="37:38" s="4" customFormat="1">
      <c r="AK3245" s="3">
        <v>3239</v>
      </c>
      <c r="AL3245" s="163">
        <v>3.4457025097335521</v>
      </c>
    </row>
    <row r="3246" spans="37:38" s="4" customFormat="1">
      <c r="AK3246" s="3">
        <v>3240</v>
      </c>
      <c r="AL3246" s="163">
        <v>3.4463885417192528</v>
      </c>
    </row>
    <row r="3247" spans="37:38" s="4" customFormat="1">
      <c r="AK3247" s="3">
        <v>3241</v>
      </c>
      <c r="AL3247" s="163">
        <v>3.447074823708645</v>
      </c>
    </row>
    <row r="3248" spans="37:38" s="4" customFormat="1">
      <c r="AK3248" s="3">
        <v>3242</v>
      </c>
      <c r="AL3248" s="163">
        <v>3.4477613557666511</v>
      </c>
    </row>
    <row r="3249" spans="37:38" s="4" customFormat="1">
      <c r="AK3249" s="3">
        <v>3243</v>
      </c>
      <c r="AL3249" s="163">
        <v>3.4484481379578837</v>
      </c>
    </row>
    <row r="3250" spans="37:38" s="4" customFormat="1">
      <c r="AK3250" s="3">
        <v>3244</v>
      </c>
      <c r="AL3250" s="163">
        <v>3.4491351703465964</v>
      </c>
    </row>
    <row r="3251" spans="37:38" s="4" customFormat="1">
      <c r="AK3251" s="3">
        <v>3245</v>
      </c>
      <c r="AL3251" s="163">
        <v>3.4498224529967203</v>
      </c>
    </row>
    <row r="3252" spans="37:38" s="4" customFormat="1">
      <c r="AK3252" s="3">
        <v>3246</v>
      </c>
      <c r="AL3252" s="163">
        <v>3.4505099859718658</v>
      </c>
    </row>
    <row r="3253" spans="37:38" s="4" customFormat="1">
      <c r="AK3253" s="3">
        <v>3247</v>
      </c>
      <c r="AL3253" s="163">
        <v>3.451197769335288</v>
      </c>
    </row>
    <row r="3254" spans="37:38" s="4" customFormat="1">
      <c r="AK3254" s="3">
        <v>3248</v>
      </c>
      <c r="AL3254" s="163">
        <v>3.4518858031499331</v>
      </c>
    </row>
    <row r="3255" spans="37:38" s="4" customFormat="1">
      <c r="AK3255" s="3">
        <v>3249</v>
      </c>
      <c r="AL3255" s="163">
        <v>3.4525740874783981</v>
      </c>
    </row>
    <row r="3256" spans="37:38" s="4" customFormat="1">
      <c r="AK3256" s="3">
        <v>3250</v>
      </c>
      <c r="AL3256" s="163">
        <v>3.453262622382959</v>
      </c>
    </row>
    <row r="3257" spans="37:38" s="4" customFormat="1">
      <c r="AK3257" s="3">
        <v>3251</v>
      </c>
      <c r="AL3257" s="163">
        <v>3.4539514079255493</v>
      </c>
    </row>
    <row r="3258" spans="37:38" s="4" customFormat="1">
      <c r="AK3258" s="3">
        <v>3252</v>
      </c>
      <c r="AL3258" s="163">
        <v>3.4546404441677914</v>
      </c>
    </row>
    <row r="3259" spans="37:38" s="4" customFormat="1">
      <c r="AK3259" s="3">
        <v>3253</v>
      </c>
      <c r="AL3259" s="163">
        <v>3.4553297311709517</v>
      </c>
    </row>
    <row r="3260" spans="37:38" s="4" customFormat="1">
      <c r="AK3260" s="3">
        <v>3254</v>
      </c>
      <c r="AL3260" s="163">
        <v>3.4560192689959837</v>
      </c>
    </row>
    <row r="3261" spans="37:38" s="4" customFormat="1">
      <c r="AK3261" s="3">
        <v>3255</v>
      </c>
      <c r="AL3261" s="163">
        <v>3.4567090577035007</v>
      </c>
    </row>
    <row r="3262" spans="37:38" s="4" customFormat="1">
      <c r="AK3262" s="3">
        <v>3256</v>
      </c>
      <c r="AL3262" s="163">
        <v>3.4573990973537896</v>
      </c>
    </row>
    <row r="3263" spans="37:38" s="4" customFormat="1">
      <c r="AK3263" s="3">
        <v>3257</v>
      </c>
      <c r="AL3263" s="163">
        <v>3.4580893880068069</v>
      </c>
    </row>
    <row r="3264" spans="37:38" s="4" customFormat="1">
      <c r="AK3264" s="3">
        <v>3258</v>
      </c>
      <c r="AL3264" s="163">
        <v>3.458779929722176</v>
      </c>
    </row>
    <row r="3265" spans="37:38" s="4" customFormat="1">
      <c r="AK3265" s="3">
        <v>3259</v>
      </c>
      <c r="AL3265" s="163">
        <v>3.4594707225591983</v>
      </c>
    </row>
    <row r="3266" spans="37:38" s="4" customFormat="1">
      <c r="AK3266" s="3">
        <v>3260</v>
      </c>
      <c r="AL3266" s="163">
        <v>3.4601617665768312</v>
      </c>
    </row>
    <row r="3267" spans="37:38" s="4" customFormat="1">
      <c r="AK3267" s="3">
        <v>3261</v>
      </c>
      <c r="AL3267" s="163">
        <v>3.4608530618337139</v>
      </c>
    </row>
    <row r="3268" spans="37:38" s="4" customFormat="1">
      <c r="AK3268" s="3">
        <v>3262</v>
      </c>
      <c r="AL3268" s="163">
        <v>3.4615446083881536</v>
      </c>
    </row>
    <row r="3269" spans="37:38" s="4" customFormat="1">
      <c r="AK3269" s="3">
        <v>3263</v>
      </c>
      <c r="AL3269" s="163">
        <v>3.4622364062981306</v>
      </c>
    </row>
    <row r="3270" spans="37:38" s="4" customFormat="1">
      <c r="AK3270" s="3">
        <v>3264</v>
      </c>
      <c r="AL3270" s="163">
        <v>3.4629284556212832</v>
      </c>
    </row>
    <row r="3271" spans="37:38" s="4" customFormat="1">
      <c r="AK3271" s="3">
        <v>3265</v>
      </c>
      <c r="AL3271" s="163">
        <v>3.4636207564149424</v>
      </c>
    </row>
    <row r="3272" spans="37:38" s="4" customFormat="1">
      <c r="AK3272" s="3">
        <v>3266</v>
      </c>
      <c r="AL3272" s="163">
        <v>3.4643133087360933</v>
      </c>
    </row>
    <row r="3273" spans="37:38" s="4" customFormat="1">
      <c r="AK3273" s="3">
        <v>3267</v>
      </c>
      <c r="AL3273" s="163">
        <v>3.4650061126413934</v>
      </c>
    </row>
    <row r="3274" spans="37:38" s="4" customFormat="1">
      <c r="AK3274" s="3">
        <v>3268</v>
      </c>
      <c r="AL3274" s="163">
        <v>3.4656991681871809</v>
      </c>
    </row>
    <row r="3275" spans="37:38" s="4" customFormat="1">
      <c r="AK3275" s="3">
        <v>3269</v>
      </c>
      <c r="AL3275" s="163">
        <v>3.4663924754294624</v>
      </c>
    </row>
    <row r="3276" spans="37:38" s="4" customFormat="1">
      <c r="AK3276" s="3">
        <v>3270</v>
      </c>
      <c r="AL3276" s="163">
        <v>3.4670860344239127</v>
      </c>
    </row>
    <row r="3277" spans="37:38" s="4" customFormat="1">
      <c r="AK3277" s="3">
        <v>3271</v>
      </c>
      <c r="AL3277" s="163">
        <v>3.4677798452258792</v>
      </c>
    </row>
    <row r="3278" spans="37:38" s="4" customFormat="1">
      <c r="AK3278" s="3">
        <v>3272</v>
      </c>
      <c r="AL3278" s="163">
        <v>3.4684739078903917</v>
      </c>
    </row>
    <row r="3279" spans="37:38" s="4" customFormat="1">
      <c r="AK3279" s="3">
        <v>3273</v>
      </c>
      <c r="AL3279" s="163">
        <v>3.4691682224721334</v>
      </c>
    </row>
    <row r="3280" spans="37:38" s="4" customFormat="1">
      <c r="AK3280" s="3">
        <v>3274</v>
      </c>
      <c r="AL3280" s="163">
        <v>3.469862789025485</v>
      </c>
    </row>
    <row r="3281" spans="37:38" s="4" customFormat="1">
      <c r="AK3281" s="3">
        <v>3275</v>
      </c>
      <c r="AL3281" s="163">
        <v>3.4705576076044751</v>
      </c>
    </row>
    <row r="3282" spans="37:38" s="4" customFormat="1">
      <c r="AK3282" s="3">
        <v>3276</v>
      </c>
      <c r="AL3282" s="163">
        <v>3.4712526782628252</v>
      </c>
    </row>
    <row r="3283" spans="37:38" s="4" customFormat="1">
      <c r="AK3283" s="3">
        <v>3277</v>
      </c>
      <c r="AL3283" s="163">
        <v>3.4719480010539123</v>
      </c>
    </row>
    <row r="3284" spans="37:38" s="4" customFormat="1">
      <c r="AK3284" s="3">
        <v>3278</v>
      </c>
      <c r="AL3284" s="163">
        <v>3.4726435760308014</v>
      </c>
    </row>
    <row r="3285" spans="37:38" s="4" customFormat="1">
      <c r="AK3285" s="3">
        <v>3279</v>
      </c>
      <c r="AL3285" s="163">
        <v>3.4733394032462304</v>
      </c>
    </row>
    <row r="3286" spans="37:38" s="4" customFormat="1">
      <c r="AK3286" s="3">
        <v>3280</v>
      </c>
      <c r="AL3286" s="163">
        <v>3.4740354827526008</v>
      </c>
    </row>
    <row r="3287" spans="37:38" s="4" customFormat="1">
      <c r="AK3287" s="3">
        <v>3281</v>
      </c>
      <c r="AL3287" s="163">
        <v>3.4747318146019959</v>
      </c>
    </row>
    <row r="3288" spans="37:38" s="4" customFormat="1">
      <c r="AK3288" s="3">
        <v>3282</v>
      </c>
      <c r="AL3288" s="163">
        <v>3.4754283988461752</v>
      </c>
    </row>
    <row r="3289" spans="37:38" s="4" customFormat="1">
      <c r="AK3289" s="3">
        <v>3283</v>
      </c>
      <c r="AL3289" s="163">
        <v>3.4761252355365633</v>
      </c>
    </row>
    <row r="3290" spans="37:38" s="4" customFormat="1">
      <c r="AK3290" s="3">
        <v>3284</v>
      </c>
      <c r="AL3290" s="163">
        <v>3.4768223247242638</v>
      </c>
    </row>
    <row r="3291" spans="37:38" s="4" customFormat="1">
      <c r="AK3291" s="3">
        <v>3285</v>
      </c>
      <c r="AL3291" s="163">
        <v>3.4775196664600623</v>
      </c>
    </row>
    <row r="3292" spans="37:38" s="4" customFormat="1">
      <c r="AK3292" s="3">
        <v>3286</v>
      </c>
      <c r="AL3292" s="163">
        <v>3.4782172607944104</v>
      </c>
    </row>
    <row r="3293" spans="37:38" s="4" customFormat="1">
      <c r="AK3293" s="3">
        <v>3287</v>
      </c>
      <c r="AL3293" s="163">
        <v>3.4789151077774374</v>
      </c>
    </row>
    <row r="3294" spans="37:38" s="4" customFormat="1">
      <c r="AK3294" s="3">
        <v>3288</v>
      </c>
      <c r="AL3294" s="163">
        <v>3.4796132074589456</v>
      </c>
    </row>
    <row r="3295" spans="37:38" s="4" customFormat="1">
      <c r="AK3295" s="3">
        <v>3289</v>
      </c>
      <c r="AL3295" s="163">
        <v>3.4803115598884249</v>
      </c>
    </row>
    <row r="3296" spans="37:38" s="4" customFormat="1">
      <c r="AK3296" s="3">
        <v>3290</v>
      </c>
      <c r="AL3296" s="163">
        <v>3.4810101651150154</v>
      </c>
    </row>
    <row r="3297" spans="37:38" s="4" customFormat="1">
      <c r="AK3297" s="3">
        <v>3291</v>
      </c>
      <c r="AL3297" s="163">
        <v>3.4817090231875607</v>
      </c>
    </row>
    <row r="3298" spans="37:38" s="4" customFormat="1">
      <c r="AK3298" s="3">
        <v>3292</v>
      </c>
      <c r="AL3298" s="163">
        <v>3.4824081341545647</v>
      </c>
    </row>
    <row r="3299" spans="37:38" s="4" customFormat="1">
      <c r="AK3299" s="3">
        <v>3293</v>
      </c>
      <c r="AL3299" s="163">
        <v>3.4831074980642169</v>
      </c>
    </row>
    <row r="3300" spans="37:38" s="4" customFormat="1">
      <c r="AK3300" s="3">
        <v>3294</v>
      </c>
      <c r="AL3300" s="163">
        <v>3.4838071149643701</v>
      </c>
    </row>
    <row r="3301" spans="37:38" s="4" customFormat="1">
      <c r="AK3301" s="3">
        <v>3295</v>
      </c>
      <c r="AL3301" s="163">
        <v>3.4845069849025627</v>
      </c>
    </row>
    <row r="3302" spans="37:38" s="4" customFormat="1">
      <c r="AK3302" s="3">
        <v>3296</v>
      </c>
      <c r="AL3302" s="163">
        <v>3.4852071079260147</v>
      </c>
    </row>
    <row r="3303" spans="37:38" s="4" customFormat="1">
      <c r="AK3303" s="3">
        <v>3297</v>
      </c>
      <c r="AL3303" s="163">
        <v>3.4859074840816087</v>
      </c>
    </row>
    <row r="3304" spans="37:38" s="4" customFormat="1">
      <c r="AK3304" s="3">
        <v>3298</v>
      </c>
      <c r="AL3304" s="163">
        <v>3.4866081134159179</v>
      </c>
    </row>
    <row r="3305" spans="37:38" s="4" customFormat="1">
      <c r="AK3305" s="3">
        <v>3299</v>
      </c>
      <c r="AL3305" s="163">
        <v>3.4873089959751882</v>
      </c>
    </row>
    <row r="3306" spans="37:38" s="4" customFormat="1">
      <c r="AK3306" s="3">
        <v>3300</v>
      </c>
      <c r="AL3306" s="163">
        <v>3.4880101318053391</v>
      </c>
    </row>
    <row r="3307" spans="37:38" s="4" customFormat="1">
      <c r="AK3307" s="3">
        <v>3301</v>
      </c>
      <c r="AL3307" s="163">
        <v>3.4887115209519739</v>
      </c>
    </row>
    <row r="3308" spans="37:38" s="4" customFormat="1">
      <c r="AK3308" s="3">
        <v>3302</v>
      </c>
      <c r="AL3308" s="163">
        <v>3.4894131634603704</v>
      </c>
    </row>
    <row r="3309" spans="37:38" s="4" customFormat="1">
      <c r="AK3309" s="3">
        <v>3303</v>
      </c>
      <c r="AL3309" s="163">
        <v>3.4901150593754839</v>
      </c>
    </row>
    <row r="3310" spans="37:38" s="4" customFormat="1">
      <c r="AK3310" s="3">
        <v>3304</v>
      </c>
      <c r="AL3310" s="163">
        <v>3.4908172087419524</v>
      </c>
    </row>
    <row r="3311" spans="37:38" s="4" customFormat="1">
      <c r="AK3311" s="3">
        <v>3305</v>
      </c>
      <c r="AL3311" s="163">
        <v>3.4915196116040814</v>
      </c>
    </row>
    <row r="3312" spans="37:38" s="4" customFormat="1">
      <c r="AK3312" s="3">
        <v>3306</v>
      </c>
      <c r="AL3312" s="163">
        <v>3.4922222680058694</v>
      </c>
    </row>
    <row r="3313" spans="37:38" s="4" customFormat="1">
      <c r="AK3313" s="3">
        <v>3307</v>
      </c>
      <c r="AL3313" s="163">
        <v>3.4929251779909869</v>
      </c>
    </row>
    <row r="3314" spans="37:38" s="4" customFormat="1">
      <c r="AK3314" s="3">
        <v>3308</v>
      </c>
      <c r="AL3314" s="163">
        <v>3.4936283416027747</v>
      </c>
    </row>
    <row r="3315" spans="37:38" s="4" customFormat="1">
      <c r="AK3315" s="3">
        <v>3309</v>
      </c>
      <c r="AL3315" s="163">
        <v>3.4943317588842771</v>
      </c>
    </row>
    <row r="3316" spans="37:38" s="4" customFormat="1">
      <c r="AK3316" s="3">
        <v>3310</v>
      </c>
      <c r="AL3316" s="163">
        <v>3.4950354298781887</v>
      </c>
    </row>
    <row r="3317" spans="37:38" s="4" customFormat="1">
      <c r="AK3317" s="3">
        <v>3311</v>
      </c>
      <c r="AL3317" s="163">
        <v>3.4957393546269047</v>
      </c>
    </row>
    <row r="3318" spans="37:38" s="4" customFormat="1">
      <c r="AK3318" s="3">
        <v>3312</v>
      </c>
      <c r="AL3318" s="163">
        <v>3.4964435331724912</v>
      </c>
    </row>
    <row r="3319" spans="37:38" s="4" customFormat="1">
      <c r="AK3319" s="3">
        <v>3313</v>
      </c>
      <c r="AL3319" s="163">
        <v>3.4971479655566924</v>
      </c>
    </row>
    <row r="3320" spans="37:38" s="4" customFormat="1">
      <c r="AK3320" s="3">
        <v>3314</v>
      </c>
      <c r="AL3320" s="163">
        <v>3.4978526518209323</v>
      </c>
    </row>
    <row r="3321" spans="37:38" s="4" customFormat="1">
      <c r="AK3321" s="3">
        <v>3315</v>
      </c>
      <c r="AL3321" s="163">
        <v>3.4985575920063274</v>
      </c>
    </row>
    <row r="3322" spans="37:38" s="4" customFormat="1">
      <c r="AK3322" s="3">
        <v>3316</v>
      </c>
      <c r="AL3322" s="163">
        <v>3.4992627861536585</v>
      </c>
    </row>
    <row r="3323" spans="37:38" s="4" customFormat="1">
      <c r="AK3323" s="3">
        <v>3317</v>
      </c>
      <c r="AL3323" s="163">
        <v>3.4999682343033975</v>
      </c>
    </row>
    <row r="3324" spans="37:38" s="4" customFormat="1">
      <c r="AK3324" s="3">
        <v>3318</v>
      </c>
      <c r="AL3324" s="163">
        <v>3.5006739364956934</v>
      </c>
    </row>
    <row r="3325" spans="37:38" s="4" customFormat="1">
      <c r="AK3325" s="3">
        <v>3319</v>
      </c>
      <c r="AL3325" s="163">
        <v>3.5013798927703821</v>
      </c>
    </row>
    <row r="3326" spans="37:38" s="4" customFormat="1">
      <c r="AK3326" s="3">
        <v>3320</v>
      </c>
      <c r="AL3326" s="163">
        <v>3.5020861031669659</v>
      </c>
    </row>
    <row r="3327" spans="37:38" s="4" customFormat="1">
      <c r="AK3327" s="3">
        <v>3321</v>
      </c>
      <c r="AL3327" s="163">
        <v>3.5027925677246361</v>
      </c>
    </row>
    <row r="3328" spans="37:38" s="4" customFormat="1">
      <c r="AK3328" s="3">
        <v>3322</v>
      </c>
      <c r="AL3328" s="163">
        <v>3.5034992864822803</v>
      </c>
    </row>
    <row r="3329" spans="37:38" s="4" customFormat="1">
      <c r="AK3329" s="3">
        <v>3323</v>
      </c>
      <c r="AL3329" s="163">
        <v>3.504206259478444</v>
      </c>
    </row>
    <row r="3330" spans="37:38" s="4" customFormat="1">
      <c r="AK3330" s="3">
        <v>3324</v>
      </c>
      <c r="AL3330" s="163">
        <v>3.5049134867513669</v>
      </c>
    </row>
    <row r="3331" spans="37:38" s="4" customFormat="1">
      <c r="AK3331" s="3">
        <v>3325</v>
      </c>
      <c r="AL3331" s="163">
        <v>3.5056209683389721</v>
      </c>
    </row>
    <row r="3332" spans="37:38" s="4" customFormat="1">
      <c r="AK3332" s="3">
        <v>3326</v>
      </c>
      <c r="AL3332" s="163">
        <v>3.5063287042788605</v>
      </c>
    </row>
    <row r="3333" spans="37:38" s="4" customFormat="1">
      <c r="AK3333" s="3">
        <v>3327</v>
      </c>
      <c r="AL3333" s="163">
        <v>3.5070366946083187</v>
      </c>
    </row>
    <row r="3334" spans="37:38" s="4" customFormat="1">
      <c r="AK3334" s="3">
        <v>3328</v>
      </c>
      <c r="AL3334" s="163">
        <v>3.5077449393643096</v>
      </c>
    </row>
    <row r="3335" spans="37:38" s="4" customFormat="1">
      <c r="AK3335" s="3">
        <v>3329</v>
      </c>
      <c r="AL3335" s="163">
        <v>3.5084534385834929</v>
      </c>
    </row>
    <row r="3336" spans="37:38" s="4" customFormat="1">
      <c r="AK3336" s="3">
        <v>3330</v>
      </c>
      <c r="AL3336" s="163">
        <v>3.5091621923021918</v>
      </c>
    </row>
    <row r="3337" spans="37:38" s="4" customFormat="1">
      <c r="AK3337" s="3">
        <v>3331</v>
      </c>
      <c r="AL3337" s="163">
        <v>3.5098712005564274</v>
      </c>
    </row>
    <row r="3338" spans="37:38" s="4" customFormat="1">
      <c r="AK3338" s="3">
        <v>3332</v>
      </c>
      <c r="AL3338" s="163">
        <v>3.5105804633819044</v>
      </c>
    </row>
    <row r="3339" spans="37:38" s="4" customFormat="1">
      <c r="AK3339" s="3">
        <v>3333</v>
      </c>
      <c r="AL3339" s="163">
        <v>3.5112899808139963</v>
      </c>
    </row>
    <row r="3340" spans="37:38" s="4" customFormat="1">
      <c r="AK3340" s="3">
        <v>3334</v>
      </c>
      <c r="AL3340" s="163">
        <v>3.5119997528877809</v>
      </c>
    </row>
    <row r="3341" spans="37:38" s="4" customFormat="1">
      <c r="AK3341" s="3">
        <v>3335</v>
      </c>
      <c r="AL3341" s="163">
        <v>3.5127097796380022</v>
      </c>
    </row>
    <row r="3342" spans="37:38" s="4" customFormat="1">
      <c r="AK3342" s="3">
        <v>3336</v>
      </c>
      <c r="AL3342" s="163">
        <v>3.5134200610990982</v>
      </c>
    </row>
    <row r="3343" spans="37:38" s="4" customFormat="1">
      <c r="AK3343" s="3">
        <v>3337</v>
      </c>
      <c r="AL3343" s="163">
        <v>3.51413059730519</v>
      </c>
    </row>
    <row r="3344" spans="37:38" s="4" customFormat="1">
      <c r="AK3344" s="3">
        <v>3338</v>
      </c>
      <c r="AL3344" s="163">
        <v>3.5148413882900811</v>
      </c>
    </row>
    <row r="3345" spans="37:38" s="4" customFormat="1">
      <c r="AK3345" s="3">
        <v>3339</v>
      </c>
      <c r="AL3345" s="163">
        <v>3.5155524340872604</v>
      </c>
    </row>
    <row r="3346" spans="37:38" s="4" customFormat="1">
      <c r="AK3346" s="3">
        <v>3340</v>
      </c>
      <c r="AL3346" s="163">
        <v>3.5162637347299013</v>
      </c>
    </row>
    <row r="3347" spans="37:38" s="4" customFormat="1">
      <c r="AK3347" s="3">
        <v>3341</v>
      </c>
      <c r="AL3347" s="163">
        <v>3.5169752902508642</v>
      </c>
    </row>
    <row r="3348" spans="37:38" s="4" customFormat="1">
      <c r="AK3348" s="3">
        <v>3342</v>
      </c>
      <c r="AL3348" s="163">
        <v>3.5176871006826893</v>
      </c>
    </row>
    <row r="3349" spans="37:38" s="4" customFormat="1">
      <c r="AK3349" s="3">
        <v>3343</v>
      </c>
      <c r="AL3349" s="163">
        <v>3.5183991660576104</v>
      </c>
    </row>
    <row r="3350" spans="37:38" s="4" customFormat="1">
      <c r="AK3350" s="3">
        <v>3344</v>
      </c>
      <c r="AL3350" s="163">
        <v>3.519111486407537</v>
      </c>
    </row>
    <row r="3351" spans="37:38" s="4" customFormat="1">
      <c r="AK3351" s="3">
        <v>3345</v>
      </c>
      <c r="AL3351" s="163">
        <v>3.5198240617640755</v>
      </c>
    </row>
    <row r="3352" spans="37:38" s="4" customFormat="1">
      <c r="AK3352" s="3">
        <v>3346</v>
      </c>
      <c r="AL3352" s="163">
        <v>3.5205368921585123</v>
      </c>
    </row>
    <row r="3353" spans="37:38" s="4" customFormat="1">
      <c r="AK3353" s="3">
        <v>3347</v>
      </c>
      <c r="AL3353" s="163">
        <v>3.5212499776218165</v>
      </c>
    </row>
    <row r="3354" spans="37:38" s="4" customFormat="1">
      <c r="AK3354" s="3">
        <v>3348</v>
      </c>
      <c r="AL3354" s="163">
        <v>3.5219633181846506</v>
      </c>
    </row>
    <row r="3355" spans="37:38" s="4" customFormat="1">
      <c r="AK3355" s="3">
        <v>3349</v>
      </c>
      <c r="AL3355" s="163">
        <v>3.522676913877357</v>
      </c>
    </row>
    <row r="3356" spans="37:38" s="4" customFormat="1">
      <c r="AK3356" s="3">
        <v>3350</v>
      </c>
      <c r="AL3356" s="163">
        <v>3.5233907647299736</v>
      </c>
    </row>
    <row r="3357" spans="37:38" s="4" customFormat="1">
      <c r="AK3357" s="3">
        <v>3351</v>
      </c>
      <c r="AL3357" s="163">
        <v>3.5241048707722173</v>
      </c>
    </row>
    <row r="3358" spans="37:38" s="4" customFormat="1">
      <c r="AK3358" s="3">
        <v>3352</v>
      </c>
      <c r="AL3358" s="163">
        <v>3.5248192320334906</v>
      </c>
    </row>
    <row r="3359" spans="37:38" s="4" customFormat="1">
      <c r="AK3359" s="3">
        <v>3353</v>
      </c>
      <c r="AL3359" s="163">
        <v>3.5255338485428895</v>
      </c>
    </row>
    <row r="3360" spans="37:38" s="4" customFormat="1">
      <c r="AK3360" s="3">
        <v>3354</v>
      </c>
      <c r="AL3360" s="163">
        <v>3.5262487203291975</v>
      </c>
    </row>
    <row r="3361" spans="37:38" s="4" customFormat="1">
      <c r="AK3361" s="3">
        <v>3355</v>
      </c>
      <c r="AL3361" s="163">
        <v>3.5269638474208795</v>
      </c>
    </row>
    <row r="3362" spans="37:38" s="4" customFormat="1">
      <c r="AK3362" s="3">
        <v>3356</v>
      </c>
      <c r="AL3362" s="163">
        <v>3.5276792298460942</v>
      </c>
    </row>
    <row r="3363" spans="37:38" s="4" customFormat="1">
      <c r="AK3363" s="3">
        <v>3357</v>
      </c>
      <c r="AL3363" s="163">
        <v>3.5283948676326879</v>
      </c>
    </row>
    <row r="3364" spans="37:38" s="4" customFormat="1">
      <c r="AK3364" s="3">
        <v>3358</v>
      </c>
      <c r="AL3364" s="163">
        <v>3.5291107608081895</v>
      </c>
    </row>
    <row r="3365" spans="37:38" s="4" customFormat="1">
      <c r="AK3365" s="3">
        <v>3359</v>
      </c>
      <c r="AL3365" s="163">
        <v>3.529826909399818</v>
      </c>
    </row>
    <row r="3366" spans="37:38" s="4" customFormat="1">
      <c r="AK3366" s="3">
        <v>3360</v>
      </c>
      <c r="AL3366" s="163">
        <v>3.5305433134344888</v>
      </c>
    </row>
    <row r="3367" spans="37:38" s="4" customFormat="1">
      <c r="AK3367" s="3">
        <v>3361</v>
      </c>
      <c r="AL3367" s="163">
        <v>3.531259972938797</v>
      </c>
    </row>
    <row r="3368" spans="37:38" s="4" customFormat="1">
      <c r="AK3368" s="3">
        <v>3362</v>
      </c>
      <c r="AL3368" s="163">
        <v>3.5319768879390274</v>
      </c>
    </row>
    <row r="3369" spans="37:38" s="4" customFormat="1">
      <c r="AK3369" s="3">
        <v>3363</v>
      </c>
      <c r="AL3369" s="163">
        <v>3.5326940584611606</v>
      </c>
    </row>
    <row r="3370" spans="37:38" s="4" customFormat="1">
      <c r="AK3370" s="3">
        <v>3364</v>
      </c>
      <c r="AL3370" s="163">
        <v>3.5334114845308608</v>
      </c>
    </row>
    <row r="3371" spans="37:38" s="4" customFormat="1">
      <c r="AK3371" s="3">
        <v>3365</v>
      </c>
      <c r="AL3371" s="163">
        <v>3.5341291661734795</v>
      </c>
    </row>
    <row r="3372" spans="37:38" s="4" customFormat="1">
      <c r="AK3372" s="3">
        <v>3366</v>
      </c>
      <c r="AL3372" s="163">
        <v>3.5348471034140641</v>
      </c>
    </row>
    <row r="3373" spans="37:38" s="4" customFormat="1">
      <c r="AK3373" s="3">
        <v>3367</v>
      </c>
      <c r="AL3373" s="163">
        <v>3.5355652962773516</v>
      </c>
    </row>
    <row r="3374" spans="37:38" s="4" customFormat="1">
      <c r="AK3374" s="3">
        <v>3368</v>
      </c>
      <c r="AL3374" s="163">
        <v>3.5362837447877555</v>
      </c>
    </row>
    <row r="3375" spans="37:38" s="4" customFormat="1">
      <c r="AK3375" s="3">
        <v>3369</v>
      </c>
      <c r="AL3375" s="163">
        <v>3.5370024489694023</v>
      </c>
    </row>
    <row r="3376" spans="37:38" s="4" customFormat="1">
      <c r="AK3376" s="3">
        <v>3370</v>
      </c>
      <c r="AL3376" s="163">
        <v>3.5377214088460924</v>
      </c>
    </row>
    <row r="3377" spans="37:38" s="4" customFormat="1">
      <c r="AK3377" s="3">
        <v>3371</v>
      </c>
      <c r="AL3377" s="163">
        <v>3.5384406244413169</v>
      </c>
    </row>
    <row r="3378" spans="37:38" s="4" customFormat="1">
      <c r="AK3378" s="3">
        <v>3372</v>
      </c>
      <c r="AL3378" s="163">
        <v>3.5391600957782661</v>
      </c>
    </row>
    <row r="3379" spans="37:38" s="4" customFormat="1">
      <c r="AK3379" s="3">
        <v>3373</v>
      </c>
      <c r="AL3379" s="163">
        <v>3.5398798228798172</v>
      </c>
    </row>
    <row r="3380" spans="37:38" s="4" customFormat="1">
      <c r="AK3380" s="3">
        <v>3374</v>
      </c>
      <c r="AL3380" s="163">
        <v>3.5405998057685384</v>
      </c>
    </row>
    <row r="3381" spans="37:38" s="4" customFormat="1">
      <c r="AK3381" s="3">
        <v>3375</v>
      </c>
      <c r="AL3381" s="163">
        <v>3.5413200444666839</v>
      </c>
    </row>
    <row r="3382" spans="37:38" s="4" customFormat="1">
      <c r="AK3382" s="3">
        <v>3376</v>
      </c>
      <c r="AL3382" s="163">
        <v>3.5420405389962144</v>
      </c>
    </row>
    <row r="3383" spans="37:38" s="4" customFormat="1">
      <c r="AK3383" s="3">
        <v>3377</v>
      </c>
      <c r="AL3383" s="163">
        <v>3.5427612893787606</v>
      </c>
    </row>
    <row r="3384" spans="37:38" s="4" customFormat="1">
      <c r="AK3384" s="3">
        <v>3378</v>
      </c>
      <c r="AL3384" s="163">
        <v>3.5434822956356671</v>
      </c>
    </row>
    <row r="3385" spans="37:38" s="4" customFormat="1">
      <c r="AK3385" s="3">
        <v>3379</v>
      </c>
      <c r="AL3385" s="163">
        <v>3.5442035577879523</v>
      </c>
    </row>
    <row r="3386" spans="37:38" s="4" customFormat="1">
      <c r="AK3386" s="3">
        <v>3380</v>
      </c>
      <c r="AL3386" s="163">
        <v>3.5449250758563378</v>
      </c>
    </row>
    <row r="3387" spans="37:38" s="4" customFormat="1">
      <c r="AK3387" s="3">
        <v>3381</v>
      </c>
      <c r="AL3387" s="163">
        <v>3.5456468498612366</v>
      </c>
    </row>
    <row r="3388" spans="37:38" s="4" customFormat="1">
      <c r="AK3388" s="3">
        <v>3382</v>
      </c>
      <c r="AL3388" s="163">
        <v>3.5463688798227508</v>
      </c>
    </row>
    <row r="3389" spans="37:38" s="4" customFormat="1">
      <c r="AK3389" s="3">
        <v>3383</v>
      </c>
      <c r="AL3389" s="163">
        <v>3.5470911657606701</v>
      </c>
    </row>
    <row r="3390" spans="37:38" s="4" customFormat="1">
      <c r="AK3390" s="3">
        <v>3384</v>
      </c>
      <c r="AL3390" s="163">
        <v>3.5478137076944956</v>
      </c>
    </row>
    <row r="3391" spans="37:38" s="4" customFormat="1">
      <c r="AK3391" s="3">
        <v>3385</v>
      </c>
      <c r="AL3391" s="163">
        <v>3.5485365056433986</v>
      </c>
    </row>
    <row r="3392" spans="37:38" s="4" customFormat="1">
      <c r="AK3392" s="3">
        <v>3386</v>
      </c>
      <c r="AL3392" s="163">
        <v>3.5492595596262575</v>
      </c>
    </row>
    <row r="3393" spans="37:38" s="4" customFormat="1">
      <c r="AK3393" s="3">
        <v>3387</v>
      </c>
      <c r="AL3393" s="163">
        <v>3.5499828696616462</v>
      </c>
    </row>
    <row r="3394" spans="37:38" s="4" customFormat="1">
      <c r="AK3394" s="3">
        <v>3388</v>
      </c>
      <c r="AL3394" s="163">
        <v>3.5507064357678262</v>
      </c>
    </row>
    <row r="3395" spans="37:38" s="4" customFormat="1">
      <c r="AK3395" s="3">
        <v>3389</v>
      </c>
      <c r="AL3395" s="163">
        <v>3.5514302579627492</v>
      </c>
    </row>
    <row r="3396" spans="37:38" s="4" customFormat="1">
      <c r="AK3396" s="3">
        <v>3390</v>
      </c>
      <c r="AL3396" s="163">
        <v>3.5521543362640644</v>
      </c>
    </row>
    <row r="3397" spans="37:38" s="4" customFormat="1">
      <c r="AK3397" s="3">
        <v>3391</v>
      </c>
      <c r="AL3397" s="163">
        <v>3.5528786706891244</v>
      </c>
    </row>
    <row r="3398" spans="37:38" s="4" customFormat="1">
      <c r="AK3398" s="3">
        <v>3392</v>
      </c>
      <c r="AL3398" s="163">
        <v>3.5536032612549642</v>
      </c>
    </row>
    <row r="3399" spans="37:38" s="4" customFormat="1">
      <c r="AK3399" s="3">
        <v>3393</v>
      </c>
      <c r="AL3399" s="163">
        <v>3.5543281079783182</v>
      </c>
    </row>
    <row r="3400" spans="37:38" s="4" customFormat="1">
      <c r="AK3400" s="3">
        <v>3394</v>
      </c>
      <c r="AL3400" s="163">
        <v>3.5550532108756085</v>
      </c>
    </row>
    <row r="3401" spans="37:38" s="4" customFormat="1">
      <c r="AK3401" s="3">
        <v>3395</v>
      </c>
      <c r="AL3401" s="163">
        <v>3.5557785699629716</v>
      </c>
    </row>
    <row r="3402" spans="37:38" s="4" customFormat="1">
      <c r="AK3402" s="3">
        <v>3396</v>
      </c>
      <c r="AL3402" s="163">
        <v>3.5565041852562111</v>
      </c>
    </row>
    <row r="3403" spans="37:38" s="4" customFormat="1">
      <c r="AK3403" s="3">
        <v>3397</v>
      </c>
      <c r="AL3403" s="163">
        <v>3.5572300567708499</v>
      </c>
    </row>
    <row r="3404" spans="37:38" s="4" customFormat="1">
      <c r="AK3404" s="3">
        <v>3398</v>
      </c>
      <c r="AL3404" s="163">
        <v>3.5579561845220988</v>
      </c>
    </row>
    <row r="3405" spans="37:38" s="4" customFormat="1">
      <c r="AK3405" s="3">
        <v>3399</v>
      </c>
      <c r="AL3405" s="163">
        <v>3.5586825685248598</v>
      </c>
    </row>
    <row r="3406" spans="37:38" s="4" customFormat="1">
      <c r="AK3406" s="3">
        <v>3400</v>
      </c>
      <c r="AL3406" s="163">
        <v>3.5594092087937295</v>
      </c>
    </row>
    <row r="3407" spans="37:38" s="4" customFormat="1">
      <c r="AK3407" s="3">
        <v>3401</v>
      </c>
      <c r="AL3407" s="163">
        <v>3.5601361053430152</v>
      </c>
    </row>
    <row r="3408" spans="37:38" s="4" customFormat="1">
      <c r="AK3408" s="3">
        <v>3402</v>
      </c>
      <c r="AL3408" s="163">
        <v>3.5608632581867008</v>
      </c>
    </row>
    <row r="3409" spans="37:38" s="4" customFormat="1">
      <c r="AK3409" s="3">
        <v>3403</v>
      </c>
      <c r="AL3409" s="163">
        <v>3.5615906673384776</v>
      </c>
    </row>
    <row r="3410" spans="37:38" s="4" customFormat="1">
      <c r="AK3410" s="3">
        <v>3404</v>
      </c>
      <c r="AL3410" s="163">
        <v>3.562318332811734</v>
      </c>
    </row>
    <row r="3411" spans="37:38" s="4" customFormat="1">
      <c r="AK3411" s="3">
        <v>3405</v>
      </c>
      <c r="AL3411" s="163">
        <v>3.5630462546195507</v>
      </c>
    </row>
    <row r="3412" spans="37:38" s="4" customFormat="1">
      <c r="AK3412" s="3">
        <v>3406</v>
      </c>
      <c r="AL3412" s="163">
        <v>3.5637744327747165</v>
      </c>
    </row>
    <row r="3413" spans="37:38" s="4" customFormat="1">
      <c r="AK3413" s="3">
        <v>3407</v>
      </c>
      <c r="AL3413" s="163">
        <v>3.5645028672896939</v>
      </c>
    </row>
    <row r="3414" spans="37:38" s="4" customFormat="1">
      <c r="AK3414" s="3">
        <v>3408</v>
      </c>
      <c r="AL3414" s="163">
        <v>3.5652315581766683</v>
      </c>
    </row>
    <row r="3415" spans="37:38" s="4" customFormat="1">
      <c r="AK3415" s="3">
        <v>3409</v>
      </c>
      <c r="AL3415" s="163">
        <v>3.5659605054475039</v>
      </c>
    </row>
    <row r="3416" spans="37:38" s="4" customFormat="1">
      <c r="AK3416" s="3">
        <v>3410</v>
      </c>
      <c r="AL3416" s="163">
        <v>3.5666897091137773</v>
      </c>
    </row>
    <row r="3417" spans="37:38" s="4" customFormat="1">
      <c r="AK3417" s="3">
        <v>3411</v>
      </c>
      <c r="AL3417" s="163">
        <v>3.5674191691867554</v>
      </c>
    </row>
    <row r="3418" spans="37:38" s="4" customFormat="1">
      <c r="AK3418" s="3">
        <v>3412</v>
      </c>
      <c r="AL3418" s="163">
        <v>3.568148885677398</v>
      </c>
    </row>
    <row r="3419" spans="37:38" s="4" customFormat="1">
      <c r="AK3419" s="3">
        <v>3413</v>
      </c>
      <c r="AL3419" s="163">
        <v>3.5688788585963778</v>
      </c>
    </row>
    <row r="3420" spans="37:38" s="4" customFormat="1">
      <c r="AK3420" s="3">
        <v>3414</v>
      </c>
      <c r="AL3420" s="163">
        <v>3.5696090879540461</v>
      </c>
    </row>
    <row r="3421" spans="37:38" s="4" customFormat="1">
      <c r="AK3421" s="3">
        <v>3415</v>
      </c>
      <c r="AL3421" s="163">
        <v>3.5703395737604691</v>
      </c>
    </row>
    <row r="3422" spans="37:38" s="4" customFormat="1">
      <c r="AK3422" s="3">
        <v>3416</v>
      </c>
      <c r="AL3422" s="163">
        <v>3.5710703160254074</v>
      </c>
    </row>
    <row r="3423" spans="37:38" s="4" customFormat="1">
      <c r="AK3423" s="3">
        <v>3417</v>
      </c>
      <c r="AL3423" s="163">
        <v>3.5718013147583303</v>
      </c>
    </row>
    <row r="3424" spans="37:38" s="4" customFormat="1">
      <c r="AK3424" s="3">
        <v>3418</v>
      </c>
      <c r="AL3424" s="163">
        <v>3.572532569968371</v>
      </c>
    </row>
    <row r="3425" spans="37:38" s="4" customFormat="1">
      <c r="AK3425" s="3">
        <v>3419</v>
      </c>
      <c r="AL3425" s="163">
        <v>3.5732640816644063</v>
      </c>
    </row>
    <row r="3426" spans="37:38" s="4" customFormat="1">
      <c r="AK3426" s="3">
        <v>3420</v>
      </c>
      <c r="AL3426" s="163">
        <v>3.5739958498549886</v>
      </c>
    </row>
    <row r="3427" spans="37:38" s="4" customFormat="1">
      <c r="AK3427" s="3">
        <v>3421</v>
      </c>
      <c r="AL3427" s="163">
        <v>3.5747278745483717</v>
      </c>
    </row>
    <row r="3428" spans="37:38" s="4" customFormat="1">
      <c r="AK3428" s="3">
        <v>3422</v>
      </c>
      <c r="AL3428" s="163">
        <v>3.5754601557525154</v>
      </c>
    </row>
    <row r="3429" spans="37:38" s="4" customFormat="1">
      <c r="AK3429" s="3">
        <v>3423</v>
      </c>
      <c r="AL3429" s="163">
        <v>3.5761926934750687</v>
      </c>
    </row>
    <row r="3430" spans="37:38" s="4" customFormat="1">
      <c r="AK3430" s="3">
        <v>3424</v>
      </c>
      <c r="AL3430" s="163">
        <v>3.5769254877233987</v>
      </c>
    </row>
    <row r="3431" spans="37:38" s="4" customFormat="1">
      <c r="AK3431" s="3">
        <v>3425</v>
      </c>
      <c r="AL3431" s="163">
        <v>3.5776585385045556</v>
      </c>
    </row>
    <row r="3432" spans="37:38" s="4" customFormat="1">
      <c r="AK3432" s="3">
        <v>3426</v>
      </c>
      <c r="AL3432" s="163">
        <v>3.5783918458253026</v>
      </c>
    </row>
    <row r="3433" spans="37:38" s="4" customFormat="1">
      <c r="AK3433" s="3">
        <v>3427</v>
      </c>
      <c r="AL3433" s="163">
        <v>3.5791254096920913</v>
      </c>
    </row>
    <row r="3434" spans="37:38" s="4" customFormat="1">
      <c r="AK3434" s="3">
        <v>3428</v>
      </c>
      <c r="AL3434" s="163">
        <v>3.5798592301110901</v>
      </c>
    </row>
    <row r="3435" spans="37:38" s="4" customFormat="1">
      <c r="AK3435" s="3">
        <v>3429</v>
      </c>
      <c r="AL3435" s="163">
        <v>3.5805933070881522</v>
      </c>
    </row>
    <row r="3436" spans="37:38" s="4" customFormat="1">
      <c r="AK3436" s="3">
        <v>3430</v>
      </c>
      <c r="AL3436" s="163">
        <v>3.5813276406288415</v>
      </c>
    </row>
    <row r="3437" spans="37:38" s="4" customFormat="1">
      <c r="AK3437" s="3">
        <v>3431</v>
      </c>
      <c r="AL3437" s="163">
        <v>3.5820622307384249</v>
      </c>
    </row>
    <row r="3438" spans="37:38" s="4" customFormat="1">
      <c r="AK3438" s="3">
        <v>3432</v>
      </c>
      <c r="AL3438" s="163">
        <v>3.5827970774218638</v>
      </c>
    </row>
    <row r="3439" spans="37:38" s="4" customFormat="1">
      <c r="AK3439" s="3">
        <v>3433</v>
      </c>
      <c r="AL3439" s="163">
        <v>3.5835321806838327</v>
      </c>
    </row>
    <row r="3440" spans="37:38" s="4" customFormat="1">
      <c r="AK3440" s="3">
        <v>3434</v>
      </c>
      <c r="AL3440" s="163">
        <v>3.5842675405286939</v>
      </c>
    </row>
    <row r="3441" spans="37:38" s="4" customFormat="1">
      <c r="AK3441" s="3">
        <v>3435</v>
      </c>
      <c r="AL3441" s="163">
        <v>3.5850031569605196</v>
      </c>
    </row>
    <row r="3442" spans="37:38" s="4" customFormat="1">
      <c r="AK3442" s="3">
        <v>3436</v>
      </c>
      <c r="AL3442" s="163">
        <v>3.5857390299830918</v>
      </c>
    </row>
    <row r="3443" spans="37:38" s="4" customFormat="1">
      <c r="AK3443" s="3">
        <v>3437</v>
      </c>
      <c r="AL3443" s="163">
        <v>3.5864751595998765</v>
      </c>
    </row>
    <row r="3444" spans="37:38" s="4" customFormat="1">
      <c r="AK3444" s="3">
        <v>3438</v>
      </c>
      <c r="AL3444" s="163">
        <v>3.5872115458140605</v>
      </c>
    </row>
    <row r="3445" spans="37:38" s="4" customFormat="1">
      <c r="AK3445" s="3">
        <v>3439</v>
      </c>
      <c r="AL3445" s="163">
        <v>3.5879481886285323</v>
      </c>
    </row>
    <row r="3446" spans="37:38" s="4" customFormat="1">
      <c r="AK3446" s="3">
        <v>3440</v>
      </c>
      <c r="AL3446" s="163">
        <v>3.5886850880458634</v>
      </c>
    </row>
    <row r="3447" spans="37:38" s="4" customFormat="1">
      <c r="AK3447" s="3">
        <v>3441</v>
      </c>
      <c r="AL3447" s="163">
        <v>3.5894222440683539</v>
      </c>
    </row>
    <row r="3448" spans="37:38" s="4" customFormat="1">
      <c r="AK3448" s="3">
        <v>3442</v>
      </c>
      <c r="AL3448" s="163">
        <v>3.5901596566979919</v>
      </c>
    </row>
    <row r="3449" spans="37:38" s="4" customFormat="1">
      <c r="AK3449" s="3">
        <v>3443</v>
      </c>
      <c r="AL3449" s="163">
        <v>3.5908973259364778</v>
      </c>
    </row>
    <row r="3450" spans="37:38" s="4" customFormat="1">
      <c r="AK3450" s="3">
        <v>3444</v>
      </c>
      <c r="AL3450" s="163">
        <v>3.5916352517852106</v>
      </c>
    </row>
    <row r="3451" spans="37:38" s="4" customFormat="1">
      <c r="AK3451" s="3">
        <v>3445</v>
      </c>
      <c r="AL3451" s="163">
        <v>3.5923734342452978</v>
      </c>
    </row>
    <row r="3452" spans="37:38" s="4" customFormat="1">
      <c r="AK3452" s="3">
        <v>3446</v>
      </c>
      <c r="AL3452" s="163">
        <v>3.593111873317544</v>
      </c>
    </row>
    <row r="3453" spans="37:38" s="4" customFormat="1">
      <c r="AK3453" s="3">
        <v>3447</v>
      </c>
      <c r="AL3453" s="163">
        <v>3.5938505690024689</v>
      </c>
    </row>
    <row r="3454" spans="37:38" s="4" customFormat="1">
      <c r="AK3454" s="3">
        <v>3448</v>
      </c>
      <c r="AL3454" s="163">
        <v>3.5945895213002825</v>
      </c>
    </row>
    <row r="3455" spans="37:38" s="4" customFormat="1">
      <c r="AK3455" s="3">
        <v>3449</v>
      </c>
      <c r="AL3455" s="163">
        <v>3.595328730210912</v>
      </c>
    </row>
    <row r="3456" spans="37:38" s="4" customFormat="1">
      <c r="AK3456" s="3">
        <v>3450</v>
      </c>
      <c r="AL3456" s="163">
        <v>3.5960681957339857</v>
      </c>
    </row>
    <row r="3457" spans="37:38" s="4" customFormat="1">
      <c r="AK3457" s="3">
        <v>3451</v>
      </c>
      <c r="AL3457" s="163">
        <v>3.5968079178688424</v>
      </c>
    </row>
    <row r="3458" spans="37:38" s="4" customFormat="1">
      <c r="AK3458" s="3">
        <v>3452</v>
      </c>
      <c r="AL3458" s="163">
        <v>3.5975478966145169</v>
      </c>
    </row>
    <row r="3459" spans="37:38" s="4" customFormat="1">
      <c r="AK3459" s="3">
        <v>3453</v>
      </c>
      <c r="AL3459" s="163">
        <v>3.5982881319697508</v>
      </c>
    </row>
    <row r="3460" spans="37:38" s="4" customFormat="1">
      <c r="AK3460" s="3">
        <v>3454</v>
      </c>
      <c r="AL3460" s="163">
        <v>3.5990286239329965</v>
      </c>
    </row>
    <row r="3461" spans="37:38" s="4" customFormat="1">
      <c r="AK3461" s="3">
        <v>3455</v>
      </c>
      <c r="AL3461" s="163">
        <v>3.5997693725024105</v>
      </c>
    </row>
    <row r="3462" spans="37:38" s="4" customFormat="1">
      <c r="AK3462" s="3">
        <v>3456</v>
      </c>
      <c r="AL3462" s="163">
        <v>3.6005103776758536</v>
      </c>
    </row>
    <row r="3463" spans="37:38" s="4" customFormat="1">
      <c r="AK3463" s="3">
        <v>3457</v>
      </c>
      <c r="AL3463" s="163">
        <v>3.6012516394508975</v>
      </c>
    </row>
    <row r="3464" spans="37:38" s="4" customFormat="1">
      <c r="AK3464" s="3">
        <v>3458</v>
      </c>
      <c r="AL3464" s="163">
        <v>3.6019931578248183</v>
      </c>
    </row>
    <row r="3465" spans="37:38" s="4" customFormat="1">
      <c r="AK3465" s="3">
        <v>3459</v>
      </c>
      <c r="AL3465" s="163">
        <v>3.6027349327945939</v>
      </c>
    </row>
    <row r="3466" spans="37:38" s="4" customFormat="1">
      <c r="AK3466" s="3">
        <v>3460</v>
      </c>
      <c r="AL3466" s="163">
        <v>3.6034769643569127</v>
      </c>
    </row>
    <row r="3467" spans="37:38" s="4" customFormat="1">
      <c r="AK3467" s="3">
        <v>3461</v>
      </c>
      <c r="AL3467" s="163">
        <v>3.6042192525081767</v>
      </c>
    </row>
    <row r="3468" spans="37:38" s="4" customFormat="1">
      <c r="AK3468" s="3">
        <v>3462</v>
      </c>
      <c r="AL3468" s="163">
        <v>3.6049617972444823</v>
      </c>
    </row>
    <row r="3469" spans="37:38" s="4" customFormat="1">
      <c r="AK3469" s="3">
        <v>3463</v>
      </c>
      <c r="AL3469" s="163">
        <v>3.6057045985616472</v>
      </c>
    </row>
    <row r="3470" spans="37:38" s="4" customFormat="1">
      <c r="AK3470" s="3">
        <v>3464</v>
      </c>
      <c r="AL3470" s="163">
        <v>3.6064476564551784</v>
      </c>
    </row>
    <row r="3471" spans="37:38" s="4" customFormat="1">
      <c r="AK3471" s="3">
        <v>3465</v>
      </c>
      <c r="AL3471" s="163">
        <v>3.6071909709203167</v>
      </c>
    </row>
    <row r="3472" spans="37:38" s="4" customFormat="1">
      <c r="AK3472" s="3">
        <v>3466</v>
      </c>
      <c r="AL3472" s="163">
        <v>3.6079345419519795</v>
      </c>
    </row>
    <row r="3473" spans="37:38" s="4" customFormat="1">
      <c r="AK3473" s="3">
        <v>3467</v>
      </c>
      <c r="AL3473" s="163">
        <v>3.608678369544827</v>
      </c>
    </row>
    <row r="3474" spans="37:38" s="4" customFormat="1">
      <c r="AK3474" s="3">
        <v>3468</v>
      </c>
      <c r="AL3474" s="163">
        <v>3.6094224536931927</v>
      </c>
    </row>
    <row r="3475" spans="37:38" s="4" customFormat="1">
      <c r="AK3475" s="3">
        <v>3469</v>
      </c>
      <c r="AL3475" s="163">
        <v>3.6101667943911475</v>
      </c>
    </row>
    <row r="3476" spans="37:38" s="4" customFormat="1">
      <c r="AK3476" s="3">
        <v>3470</v>
      </c>
      <c r="AL3476" s="163">
        <v>3.6109113916324533</v>
      </c>
    </row>
    <row r="3477" spans="37:38" s="4" customFormat="1">
      <c r="AK3477" s="3">
        <v>3471</v>
      </c>
      <c r="AL3477" s="163">
        <v>3.6116562454105892</v>
      </c>
    </row>
    <row r="3478" spans="37:38" s="4" customFormat="1">
      <c r="AK3478" s="3">
        <v>3472</v>
      </c>
      <c r="AL3478" s="163">
        <v>3.6124013557187364</v>
      </c>
    </row>
    <row r="3479" spans="37:38" s="4" customFormat="1">
      <c r="AK3479" s="3">
        <v>3473</v>
      </c>
      <c r="AL3479" s="163">
        <v>3.6131467225497977</v>
      </c>
    </row>
    <row r="3480" spans="37:38" s="4" customFormat="1">
      <c r="AK3480" s="3">
        <v>3474</v>
      </c>
      <c r="AL3480" s="163">
        <v>3.6138923458963705</v>
      </c>
    </row>
    <row r="3481" spans="37:38" s="4" customFormat="1">
      <c r="AK3481" s="3">
        <v>3475</v>
      </c>
      <c r="AL3481" s="163">
        <v>3.614638225750773</v>
      </c>
    </row>
    <row r="3482" spans="37:38" s="4" customFormat="1">
      <c r="AK3482" s="3">
        <v>3476</v>
      </c>
      <c r="AL3482" s="163">
        <v>3.6153843621050283</v>
      </c>
    </row>
    <row r="3483" spans="37:38" s="4" customFormat="1">
      <c r="AK3483" s="3">
        <v>3477</v>
      </c>
      <c r="AL3483" s="163">
        <v>3.6161307549508641</v>
      </c>
    </row>
    <row r="3484" spans="37:38" s="4" customFormat="1">
      <c r="AK3484" s="3">
        <v>3478</v>
      </c>
      <c r="AL3484" s="163">
        <v>3.616877404279736</v>
      </c>
    </row>
    <row r="3485" spans="37:38" s="4" customFormat="1">
      <c r="AK3485" s="3">
        <v>3479</v>
      </c>
      <c r="AL3485" s="163">
        <v>3.6176243100827881</v>
      </c>
    </row>
    <row r="3486" spans="37:38" s="4" customFormat="1">
      <c r="AK3486" s="3">
        <v>3480</v>
      </c>
      <c r="AL3486" s="163">
        <v>3.6183714723508911</v>
      </c>
    </row>
    <row r="3487" spans="37:38" s="4" customFormat="1">
      <c r="AK3487" s="3">
        <v>3481</v>
      </c>
      <c r="AL3487" s="163">
        <v>3.6191188910746179</v>
      </c>
    </row>
    <row r="3488" spans="37:38" s="4" customFormat="1">
      <c r="AK3488" s="3">
        <v>3482</v>
      </c>
      <c r="AL3488" s="163">
        <v>3.6198665662442631</v>
      </c>
    </row>
    <row r="3489" spans="37:38" s="4" customFormat="1">
      <c r="AK3489" s="3">
        <v>3483</v>
      </c>
      <c r="AL3489" s="163">
        <v>3.6206144978498092</v>
      </c>
    </row>
    <row r="3490" spans="37:38" s="4" customFormat="1">
      <c r="AK3490" s="3">
        <v>3484</v>
      </c>
      <c r="AL3490" s="163">
        <v>3.6213626858809804</v>
      </c>
    </row>
    <row r="3491" spans="37:38" s="4" customFormat="1">
      <c r="AK3491" s="3">
        <v>3485</v>
      </c>
      <c r="AL3491" s="163">
        <v>3.6221111303271853</v>
      </c>
    </row>
    <row r="3492" spans="37:38" s="4" customFormat="1">
      <c r="AK3492" s="3">
        <v>3486</v>
      </c>
      <c r="AL3492" s="163">
        <v>3.622859831177565</v>
      </c>
    </row>
    <row r="3493" spans="37:38" s="4" customFormat="1">
      <c r="AK3493" s="3">
        <v>3487</v>
      </c>
      <c r="AL3493" s="163">
        <v>3.6236087884209578</v>
      </c>
    </row>
    <row r="3494" spans="37:38" s="4" customFormat="1">
      <c r="AK3494" s="3">
        <v>3488</v>
      </c>
      <c r="AL3494" s="163">
        <v>3.6243580020459207</v>
      </c>
    </row>
    <row r="3495" spans="37:38" s="4" customFormat="1">
      <c r="AK3495" s="3">
        <v>3489</v>
      </c>
      <c r="AL3495" s="163">
        <v>3.6251074720407246</v>
      </c>
    </row>
    <row r="3496" spans="37:38" s="4" customFormat="1">
      <c r="AK3496" s="3">
        <v>3490</v>
      </c>
      <c r="AL3496" s="163">
        <v>3.6258571983933474</v>
      </c>
    </row>
    <row r="3497" spans="37:38" s="4" customFormat="1">
      <c r="AK3497" s="3">
        <v>3491</v>
      </c>
      <c r="AL3497" s="163">
        <v>3.6266071810914857</v>
      </c>
    </row>
    <row r="3498" spans="37:38" s="4" customFormat="1">
      <c r="AK3498" s="3">
        <v>3492</v>
      </c>
      <c r="AL3498" s="163">
        <v>3.6273574201225385</v>
      </c>
    </row>
    <row r="3499" spans="37:38" s="4" customFormat="1">
      <c r="AK3499" s="3">
        <v>3493</v>
      </c>
      <c r="AL3499" s="163">
        <v>3.6281079154736346</v>
      </c>
    </row>
    <row r="3500" spans="37:38" s="4" customFormat="1">
      <c r="AK3500" s="3">
        <v>3494</v>
      </c>
      <c r="AL3500" s="163">
        <v>3.6288586671315932</v>
      </c>
    </row>
    <row r="3501" spans="37:38" s="4" customFormat="1">
      <c r="AK3501" s="3">
        <v>3495</v>
      </c>
      <c r="AL3501" s="163">
        <v>3.6296096750829707</v>
      </c>
    </row>
    <row r="3502" spans="37:38" s="4" customFormat="1">
      <c r="AK3502" s="3">
        <v>3496</v>
      </c>
      <c r="AL3502" s="163">
        <v>3.6303609393140248</v>
      </c>
    </row>
    <row r="3503" spans="37:38" s="4" customFormat="1">
      <c r="AK3503" s="3">
        <v>3497</v>
      </c>
      <c r="AL3503" s="163">
        <v>3.6311124598107209</v>
      </c>
    </row>
    <row r="3504" spans="37:38" s="4" customFormat="1">
      <c r="AK3504" s="3">
        <v>3498</v>
      </c>
      <c r="AL3504" s="163">
        <v>3.6318642365587488</v>
      </c>
    </row>
    <row r="3505" spans="37:38" s="4" customFormat="1">
      <c r="AK3505" s="3">
        <v>3499</v>
      </c>
      <c r="AL3505" s="163">
        <v>3.6326162695435134</v>
      </c>
    </row>
    <row r="3506" spans="37:38" s="4" customFormat="1">
      <c r="AK3506" s="3">
        <v>3500</v>
      </c>
      <c r="AL3506" s="163">
        <v>3.6333685587501212</v>
      </c>
    </row>
    <row r="3507" spans="37:38" s="4" customFormat="1">
      <c r="AK3507" s="3">
        <v>3501</v>
      </c>
      <c r="AL3507" s="163">
        <v>3.6341211041634054</v>
      </c>
    </row>
    <row r="3508" spans="37:38" s="4" customFormat="1">
      <c r="AK3508" s="3">
        <v>3502</v>
      </c>
      <c r="AL3508" s="163">
        <v>3.6348739057679134</v>
      </c>
    </row>
    <row r="3509" spans="37:38" s="4" customFormat="1">
      <c r="AK3509" s="3">
        <v>3503</v>
      </c>
      <c r="AL3509" s="163">
        <v>3.6356269635478933</v>
      </c>
    </row>
    <row r="3510" spans="37:38" s="4" customFormat="1">
      <c r="AK3510" s="3">
        <v>3504</v>
      </c>
      <c r="AL3510" s="163">
        <v>3.6363802774873313</v>
      </c>
    </row>
    <row r="3511" spans="37:38" s="4" customFormat="1">
      <c r="AK3511" s="3">
        <v>3505</v>
      </c>
      <c r="AL3511" s="163">
        <v>3.6371338475699031</v>
      </c>
    </row>
    <row r="3512" spans="37:38" s="4" customFormat="1">
      <c r="AK3512" s="3">
        <v>3506</v>
      </c>
      <c r="AL3512" s="163">
        <v>3.6378876737790247</v>
      </c>
    </row>
    <row r="3513" spans="37:38" s="4" customFormat="1">
      <c r="AK3513" s="3">
        <v>3507</v>
      </c>
      <c r="AL3513" s="163">
        <v>3.6386417560978064</v>
      </c>
    </row>
    <row r="3514" spans="37:38" s="4" customFormat="1">
      <c r="AK3514" s="3">
        <v>3508</v>
      </c>
      <c r="AL3514" s="163">
        <v>3.6393960945090829</v>
      </c>
    </row>
    <row r="3515" spans="37:38" s="4" customFormat="1">
      <c r="AK3515" s="3">
        <v>3509</v>
      </c>
      <c r="AL3515" s="163">
        <v>3.6401506889954094</v>
      </c>
    </row>
    <row r="3516" spans="37:38" s="4" customFormat="1">
      <c r="AK3516" s="3">
        <v>3510</v>
      </c>
      <c r="AL3516" s="163">
        <v>3.6409055395390508</v>
      </c>
    </row>
    <row r="3517" spans="37:38" s="4" customFormat="1">
      <c r="AK3517" s="3">
        <v>3511</v>
      </c>
      <c r="AL3517" s="163">
        <v>3.641660646121994</v>
      </c>
    </row>
    <row r="3518" spans="37:38" s="4" customFormat="1">
      <c r="AK3518" s="3">
        <v>3512</v>
      </c>
      <c r="AL3518" s="163">
        <v>3.642416008725935</v>
      </c>
    </row>
    <row r="3519" spans="37:38" s="4" customFormat="1">
      <c r="AK3519" s="3">
        <v>3513</v>
      </c>
      <c r="AL3519" s="163">
        <v>3.6431716273322854</v>
      </c>
    </row>
    <row r="3520" spans="37:38" s="4" customFormat="1">
      <c r="AK3520" s="3">
        <v>3514</v>
      </c>
      <c r="AL3520" s="163">
        <v>3.6439275019221835</v>
      </c>
    </row>
    <row r="3521" spans="37:38" s="4" customFormat="1">
      <c r="AK3521" s="3">
        <v>3515</v>
      </c>
      <c r="AL3521" s="163">
        <v>3.6446836324764798</v>
      </c>
    </row>
    <row r="3522" spans="37:38" s="4" customFormat="1">
      <c r="AK3522" s="3">
        <v>3516</v>
      </c>
      <c r="AL3522" s="163">
        <v>3.6454400189757417</v>
      </c>
    </row>
    <row r="3523" spans="37:38" s="4" customFormat="1">
      <c r="AK3523" s="3">
        <v>3517</v>
      </c>
      <c r="AL3523" s="163">
        <v>3.646196661400249</v>
      </c>
    </row>
    <row r="3524" spans="37:38" s="4" customFormat="1">
      <c r="AK3524" s="3">
        <v>3518</v>
      </c>
      <c r="AL3524" s="163">
        <v>3.6469535597300133</v>
      </c>
    </row>
    <row r="3525" spans="37:38" s="4" customFormat="1">
      <c r="AK3525" s="3">
        <v>3519</v>
      </c>
      <c r="AL3525" s="163">
        <v>3.647710713944742</v>
      </c>
    </row>
    <row r="3526" spans="37:38" s="4" customFormat="1">
      <c r="AK3526" s="3">
        <v>3520</v>
      </c>
      <c r="AL3526" s="163">
        <v>3.6484681240238768</v>
      </c>
    </row>
    <row r="3527" spans="37:38" s="4" customFormat="1">
      <c r="AK3527" s="3">
        <v>3521</v>
      </c>
      <c r="AL3527" s="163">
        <v>3.6492257899465779</v>
      </c>
    </row>
    <row r="3528" spans="37:38" s="4" customFormat="1">
      <c r="AK3528" s="3">
        <v>3522</v>
      </c>
      <c r="AL3528" s="163">
        <v>3.6499837116917155</v>
      </c>
    </row>
    <row r="3529" spans="37:38" s="4" customFormat="1">
      <c r="AK3529" s="3">
        <v>3523</v>
      </c>
      <c r="AL3529" s="163">
        <v>3.6507418892378807</v>
      </c>
    </row>
    <row r="3530" spans="37:38" s="4" customFormat="1">
      <c r="AK3530" s="3">
        <v>3524</v>
      </c>
      <c r="AL3530" s="163">
        <v>3.6515003225633889</v>
      </c>
    </row>
    <row r="3531" spans="37:38" s="4" customFormat="1">
      <c r="AK3531" s="3">
        <v>3525</v>
      </c>
      <c r="AL3531" s="163">
        <v>3.6522590116462652</v>
      </c>
    </row>
    <row r="3532" spans="37:38" s="4" customFormat="1">
      <c r="AK3532" s="3">
        <v>3526</v>
      </c>
      <c r="AL3532" s="163">
        <v>3.6530179564642649</v>
      </c>
    </row>
    <row r="3533" spans="37:38" s="4" customFormat="1">
      <c r="AK3533" s="3">
        <v>3527</v>
      </c>
      <c r="AL3533" s="163">
        <v>3.653777156994845</v>
      </c>
    </row>
    <row r="3534" spans="37:38" s="4" customFormat="1">
      <c r="AK3534" s="3">
        <v>3528</v>
      </c>
      <c r="AL3534" s="163">
        <v>3.654536613215206</v>
      </c>
    </row>
    <row r="3535" spans="37:38" s="4" customFormat="1">
      <c r="AK3535" s="3">
        <v>3529</v>
      </c>
      <c r="AL3535" s="163">
        <v>3.6552963251022388</v>
      </c>
    </row>
    <row r="3536" spans="37:38" s="4" customFormat="1">
      <c r="AK3536" s="3">
        <v>3530</v>
      </c>
      <c r="AL3536" s="163">
        <v>3.6560562926325906</v>
      </c>
    </row>
    <row r="3537" spans="37:38" s="4" customFormat="1">
      <c r="AK3537" s="3">
        <v>3531</v>
      </c>
      <c r="AL3537" s="163">
        <v>3.6568165157825856</v>
      </c>
    </row>
    <row r="3538" spans="37:38" s="4" customFormat="1">
      <c r="AK3538" s="3">
        <v>3532</v>
      </c>
      <c r="AL3538" s="163">
        <v>3.6575769945283048</v>
      </c>
    </row>
    <row r="3539" spans="37:38" s="4" customFormat="1">
      <c r="AK3539" s="3">
        <v>3533</v>
      </c>
      <c r="AL3539" s="163">
        <v>3.6583377288455368</v>
      </c>
    </row>
    <row r="3540" spans="37:38" s="4" customFormat="1">
      <c r="AK3540" s="3">
        <v>3534</v>
      </c>
      <c r="AL3540" s="163">
        <v>3.6590987187097772</v>
      </c>
    </row>
    <row r="3541" spans="37:38" s="4" customFormat="1">
      <c r="AK3541" s="3">
        <v>3535</v>
      </c>
      <c r="AL3541" s="163">
        <v>3.6598599640962597</v>
      </c>
    </row>
    <row r="3542" spans="37:38" s="4" customFormat="1">
      <c r="AK3542" s="3">
        <v>3536</v>
      </c>
      <c r="AL3542" s="163">
        <v>3.6606214649799367</v>
      </c>
    </row>
    <row r="3543" spans="37:38" s="4" customFormat="1">
      <c r="AK3543" s="3">
        <v>3537</v>
      </c>
      <c r="AL3543" s="163">
        <v>3.6613832213354769</v>
      </c>
    </row>
    <row r="3544" spans="37:38" s="4" customFormat="1">
      <c r="AK3544" s="3">
        <v>3538</v>
      </c>
      <c r="AL3544" s="163">
        <v>3.6621452331372639</v>
      </c>
    </row>
    <row r="3545" spans="37:38" s="4" customFormat="1">
      <c r="AK3545" s="3">
        <v>3539</v>
      </c>
      <c r="AL3545" s="163">
        <v>3.6629075003594203</v>
      </c>
    </row>
    <row r="3546" spans="37:38" s="4" customFormat="1">
      <c r="AK3546" s="3">
        <v>3540</v>
      </c>
      <c r="AL3546" s="163">
        <v>3.6636700229757779</v>
      </c>
    </row>
    <row r="3547" spans="37:38" s="4" customFormat="1">
      <c r="AK3547" s="3">
        <v>3541</v>
      </c>
      <c r="AL3547" s="163">
        <v>3.6644328009598843</v>
      </c>
    </row>
    <row r="3548" spans="37:38" s="4" customFormat="1">
      <c r="AK3548" s="3">
        <v>3542</v>
      </c>
      <c r="AL3548" s="163">
        <v>3.665195834285023</v>
      </c>
    </row>
    <row r="3549" spans="37:38" s="4" customFormat="1">
      <c r="AK3549" s="3">
        <v>3543</v>
      </c>
      <c r="AL3549" s="163">
        <v>3.6659591229241979</v>
      </c>
    </row>
    <row r="3550" spans="37:38" s="4" customFormat="1">
      <c r="AK3550" s="3">
        <v>3544</v>
      </c>
      <c r="AL3550" s="163">
        <v>3.6667226668501218</v>
      </c>
    </row>
    <row r="3551" spans="37:38" s="4" customFormat="1">
      <c r="AK3551" s="3">
        <v>3545</v>
      </c>
      <c r="AL3551" s="163">
        <v>3.6674864660352506</v>
      </c>
    </row>
    <row r="3552" spans="37:38" s="4" customFormat="1">
      <c r="AK3552" s="3">
        <v>3546</v>
      </c>
      <c r="AL3552" s="163">
        <v>3.6682505204517346</v>
      </c>
    </row>
    <row r="3553" spans="37:38" s="4" customFormat="1">
      <c r="AK3553" s="3">
        <v>3547</v>
      </c>
      <c r="AL3553" s="163">
        <v>3.6690148300714838</v>
      </c>
    </row>
    <row r="3554" spans="37:38" s="4" customFormat="1">
      <c r="AK3554" s="3">
        <v>3548</v>
      </c>
      <c r="AL3554" s="163">
        <v>3.6697793948660986</v>
      </c>
    </row>
    <row r="3555" spans="37:38" s="4" customFormat="1">
      <c r="AK3555" s="3">
        <v>3549</v>
      </c>
      <c r="AL3555" s="163">
        <v>3.6705442148069181</v>
      </c>
    </row>
    <row r="3556" spans="37:38" s="4" customFormat="1">
      <c r="AK3556" s="3">
        <v>3550</v>
      </c>
      <c r="AL3556" s="163">
        <v>3.6713092898650022</v>
      </c>
    </row>
    <row r="3557" spans="37:38" s="4" customFormat="1">
      <c r="AK3557" s="3">
        <v>3551</v>
      </c>
      <c r="AL3557" s="163">
        <v>3.6720746200111321</v>
      </c>
    </row>
    <row r="3558" spans="37:38" s="4" customFormat="1">
      <c r="AK3558" s="3">
        <v>3552</v>
      </c>
      <c r="AL3558" s="163">
        <v>3.6728402052158238</v>
      </c>
    </row>
    <row r="3559" spans="37:38" s="4" customFormat="1">
      <c r="AK3559" s="3">
        <v>3553</v>
      </c>
      <c r="AL3559" s="163">
        <v>3.6736060454492963</v>
      </c>
    </row>
    <row r="3560" spans="37:38" s="4" customFormat="1">
      <c r="AK3560" s="3">
        <v>3554</v>
      </c>
      <c r="AL3560" s="163">
        <v>3.6743721406815135</v>
      </c>
    </row>
    <row r="3561" spans="37:38" s="4" customFormat="1">
      <c r="AK3561" s="3">
        <v>3555</v>
      </c>
      <c r="AL3561" s="163">
        <v>3.6751384908821483</v>
      </c>
    </row>
    <row r="3562" spans="37:38" s="4" customFormat="1">
      <c r="AK3562" s="3">
        <v>3556</v>
      </c>
      <c r="AL3562" s="163">
        <v>3.6759050960206103</v>
      </c>
    </row>
    <row r="3563" spans="37:38" s="4" customFormat="1">
      <c r="AK3563" s="3">
        <v>3557</v>
      </c>
      <c r="AL3563" s="163">
        <v>3.6766719560660244</v>
      </c>
    </row>
    <row r="3564" spans="37:38" s="4" customFormat="1">
      <c r="AK3564" s="3">
        <v>3558</v>
      </c>
      <c r="AL3564" s="163">
        <v>3.677439070987246</v>
      </c>
    </row>
    <row r="3565" spans="37:38" s="4" customFormat="1">
      <c r="AK3565" s="3">
        <v>3559</v>
      </c>
      <c r="AL3565" s="163">
        <v>3.6782064407528492</v>
      </c>
    </row>
    <row r="3566" spans="37:38" s="4" customFormat="1">
      <c r="AK3566" s="3">
        <v>3560</v>
      </c>
      <c r="AL3566" s="163">
        <v>3.6789740653311469</v>
      </c>
    </row>
    <row r="3567" spans="37:38" s="4" customFormat="1">
      <c r="AK3567" s="3">
        <v>3561</v>
      </c>
      <c r="AL3567" s="163">
        <v>3.6797419446901594</v>
      </c>
    </row>
    <row r="3568" spans="37:38" s="4" customFormat="1">
      <c r="AK3568" s="3">
        <v>3562</v>
      </c>
      <c r="AL3568" s="163">
        <v>3.6805100787976484</v>
      </c>
    </row>
    <row r="3569" spans="37:38" s="4" customFormat="1">
      <c r="AK3569" s="3">
        <v>3563</v>
      </c>
      <c r="AL3569" s="163">
        <v>3.681278467621087</v>
      </c>
    </row>
    <row r="3570" spans="37:38" s="4" customFormat="1">
      <c r="AK3570" s="3">
        <v>3564</v>
      </c>
      <c r="AL3570" s="163">
        <v>3.6820471111276878</v>
      </c>
    </row>
    <row r="3571" spans="37:38" s="4" customFormat="1">
      <c r="AK3571" s="3">
        <v>3565</v>
      </c>
      <c r="AL3571" s="163">
        <v>3.6828160092843865</v>
      </c>
    </row>
    <row r="3572" spans="37:38" s="4" customFormat="1">
      <c r="AK3572" s="3">
        <v>3566</v>
      </c>
      <c r="AL3572" s="163">
        <v>3.6835851620578324</v>
      </c>
    </row>
    <row r="3573" spans="37:38" s="4" customFormat="1">
      <c r="AK3573" s="3">
        <v>3567</v>
      </c>
      <c r="AL3573" s="163">
        <v>3.6843545694144182</v>
      </c>
    </row>
    <row r="3574" spans="37:38" s="4" customFormat="1">
      <c r="AK3574" s="3">
        <v>3568</v>
      </c>
      <c r="AL3574" s="163">
        <v>3.685124231320251</v>
      </c>
    </row>
    <row r="3575" spans="37:38" s="4" customFormat="1">
      <c r="AK3575" s="3">
        <v>3569</v>
      </c>
      <c r="AL3575" s="163">
        <v>3.6858941477411777</v>
      </c>
    </row>
    <row r="3576" spans="37:38" s="4" customFormat="1">
      <c r="AK3576" s="3">
        <v>3570</v>
      </c>
      <c r="AL3576" s="163">
        <v>3.6866643186427588</v>
      </c>
    </row>
    <row r="3577" spans="37:38" s="4" customFormat="1">
      <c r="AK3577" s="3">
        <v>3571</v>
      </c>
      <c r="AL3577" s="163">
        <v>3.6874347439902873</v>
      </c>
    </row>
    <row r="3578" spans="37:38" s="4" customFormat="1">
      <c r="AK3578" s="3">
        <v>3572</v>
      </c>
      <c r="AL3578" s="163">
        <v>3.6882054237487867</v>
      </c>
    </row>
    <row r="3579" spans="37:38" s="4" customFormat="1">
      <c r="AK3579" s="3">
        <v>3573</v>
      </c>
      <c r="AL3579" s="163">
        <v>3.688976357883007</v>
      </c>
    </row>
    <row r="3580" spans="37:38" s="4" customFormat="1">
      <c r="AK3580" s="3">
        <v>3574</v>
      </c>
      <c r="AL3580" s="163">
        <v>3.6897475463574185</v>
      </c>
    </row>
    <row r="3581" spans="37:38" s="4" customFormat="1">
      <c r="AK3581" s="3">
        <v>3575</v>
      </c>
      <c r="AL3581" s="163">
        <v>3.6905189891362351</v>
      </c>
    </row>
    <row r="3582" spans="37:38" s="4" customFormat="1">
      <c r="AK3582" s="3">
        <v>3576</v>
      </c>
      <c r="AL3582" s="163">
        <v>3.6912906861833745</v>
      </c>
    </row>
    <row r="3583" spans="37:38" s="4" customFormat="1">
      <c r="AK3583" s="3">
        <v>3577</v>
      </c>
      <c r="AL3583" s="163">
        <v>3.6920626374625112</v>
      </c>
    </row>
    <row r="3584" spans="37:38" s="4" customFormat="1">
      <c r="AK3584" s="3">
        <v>3578</v>
      </c>
      <c r="AL3584" s="163">
        <v>3.6928348429370308</v>
      </c>
    </row>
    <row r="3585" spans="37:38" s="4" customFormat="1">
      <c r="AK3585" s="3">
        <v>3579</v>
      </c>
      <c r="AL3585" s="163">
        <v>3.6936073025700527</v>
      </c>
    </row>
    <row r="3586" spans="37:38" s="4" customFormat="1">
      <c r="AK3586" s="3">
        <v>3580</v>
      </c>
      <c r="AL3586" s="163">
        <v>3.6943800163244198</v>
      </c>
    </row>
    <row r="3587" spans="37:38" s="4" customFormat="1">
      <c r="AK3587" s="3">
        <v>3581</v>
      </c>
      <c r="AL3587" s="163">
        <v>3.6951529841627107</v>
      </c>
    </row>
    <row r="3588" spans="37:38" s="4" customFormat="1">
      <c r="AK3588" s="3">
        <v>3582</v>
      </c>
      <c r="AL3588" s="163">
        <v>3.6959262060472367</v>
      </c>
    </row>
    <row r="3589" spans="37:38" s="4" customFormat="1">
      <c r="AK3589" s="3">
        <v>3583</v>
      </c>
      <c r="AL3589" s="163">
        <v>3.6966996819400144</v>
      </c>
    </row>
    <row r="3590" spans="37:38" s="4" customFormat="1">
      <c r="AK3590" s="3">
        <v>3584</v>
      </c>
      <c r="AL3590" s="163">
        <v>3.6974734118028278</v>
      </c>
    </row>
    <row r="3591" spans="37:38" s="4" customFormat="1">
      <c r="AK3591" s="3">
        <v>3585</v>
      </c>
      <c r="AL3591" s="163">
        <v>3.6982473955971655</v>
      </c>
    </row>
    <row r="3592" spans="37:38" s="4" customFormat="1">
      <c r="AK3592" s="3">
        <v>3586</v>
      </c>
      <c r="AL3592" s="163">
        <v>3.6990216332842474</v>
      </c>
    </row>
    <row r="3593" spans="37:38" s="4" customFormat="1">
      <c r="AK3593" s="3">
        <v>3587</v>
      </c>
      <c r="AL3593" s="163">
        <v>3.6997961248250348</v>
      </c>
    </row>
    <row r="3594" spans="37:38" s="4" customFormat="1">
      <c r="AK3594" s="3">
        <v>3588</v>
      </c>
      <c r="AL3594" s="163">
        <v>3.7005708701802038</v>
      </c>
    </row>
    <row r="3595" spans="37:38" s="4" customFormat="1">
      <c r="AK3595" s="3">
        <v>3589</v>
      </c>
      <c r="AL3595" s="163">
        <v>3.7013458693101762</v>
      </c>
    </row>
    <row r="3596" spans="37:38" s="4" customFormat="1">
      <c r="AK3596" s="3">
        <v>3590</v>
      </c>
      <c r="AL3596" s="163">
        <v>3.7021211221751011</v>
      </c>
    </row>
    <row r="3597" spans="37:38" s="4" customFormat="1">
      <c r="AK3597" s="3">
        <v>3591</v>
      </c>
      <c r="AL3597" s="163">
        <v>3.7028966287348455</v>
      </c>
    </row>
    <row r="3598" spans="37:38" s="4" customFormat="1">
      <c r="AK3598" s="3">
        <v>3592</v>
      </c>
      <c r="AL3598" s="163">
        <v>3.703672388949026</v>
      </c>
    </row>
    <row r="3599" spans="37:38" s="4" customFormat="1">
      <c r="AK3599" s="3">
        <v>3593</v>
      </c>
      <c r="AL3599" s="163">
        <v>3.7044484027769879</v>
      </c>
    </row>
    <row r="3600" spans="37:38" s="4" customFormat="1">
      <c r="AK3600" s="3">
        <v>3594</v>
      </c>
      <c r="AL3600" s="163">
        <v>3.7052246701777856</v>
      </c>
    </row>
    <row r="3601" spans="37:38" s="4" customFormat="1">
      <c r="AK3601" s="3">
        <v>3595</v>
      </c>
      <c r="AL3601" s="163">
        <v>3.7060011911102353</v>
      </c>
    </row>
    <row r="3602" spans="37:38" s="4" customFormat="1">
      <c r="AK3602" s="3">
        <v>3596</v>
      </c>
      <c r="AL3602" s="163">
        <v>3.7067779655328583</v>
      </c>
    </row>
    <row r="3603" spans="37:38" s="4" customFormat="1">
      <c r="AK3603" s="3">
        <v>3597</v>
      </c>
      <c r="AL3603" s="163">
        <v>3.70755499340394</v>
      </c>
    </row>
    <row r="3604" spans="37:38" s="4" customFormat="1">
      <c r="AK3604" s="3">
        <v>3598</v>
      </c>
      <c r="AL3604" s="163">
        <v>3.7083322746814589</v>
      </c>
    </row>
    <row r="3605" spans="37:38" s="4" customFormat="1">
      <c r="AK3605" s="3">
        <v>3599</v>
      </c>
      <c r="AL3605" s="163">
        <v>3.7091098093231629</v>
      </c>
    </row>
    <row r="3606" spans="37:38" s="4" customFormat="1">
      <c r="AK3606" s="3">
        <v>3600</v>
      </c>
      <c r="AL3606" s="163">
        <v>3.7098875972865102</v>
      </c>
    </row>
    <row r="3607" spans="37:38" s="4" customFormat="1">
      <c r="AK3607" s="3">
        <v>3601</v>
      </c>
      <c r="AL3607" s="163">
        <v>3.710665638528694</v>
      </c>
    </row>
    <row r="3608" spans="37:38" s="4" customFormat="1">
      <c r="AK3608" s="3">
        <v>3602</v>
      </c>
      <c r="AL3608" s="163">
        <v>3.7114439330066422</v>
      </c>
    </row>
    <row r="3609" spans="37:38" s="4" customFormat="1">
      <c r="AK3609" s="3">
        <v>3603</v>
      </c>
      <c r="AL3609" s="163">
        <v>3.7122224806770263</v>
      </c>
    </row>
    <row r="3610" spans="37:38" s="4" customFormat="1">
      <c r="AK3610" s="3">
        <v>3604</v>
      </c>
      <c r="AL3610" s="163">
        <v>3.7130012814962337</v>
      </c>
    </row>
    <row r="3611" spans="37:38" s="4" customFormat="1">
      <c r="AK3611" s="3">
        <v>3605</v>
      </c>
      <c r="AL3611" s="163">
        <v>3.7137803354203971</v>
      </c>
    </row>
    <row r="3612" spans="37:38" s="4" customFormat="1">
      <c r="AK3612" s="3">
        <v>3606</v>
      </c>
      <c r="AL3612" s="163">
        <v>3.7145596424053777</v>
      </c>
    </row>
    <row r="3613" spans="37:38" s="4" customFormat="1">
      <c r="AK3613" s="3">
        <v>3607</v>
      </c>
      <c r="AL3613" s="163">
        <v>3.7153392024067768</v>
      </c>
    </row>
    <row r="3614" spans="37:38" s="4" customFormat="1">
      <c r="AK3614" s="3">
        <v>3608</v>
      </c>
      <c r="AL3614" s="163">
        <v>3.7161190153799248</v>
      </c>
    </row>
    <row r="3615" spans="37:38" s="4" customFormat="1">
      <c r="AK3615" s="3">
        <v>3609</v>
      </c>
      <c r="AL3615" s="163">
        <v>3.7168990812798817</v>
      </c>
    </row>
    <row r="3616" spans="37:38" s="4" customFormat="1">
      <c r="AK3616" s="3">
        <v>3610</v>
      </c>
      <c r="AL3616" s="163">
        <v>3.7176794000614546</v>
      </c>
    </row>
    <row r="3617" spans="37:38" s="4" customFormat="1">
      <c r="AK3617" s="3">
        <v>3611</v>
      </c>
      <c r="AL3617" s="163">
        <v>3.7184599716791662</v>
      </c>
    </row>
    <row r="3618" spans="37:38" s="4" customFormat="1">
      <c r="AK3618" s="3">
        <v>3612</v>
      </c>
      <c r="AL3618" s="163">
        <v>3.7192407960873006</v>
      </c>
    </row>
    <row r="3619" spans="37:38" s="4" customFormat="1">
      <c r="AK3619" s="3">
        <v>3613</v>
      </c>
      <c r="AL3619" s="163">
        <v>3.7200218732398476</v>
      </c>
    </row>
    <row r="3620" spans="37:38" s="4" customFormat="1">
      <c r="AK3620" s="3">
        <v>3614</v>
      </c>
      <c r="AL3620" s="163">
        <v>3.7208032030905569</v>
      </c>
    </row>
    <row r="3621" spans="37:38" s="4" customFormat="1">
      <c r="AK3621" s="3">
        <v>3615</v>
      </c>
      <c r="AL3621" s="163">
        <v>3.721584785592893</v>
      </c>
    </row>
    <row r="3622" spans="37:38" s="4" customFormat="1">
      <c r="AK3622" s="3">
        <v>3616</v>
      </c>
      <c r="AL3622" s="163">
        <v>3.722366620700079</v>
      </c>
    </row>
    <row r="3623" spans="37:38" s="4" customFormat="1">
      <c r="AK3623" s="3">
        <v>3617</v>
      </c>
      <c r="AL3623" s="163">
        <v>3.7231487083650499</v>
      </c>
    </row>
    <row r="3624" spans="37:38" s="4" customFormat="1">
      <c r="AK3624" s="3">
        <v>3618</v>
      </c>
      <c r="AL3624" s="163">
        <v>3.7239310485404897</v>
      </c>
    </row>
    <row r="3625" spans="37:38" s="4" customFormat="1">
      <c r="AK3625" s="3">
        <v>3619</v>
      </c>
      <c r="AL3625" s="163">
        <v>3.7247136411788215</v>
      </c>
    </row>
    <row r="3626" spans="37:38" s="4" customFormat="1">
      <c r="AK3626" s="3">
        <v>3620</v>
      </c>
      <c r="AL3626" s="163">
        <v>3.7254964862321911</v>
      </c>
    </row>
    <row r="3627" spans="37:38" s="4" customFormat="1">
      <c r="AK3627" s="3">
        <v>3621</v>
      </c>
      <c r="AL3627" s="163">
        <v>3.7262795836524893</v>
      </c>
    </row>
    <row r="3628" spans="37:38" s="4" customFormat="1">
      <c r="AK3628" s="3">
        <v>3622</v>
      </c>
      <c r="AL3628" s="163">
        <v>3.7270629333913492</v>
      </c>
    </row>
    <row r="3629" spans="37:38" s="4" customFormat="1">
      <c r="AK3629" s="3">
        <v>3623</v>
      </c>
      <c r="AL3629" s="163">
        <v>3.7278465354001327</v>
      </c>
    </row>
    <row r="3630" spans="37:38" s="4" customFormat="1">
      <c r="AK3630" s="3">
        <v>3624</v>
      </c>
      <c r="AL3630" s="163">
        <v>3.7286303896299331</v>
      </c>
    </row>
    <row r="3631" spans="37:38" s="4" customFormat="1">
      <c r="AK3631" s="3">
        <v>3625</v>
      </c>
      <c r="AL3631" s="163">
        <v>3.7294144960316036</v>
      </c>
    </row>
    <row r="3632" spans="37:38" s="4" customFormat="1">
      <c r="AK3632" s="3">
        <v>3626</v>
      </c>
      <c r="AL3632" s="163">
        <v>3.7301988545557014</v>
      </c>
    </row>
    <row r="3633" spans="37:38" s="4" customFormat="1">
      <c r="AK3633" s="3">
        <v>3627</v>
      </c>
      <c r="AL3633" s="163">
        <v>3.73098346515255</v>
      </c>
    </row>
    <row r="3634" spans="37:38" s="4" customFormat="1">
      <c r="AK3634" s="3">
        <v>3628</v>
      </c>
      <c r="AL3634" s="163">
        <v>3.7317683277722025</v>
      </c>
    </row>
    <row r="3635" spans="37:38" s="4" customFormat="1">
      <c r="AK3635" s="3">
        <v>3629</v>
      </c>
      <c r="AL3635" s="163">
        <v>3.7325534423644386</v>
      </c>
    </row>
    <row r="3636" spans="37:38" s="4" customFormat="1">
      <c r="AK3636" s="3">
        <v>3630</v>
      </c>
      <c r="AL3636" s="163">
        <v>3.733338808878786</v>
      </c>
    </row>
    <row r="3637" spans="37:38" s="4" customFormat="1">
      <c r="AK3637" s="3">
        <v>3631</v>
      </c>
      <c r="AL3637" s="163">
        <v>3.7341244272645167</v>
      </c>
    </row>
    <row r="3638" spans="37:38" s="4" customFormat="1">
      <c r="AK3638" s="3">
        <v>3632</v>
      </c>
      <c r="AL3638" s="163">
        <v>3.7349102974706296</v>
      </c>
    </row>
    <row r="3639" spans="37:38" s="4" customFormat="1">
      <c r="AK3639" s="3">
        <v>3633</v>
      </c>
      <c r="AL3639" s="163">
        <v>3.7356964194458619</v>
      </c>
    </row>
    <row r="3640" spans="37:38" s="4" customFormat="1">
      <c r="AK3640" s="3">
        <v>3634</v>
      </c>
      <c r="AL3640" s="163">
        <v>3.7364827931387015</v>
      </c>
    </row>
    <row r="3641" spans="37:38" s="4" customFormat="1">
      <c r="AK3641" s="3">
        <v>3635</v>
      </c>
      <c r="AL3641" s="163">
        <v>3.7372694184973616</v>
      </c>
    </row>
    <row r="3642" spans="37:38" s="4" customFormat="1">
      <c r="AK3642" s="3">
        <v>3636</v>
      </c>
      <c r="AL3642" s="163">
        <v>3.7380562954698098</v>
      </c>
    </row>
    <row r="3643" spans="37:38" s="4" customFormat="1">
      <c r="AK3643" s="3">
        <v>3637</v>
      </c>
      <c r="AL3643" s="163">
        <v>3.738843424003738</v>
      </c>
    </row>
    <row r="3644" spans="37:38" s="4" customFormat="1">
      <c r="AK3644" s="3">
        <v>3638</v>
      </c>
      <c r="AL3644" s="163">
        <v>3.7396308040465827</v>
      </c>
    </row>
    <row r="3645" spans="37:38" s="4" customFormat="1">
      <c r="AK3645" s="3">
        <v>3639</v>
      </c>
      <c r="AL3645" s="163">
        <v>3.7404184355455241</v>
      </c>
    </row>
    <row r="3646" spans="37:38" s="4" customFormat="1">
      <c r="AK3646" s="3">
        <v>3640</v>
      </c>
      <c r="AL3646" s="163">
        <v>3.7412063184474795</v>
      </c>
    </row>
    <row r="3647" spans="37:38" s="4" customFormat="1">
      <c r="AK3647" s="3">
        <v>3641</v>
      </c>
      <c r="AL3647" s="163">
        <v>3.7419944526991071</v>
      </c>
    </row>
    <row r="3648" spans="37:38" s="4" customFormat="1">
      <c r="AK3648" s="3">
        <v>3642</v>
      </c>
      <c r="AL3648" s="163">
        <v>3.7427828382467987</v>
      </c>
    </row>
    <row r="3649" spans="37:38" s="4" customFormat="1">
      <c r="AK3649" s="3">
        <v>3643</v>
      </c>
      <c r="AL3649" s="163">
        <v>3.7435714750367057</v>
      </c>
    </row>
    <row r="3650" spans="37:38" s="4" customFormat="1">
      <c r="AK3650" s="3">
        <v>3644</v>
      </c>
      <c r="AL3650" s="163">
        <v>3.7443603630146942</v>
      </c>
    </row>
    <row r="3651" spans="37:38" s="4" customFormat="1">
      <c r="AK3651" s="3">
        <v>3645</v>
      </c>
      <c r="AL3651" s="163">
        <v>3.7451495021263845</v>
      </c>
    </row>
    <row r="3652" spans="37:38" s="4" customFormat="1">
      <c r="AK3652" s="3">
        <v>3646</v>
      </c>
      <c r="AL3652" s="163">
        <v>3.7459388923171466</v>
      </c>
    </row>
    <row r="3653" spans="37:38" s="4" customFormat="1">
      <c r="AK3653" s="3">
        <v>3647</v>
      </c>
      <c r="AL3653" s="163">
        <v>3.7467285335320728</v>
      </c>
    </row>
    <row r="3654" spans="37:38" s="4" customFormat="1">
      <c r="AK3654" s="3">
        <v>3648</v>
      </c>
      <c r="AL3654" s="163">
        <v>3.7475184257160179</v>
      </c>
    </row>
    <row r="3655" spans="37:38" s="4" customFormat="1">
      <c r="AK3655" s="3">
        <v>3649</v>
      </c>
      <c r="AL3655" s="163">
        <v>3.7483085688135569</v>
      </c>
    </row>
    <row r="3656" spans="37:38" s="4" customFormat="1">
      <c r="AK3656" s="3">
        <v>3650</v>
      </c>
      <c r="AL3656" s="163">
        <v>3.7490989627690143</v>
      </c>
    </row>
    <row r="3657" spans="37:38" s="4" customFormat="1">
      <c r="AK3657" s="3">
        <v>3651</v>
      </c>
      <c r="AL3657" s="163">
        <v>3.749889607526474</v>
      </c>
    </row>
    <row r="3658" spans="37:38" s="4" customFormat="1">
      <c r="AK3658" s="3">
        <v>3652</v>
      </c>
      <c r="AL3658" s="163">
        <v>3.7506805030297299</v>
      </c>
    </row>
    <row r="3659" spans="37:38" s="4" customFormat="1">
      <c r="AK3659" s="3">
        <v>3653</v>
      </c>
      <c r="AL3659" s="163">
        <v>3.7514716492223381</v>
      </c>
    </row>
    <row r="3660" spans="37:38" s="4" customFormat="1">
      <c r="AK3660" s="3">
        <v>3654</v>
      </c>
      <c r="AL3660" s="163">
        <v>3.752263046047605</v>
      </c>
    </row>
    <row r="3661" spans="37:38" s="4" customFormat="1">
      <c r="AK3661" s="3">
        <v>3655</v>
      </c>
      <c r="AL3661" s="163">
        <v>3.7530546934485565</v>
      </c>
    </row>
    <row r="3662" spans="37:38" s="4" customFormat="1">
      <c r="AK3662" s="3">
        <v>3656</v>
      </c>
      <c r="AL3662" s="163">
        <v>3.7538465913679819</v>
      </c>
    </row>
    <row r="3663" spans="37:38" s="4" customFormat="1">
      <c r="AK3663" s="3">
        <v>3657</v>
      </c>
      <c r="AL3663" s="163">
        <v>3.754638739748402</v>
      </c>
    </row>
    <row r="3664" spans="37:38" s="4" customFormat="1">
      <c r="AK3664" s="3">
        <v>3658</v>
      </c>
      <c r="AL3664" s="163">
        <v>3.7554311385320869</v>
      </c>
    </row>
    <row r="3665" spans="37:38" s="4" customFormat="1">
      <c r="AK3665" s="3">
        <v>3659</v>
      </c>
      <c r="AL3665" s="163">
        <v>3.7562237876610416</v>
      </c>
    </row>
    <row r="3666" spans="37:38" s="4" customFormat="1">
      <c r="AK3666" s="3">
        <v>3660</v>
      </c>
      <c r="AL3666" s="163">
        <v>3.7570166870770256</v>
      </c>
    </row>
    <row r="3667" spans="37:38" s="4" customFormat="1">
      <c r="AK3667" s="3">
        <v>3661</v>
      </c>
      <c r="AL3667" s="163">
        <v>3.7578098367215347</v>
      </c>
    </row>
    <row r="3668" spans="37:38" s="4" customFormat="1">
      <c r="AK3668" s="3">
        <v>3662</v>
      </c>
      <c r="AL3668" s="163">
        <v>3.7586032365358104</v>
      </c>
    </row>
    <row r="3669" spans="37:38" s="4" customFormat="1">
      <c r="AK3669" s="3">
        <v>3663</v>
      </c>
      <c r="AL3669" s="163">
        <v>3.7593968864608414</v>
      </c>
    </row>
    <row r="3670" spans="37:38" s="4" customFormat="1">
      <c r="AK3670" s="3">
        <v>3664</v>
      </c>
      <c r="AL3670" s="163">
        <v>3.7601907864373603</v>
      </c>
    </row>
    <row r="3671" spans="37:38" s="4" customFormat="1">
      <c r="AK3671" s="3">
        <v>3665</v>
      </c>
      <c r="AL3671" s="163">
        <v>3.7609849364058325</v>
      </c>
    </row>
    <row r="3672" spans="37:38" s="4" customFormat="1">
      <c r="AK3672" s="3">
        <v>3666</v>
      </c>
      <c r="AL3672" s="163">
        <v>3.7617793363064855</v>
      </c>
    </row>
    <row r="3673" spans="37:38" s="4" customFormat="1">
      <c r="AK3673" s="3">
        <v>3667</v>
      </c>
      <c r="AL3673" s="163">
        <v>3.7625739860792855</v>
      </c>
    </row>
    <row r="3674" spans="37:38" s="4" customFormat="1">
      <c r="AK3674" s="3">
        <v>3668</v>
      </c>
      <c r="AL3674" s="163">
        <v>3.7633688856639353</v>
      </c>
    </row>
    <row r="3675" spans="37:38" s="4" customFormat="1">
      <c r="AK3675" s="3">
        <v>3669</v>
      </c>
      <c r="AL3675" s="163">
        <v>3.7641640349998986</v>
      </c>
    </row>
    <row r="3676" spans="37:38" s="4" customFormat="1">
      <c r="AK3676" s="3">
        <v>3670</v>
      </c>
      <c r="AL3676" s="163">
        <v>3.764959434026367</v>
      </c>
    </row>
    <row r="3677" spans="37:38" s="4" customFormat="1">
      <c r="AK3677" s="3">
        <v>3671</v>
      </c>
      <c r="AL3677" s="163">
        <v>3.7657550826822908</v>
      </c>
    </row>
    <row r="3678" spans="37:38" s="4" customFormat="1">
      <c r="AK3678" s="3">
        <v>3672</v>
      </c>
      <c r="AL3678" s="163">
        <v>3.7665509809063624</v>
      </c>
    </row>
    <row r="3679" spans="37:38" s="4" customFormat="1">
      <c r="AK3679" s="3">
        <v>3673</v>
      </c>
      <c r="AL3679" s="163">
        <v>3.7673471286370166</v>
      </c>
    </row>
    <row r="3680" spans="37:38" s="4" customFormat="1">
      <c r="AK3680" s="3">
        <v>3674</v>
      </c>
      <c r="AL3680" s="163">
        <v>3.7681435258124423</v>
      </c>
    </row>
    <row r="3681" spans="37:38" s="4" customFormat="1">
      <c r="AK3681" s="3">
        <v>3675</v>
      </c>
      <c r="AL3681" s="163">
        <v>3.7689401723705629</v>
      </c>
    </row>
    <row r="3682" spans="37:38" s="4" customFormat="1">
      <c r="AK3682" s="3">
        <v>3676</v>
      </c>
      <c r="AL3682" s="163">
        <v>3.769737068249063</v>
      </c>
    </row>
    <row r="3683" spans="37:38" s="4" customFormat="1">
      <c r="AK3683" s="3">
        <v>3677</v>
      </c>
      <c r="AL3683" s="163">
        <v>3.7705342133853579</v>
      </c>
    </row>
    <row r="3684" spans="37:38" s="4" customFormat="1">
      <c r="AK3684" s="3">
        <v>3678</v>
      </c>
      <c r="AL3684" s="163">
        <v>3.7713316077166237</v>
      </c>
    </row>
    <row r="3685" spans="37:38" s="4" customFormat="1">
      <c r="AK3685" s="3">
        <v>3679</v>
      </c>
      <c r="AL3685" s="163">
        <v>3.7721292511797766</v>
      </c>
    </row>
    <row r="3686" spans="37:38" s="4" customFormat="1">
      <c r="AK3686" s="3">
        <v>3680</v>
      </c>
      <c r="AL3686" s="163">
        <v>3.7729271437114837</v>
      </c>
    </row>
    <row r="3687" spans="37:38" s="4" customFormat="1">
      <c r="AK3687" s="3">
        <v>3681</v>
      </c>
      <c r="AL3687" s="163">
        <v>3.773725285248152</v>
      </c>
    </row>
    <row r="3688" spans="37:38" s="4" customFormat="1">
      <c r="AK3688" s="3">
        <v>3682</v>
      </c>
      <c r="AL3688" s="163">
        <v>3.7745236757259448</v>
      </c>
    </row>
    <row r="3689" spans="37:38" s="4" customFormat="1">
      <c r="AK3689" s="3">
        <v>3683</v>
      </c>
      <c r="AL3689" s="163">
        <v>3.7753223150807624</v>
      </c>
    </row>
    <row r="3690" spans="37:38" s="4" customFormat="1">
      <c r="AK3690" s="3">
        <v>3684</v>
      </c>
      <c r="AL3690" s="163">
        <v>3.7761212032482776</v>
      </c>
    </row>
    <row r="3691" spans="37:38" s="4" customFormat="1">
      <c r="AK3691" s="3">
        <v>3685</v>
      </c>
      <c r="AL3691" s="163">
        <v>3.7769203401638771</v>
      </c>
    </row>
    <row r="3692" spans="37:38" s="4" customFormat="1">
      <c r="AK3692" s="3">
        <v>3686</v>
      </c>
      <c r="AL3692" s="163">
        <v>3.7777197257627204</v>
      </c>
    </row>
    <row r="3693" spans="37:38" s="4" customFormat="1">
      <c r="AK3693" s="3">
        <v>3687</v>
      </c>
      <c r="AL3693" s="163">
        <v>3.7785193599797058</v>
      </c>
    </row>
    <row r="3694" spans="37:38" s="4" customFormat="1">
      <c r="AK3694" s="3">
        <v>3688</v>
      </c>
      <c r="AL3694" s="163">
        <v>3.7793192427494846</v>
      </c>
    </row>
    <row r="3695" spans="37:38" s="4" customFormat="1">
      <c r="AK3695" s="3">
        <v>3689</v>
      </c>
      <c r="AL3695" s="163">
        <v>3.7801193740064569</v>
      </c>
    </row>
    <row r="3696" spans="37:38" s="4" customFormat="1">
      <c r="AK3696" s="3">
        <v>3690</v>
      </c>
      <c r="AL3696" s="163">
        <v>3.7809197536847647</v>
      </c>
    </row>
    <row r="3697" spans="37:38" s="4" customFormat="1">
      <c r="AK3697" s="3">
        <v>3691</v>
      </c>
      <c r="AL3697" s="163">
        <v>3.7817203817183076</v>
      </c>
    </row>
    <row r="3698" spans="37:38" s="4" customFormat="1">
      <c r="AK3698" s="3">
        <v>3692</v>
      </c>
      <c r="AL3698" s="163">
        <v>3.7825212580407341</v>
      </c>
    </row>
    <row r="3699" spans="37:38" s="4" customFormat="1">
      <c r="AK3699" s="3">
        <v>3693</v>
      </c>
      <c r="AL3699" s="163">
        <v>3.7833223825854381</v>
      </c>
    </row>
    <row r="3700" spans="37:38" s="4" customFormat="1">
      <c r="AK3700" s="3">
        <v>3694</v>
      </c>
      <c r="AL3700" s="163">
        <v>3.7841237552855649</v>
      </c>
    </row>
    <row r="3701" spans="37:38" s="4" customFormat="1">
      <c r="AK3701" s="3">
        <v>3695</v>
      </c>
      <c r="AL3701" s="163">
        <v>3.7849253760740122</v>
      </c>
    </row>
    <row r="3702" spans="37:38" s="4" customFormat="1">
      <c r="AK3702" s="3">
        <v>3696</v>
      </c>
      <c r="AL3702" s="163">
        <v>3.7857272448834207</v>
      </c>
    </row>
    <row r="3703" spans="37:38" s="4" customFormat="1">
      <c r="AK3703" s="3">
        <v>3697</v>
      </c>
      <c r="AL3703" s="163">
        <v>3.7865293616461941</v>
      </c>
    </row>
    <row r="3704" spans="37:38" s="4" customFormat="1">
      <c r="AK3704" s="3">
        <v>3698</v>
      </c>
      <c r="AL3704" s="163">
        <v>3.7873317262944743</v>
      </c>
    </row>
    <row r="3705" spans="37:38" s="4" customFormat="1">
      <c r="AK3705" s="3">
        <v>3699</v>
      </c>
      <c r="AL3705" s="163">
        <v>3.7881343387601554</v>
      </c>
    </row>
    <row r="3706" spans="37:38" s="4" customFormat="1">
      <c r="AK3706" s="3">
        <v>3700</v>
      </c>
      <c r="AL3706" s="163">
        <v>3.7889371989748972</v>
      </c>
    </row>
    <row r="3707" spans="37:38" s="4" customFormat="1">
      <c r="AK3707" s="3">
        <v>3701</v>
      </c>
      <c r="AL3707" s="163">
        <v>3.7897403068700868</v>
      </c>
    </row>
    <row r="3708" spans="37:38" s="4" customFormat="1">
      <c r="AK3708" s="3">
        <v>3702</v>
      </c>
      <c r="AL3708" s="163">
        <v>3.7905436623768876</v>
      </c>
    </row>
    <row r="3709" spans="37:38" s="4" customFormat="1">
      <c r="AK3709" s="3">
        <v>3703</v>
      </c>
      <c r="AL3709" s="163">
        <v>3.7913472654261926</v>
      </c>
    </row>
    <row r="3710" spans="37:38" s="4" customFormat="1">
      <c r="AK3710" s="3">
        <v>3704</v>
      </c>
      <c r="AL3710" s="163">
        <v>3.792151115948653</v>
      </c>
    </row>
    <row r="3711" spans="37:38" s="4" customFormat="1">
      <c r="AK3711" s="3">
        <v>3705</v>
      </c>
      <c r="AL3711" s="163">
        <v>3.7929552138746878</v>
      </c>
    </row>
    <row r="3712" spans="37:38" s="4" customFormat="1">
      <c r="AK3712" s="3">
        <v>3706</v>
      </c>
      <c r="AL3712" s="163">
        <v>3.7937595591344442</v>
      </c>
    </row>
    <row r="3713" spans="37:38" s="4" customFormat="1">
      <c r="AK3713" s="3">
        <v>3707</v>
      </c>
      <c r="AL3713" s="163">
        <v>3.7945641516578421</v>
      </c>
    </row>
    <row r="3714" spans="37:38" s="4" customFormat="1">
      <c r="AK3714" s="3">
        <v>3708</v>
      </c>
      <c r="AL3714" s="163">
        <v>3.795368991374529</v>
      </c>
    </row>
    <row r="3715" spans="37:38" s="4" customFormat="1">
      <c r="AK3715" s="3">
        <v>3709</v>
      </c>
      <c r="AL3715" s="163">
        <v>3.7961740782139342</v>
      </c>
    </row>
    <row r="3716" spans="37:38" s="4" customFormat="1">
      <c r="AK3716" s="3">
        <v>3710</v>
      </c>
      <c r="AL3716" s="163">
        <v>3.7969794121052223</v>
      </c>
    </row>
    <row r="3717" spans="37:38" s="4" customFormat="1">
      <c r="AK3717" s="3">
        <v>3711</v>
      </c>
      <c r="AL3717" s="163">
        <v>3.7977849929773075</v>
      </c>
    </row>
    <row r="3718" spans="37:38" s="4" customFormat="1">
      <c r="AK3718" s="3">
        <v>3712</v>
      </c>
      <c r="AL3718" s="163">
        <v>3.7985908207588706</v>
      </c>
    </row>
    <row r="3719" spans="37:38" s="4" customFormat="1">
      <c r="AK3719" s="3">
        <v>3713</v>
      </c>
      <c r="AL3719" s="163">
        <v>3.799396895378337</v>
      </c>
    </row>
    <row r="3720" spans="37:38" s="4" customFormat="1">
      <c r="AK3720" s="3">
        <v>3714</v>
      </c>
      <c r="AL3720" s="163">
        <v>3.8002032167638875</v>
      </c>
    </row>
    <row r="3721" spans="37:38" s="4" customFormat="1">
      <c r="AK3721" s="3">
        <v>3715</v>
      </c>
      <c r="AL3721" s="163">
        <v>3.8010097848434605</v>
      </c>
    </row>
    <row r="3722" spans="37:38" s="4" customFormat="1">
      <c r="AK3722" s="3">
        <v>3716</v>
      </c>
      <c r="AL3722" s="163">
        <v>3.8018165995447388</v>
      </c>
    </row>
    <row r="3723" spans="37:38" s="4" customFormat="1">
      <c r="AK3723" s="3">
        <v>3717</v>
      </c>
      <c r="AL3723" s="163">
        <v>3.8026236607951627</v>
      </c>
    </row>
    <row r="3724" spans="37:38" s="4" customFormat="1">
      <c r="AK3724" s="3">
        <v>3718</v>
      </c>
      <c r="AL3724" s="163">
        <v>3.8034309685219387</v>
      </c>
    </row>
    <row r="3725" spans="37:38" s="4" customFormat="1">
      <c r="AK3725" s="3">
        <v>3719</v>
      </c>
      <c r="AL3725" s="163">
        <v>3.8042385226520103</v>
      </c>
    </row>
    <row r="3726" spans="37:38" s="4" customFormat="1">
      <c r="AK3726" s="3">
        <v>3720</v>
      </c>
      <c r="AL3726" s="163">
        <v>3.8050463231120792</v>
      </c>
    </row>
    <row r="3727" spans="37:38" s="4" customFormat="1">
      <c r="AK3727" s="3">
        <v>3721</v>
      </c>
      <c r="AL3727" s="163">
        <v>3.8058543698286211</v>
      </c>
    </row>
    <row r="3728" spans="37:38" s="4" customFormat="1">
      <c r="AK3728" s="3">
        <v>3722</v>
      </c>
      <c r="AL3728" s="163">
        <v>3.8066626627278386</v>
      </c>
    </row>
    <row r="3729" spans="37:38" s="4" customFormat="1">
      <c r="AK3729" s="3">
        <v>3723</v>
      </c>
      <c r="AL3729" s="163">
        <v>3.8074712017357122</v>
      </c>
    </row>
    <row r="3730" spans="37:38" s="4" customFormat="1">
      <c r="AK3730" s="3">
        <v>3724</v>
      </c>
      <c r="AL3730" s="163">
        <v>3.8082799867779515</v>
      </c>
    </row>
    <row r="3731" spans="37:38" s="4" customFormat="1">
      <c r="AK3731" s="3">
        <v>3725</v>
      </c>
      <c r="AL3731" s="163">
        <v>3.8090890177800625</v>
      </c>
    </row>
    <row r="3732" spans="37:38" s="4" customFormat="1">
      <c r="AK3732" s="3">
        <v>3726</v>
      </c>
      <c r="AL3732" s="163">
        <v>3.8098982946672546</v>
      </c>
    </row>
    <row r="3733" spans="37:38" s="4" customFormat="1">
      <c r="AK3733" s="3">
        <v>3727</v>
      </c>
      <c r="AL3733" s="163">
        <v>3.8107078173645439</v>
      </c>
    </row>
    <row r="3734" spans="37:38" s="4" customFormat="1">
      <c r="AK3734" s="3">
        <v>3728</v>
      </c>
      <c r="AL3734" s="163">
        <v>3.8115175857966666</v>
      </c>
    </row>
    <row r="3735" spans="37:38" s="4" customFormat="1">
      <c r="AK3735" s="3">
        <v>3729</v>
      </c>
      <c r="AL3735" s="163">
        <v>3.812327599888131</v>
      </c>
    </row>
    <row r="3736" spans="37:38" s="4" customFormat="1">
      <c r="AK3736" s="3">
        <v>3730</v>
      </c>
      <c r="AL3736" s="163">
        <v>3.8131378595632004</v>
      </c>
    </row>
    <row r="3737" spans="37:38" s="4" customFormat="1">
      <c r="AK3737" s="3">
        <v>3731</v>
      </c>
      <c r="AL3737" s="163">
        <v>3.813948364745896</v>
      </c>
    </row>
    <row r="3738" spans="37:38" s="4" customFormat="1">
      <c r="AK3738" s="3">
        <v>3732</v>
      </c>
      <c r="AL3738" s="163">
        <v>3.8147591153599927</v>
      </c>
    </row>
    <row r="3739" spans="37:38" s="4" customFormat="1">
      <c r="AK3739" s="3">
        <v>3733</v>
      </c>
      <c r="AL3739" s="163">
        <v>3.8155701113290132</v>
      </c>
    </row>
    <row r="3740" spans="37:38" s="4" customFormat="1">
      <c r="AK3740" s="3">
        <v>3734</v>
      </c>
      <c r="AL3740" s="163">
        <v>3.8163813525762569</v>
      </c>
    </row>
    <row r="3741" spans="37:38" s="4" customFormat="1">
      <c r="AK3741" s="3">
        <v>3735</v>
      </c>
      <c r="AL3741" s="163">
        <v>3.8171928390247656</v>
      </c>
    </row>
    <row r="3742" spans="37:38" s="4" customFormat="1">
      <c r="AK3742" s="3">
        <v>3736</v>
      </c>
      <c r="AL3742" s="163">
        <v>3.8180045705973535</v>
      </c>
    </row>
    <row r="3743" spans="37:38" s="4" customFormat="1">
      <c r="AK3743" s="3">
        <v>3737</v>
      </c>
      <c r="AL3743" s="163">
        <v>3.8188165472165694</v>
      </c>
    </row>
    <row r="3744" spans="37:38" s="4" customFormat="1">
      <c r="AK3744" s="3">
        <v>3738</v>
      </c>
      <c r="AL3744" s="163">
        <v>3.8196287688047397</v>
      </c>
    </row>
    <row r="3745" spans="37:38" s="4" customFormat="1">
      <c r="AK3745" s="3">
        <v>3739</v>
      </c>
      <c r="AL3745" s="163">
        <v>3.8204412352839423</v>
      </c>
    </row>
    <row r="3746" spans="37:38" s="4" customFormat="1">
      <c r="AK3746" s="3">
        <v>3740</v>
      </c>
      <c r="AL3746" s="163">
        <v>3.8212539465760145</v>
      </c>
    </row>
    <row r="3747" spans="37:38" s="4" customFormat="1">
      <c r="AK3747" s="3">
        <v>3741</v>
      </c>
      <c r="AL3747" s="163">
        <v>3.8220669026025487</v>
      </c>
    </row>
    <row r="3748" spans="37:38" s="4" customFormat="1">
      <c r="AK3748" s="3">
        <v>3742</v>
      </c>
      <c r="AL3748" s="163">
        <v>3.8228801032849007</v>
      </c>
    </row>
    <row r="3749" spans="37:38" s="4" customFormat="1">
      <c r="AK3749" s="3">
        <v>3743</v>
      </c>
      <c r="AL3749" s="163">
        <v>3.8236935485441776</v>
      </c>
    </row>
    <row r="3750" spans="37:38" s="4" customFormat="1">
      <c r="AK3750" s="3">
        <v>3744</v>
      </c>
      <c r="AL3750" s="163">
        <v>3.8245072383012602</v>
      </c>
    </row>
    <row r="3751" spans="37:38" s="4" customFormat="1">
      <c r="AK3751" s="3">
        <v>3745</v>
      </c>
      <c r="AL3751" s="163">
        <v>3.8253211724767731</v>
      </c>
    </row>
    <row r="3752" spans="37:38" s="4" customFormat="1">
      <c r="AK3752" s="3">
        <v>3746</v>
      </c>
      <c r="AL3752" s="163">
        <v>3.8261353509911014</v>
      </c>
    </row>
    <row r="3753" spans="37:38" s="4" customFormat="1">
      <c r="AK3753" s="3">
        <v>3747</v>
      </c>
      <c r="AL3753" s="163">
        <v>3.8269497737644063</v>
      </c>
    </row>
    <row r="3754" spans="37:38" s="4" customFormat="1">
      <c r="AK3754" s="3">
        <v>3748</v>
      </c>
      <c r="AL3754" s="163">
        <v>3.8277644407165914</v>
      </c>
    </row>
    <row r="3755" spans="37:38" s="4" customFormat="1">
      <c r="AK3755" s="3">
        <v>3749</v>
      </c>
      <c r="AL3755" s="163">
        <v>3.8285793517673214</v>
      </c>
    </row>
    <row r="3756" spans="37:38" s="4" customFormat="1">
      <c r="AK3756" s="3">
        <v>3750</v>
      </c>
      <c r="AL3756" s="163">
        <v>3.8293945068360276</v>
      </c>
    </row>
    <row r="3757" spans="37:38" s="4" customFormat="1">
      <c r="AK3757" s="3">
        <v>3751</v>
      </c>
      <c r="AL3757" s="163">
        <v>3.8302099058419055</v>
      </c>
    </row>
    <row r="3758" spans="37:38" s="4" customFormat="1">
      <c r="AK3758" s="3">
        <v>3752</v>
      </c>
      <c r="AL3758" s="163">
        <v>3.8310255487039</v>
      </c>
    </row>
    <row r="3759" spans="37:38" s="4" customFormat="1">
      <c r="AK3759" s="3">
        <v>3753</v>
      </c>
      <c r="AL3759" s="163">
        <v>3.8318414353407215</v>
      </c>
    </row>
    <row r="3760" spans="37:38" s="4" customFormat="1">
      <c r="AK3760" s="3">
        <v>3754</v>
      </c>
      <c r="AL3760" s="163">
        <v>3.832657565670841</v>
      </c>
    </row>
    <row r="3761" spans="37:38" s="4" customFormat="1">
      <c r="AK3761" s="3">
        <v>3755</v>
      </c>
      <c r="AL3761" s="163">
        <v>3.8334739396124986</v>
      </c>
    </row>
    <row r="3762" spans="37:38" s="4" customFormat="1">
      <c r="AK3762" s="3">
        <v>3756</v>
      </c>
      <c r="AL3762" s="163">
        <v>3.8342905570836798</v>
      </c>
    </row>
    <row r="3763" spans="37:38" s="4" customFormat="1">
      <c r="AK3763" s="3">
        <v>3757</v>
      </c>
      <c r="AL3763" s="163">
        <v>3.8351074180021372</v>
      </c>
    </row>
    <row r="3764" spans="37:38" s="4" customFormat="1">
      <c r="AK3764" s="3">
        <v>3758</v>
      </c>
      <c r="AL3764" s="163">
        <v>3.8359245222854028</v>
      </c>
    </row>
    <row r="3765" spans="37:38" s="4" customFormat="1">
      <c r="AK3765" s="3">
        <v>3759</v>
      </c>
      <c r="AL3765" s="163">
        <v>3.8367418698507358</v>
      </c>
    </row>
    <row r="3766" spans="37:38" s="4" customFormat="1">
      <c r="AK3766" s="3">
        <v>3760</v>
      </c>
      <c r="AL3766" s="163">
        <v>3.8375594606151919</v>
      </c>
    </row>
    <row r="3767" spans="37:38" s="4" customFormat="1">
      <c r="AK3767" s="3">
        <v>3761</v>
      </c>
      <c r="AL3767" s="163">
        <v>3.8383772944955665</v>
      </c>
    </row>
    <row r="3768" spans="37:38" s="4" customFormat="1">
      <c r="AK3768" s="3">
        <v>3762</v>
      </c>
      <c r="AL3768" s="163">
        <v>3.8391953714084233</v>
      </c>
    </row>
    <row r="3769" spans="37:38" s="4" customFormat="1">
      <c r="AK3769" s="3">
        <v>3763</v>
      </c>
      <c r="AL3769" s="163">
        <v>3.84001369127009</v>
      </c>
    </row>
    <row r="3770" spans="37:38" s="4" customFormat="1">
      <c r="AK3770" s="3">
        <v>3764</v>
      </c>
      <c r="AL3770" s="163">
        <v>3.8408322539966697</v>
      </c>
    </row>
    <row r="3771" spans="37:38" s="4" customFormat="1">
      <c r="AK3771" s="3">
        <v>3765</v>
      </c>
      <c r="AL3771" s="163">
        <v>3.8416510595039934</v>
      </c>
    </row>
    <row r="3772" spans="37:38" s="4" customFormat="1">
      <c r="AK3772" s="3">
        <v>3766</v>
      </c>
      <c r="AL3772" s="163">
        <v>3.842470107707693</v>
      </c>
    </row>
    <row r="3773" spans="37:38" s="4" customFormat="1">
      <c r="AK3773" s="3">
        <v>3767</v>
      </c>
      <c r="AL3773" s="163">
        <v>3.8432893985231402</v>
      </c>
    </row>
    <row r="3774" spans="37:38" s="4" customFormat="1">
      <c r="AK3774" s="3">
        <v>3768</v>
      </c>
      <c r="AL3774" s="163">
        <v>3.8441089318654877</v>
      </c>
    </row>
    <row r="3775" spans="37:38" s="4" customFormat="1">
      <c r="AK3775" s="3">
        <v>3769</v>
      </c>
      <c r="AL3775" s="163">
        <v>3.8449287076496264</v>
      </c>
    </row>
    <row r="3776" spans="37:38" s="4" customFormat="1">
      <c r="AK3776" s="3">
        <v>3770</v>
      </c>
      <c r="AL3776" s="163">
        <v>3.8457487257902345</v>
      </c>
    </row>
    <row r="3777" spans="37:38" s="4" customFormat="1">
      <c r="AK3777" s="3">
        <v>3771</v>
      </c>
      <c r="AL3777" s="163">
        <v>3.8465689862017518</v>
      </c>
    </row>
    <row r="3778" spans="37:38" s="4" customFormat="1">
      <c r="AK3778" s="3">
        <v>3772</v>
      </c>
      <c r="AL3778" s="163">
        <v>3.8473894887983682</v>
      </c>
    </row>
    <row r="3779" spans="37:38" s="4" customFormat="1">
      <c r="AK3779" s="3">
        <v>3773</v>
      </c>
      <c r="AL3779" s="163">
        <v>3.8482102334940471</v>
      </c>
    </row>
    <row r="3780" spans="37:38" s="4" customFormat="1">
      <c r="AK3780" s="3">
        <v>3774</v>
      </c>
      <c r="AL3780" s="163">
        <v>3.8490312202025194</v>
      </c>
    </row>
    <row r="3781" spans="37:38" s="4" customFormat="1">
      <c r="AK3781" s="3">
        <v>3775</v>
      </c>
      <c r="AL3781" s="163">
        <v>3.8498524488372707</v>
      </c>
    </row>
    <row r="3782" spans="37:38" s="4" customFormat="1">
      <c r="AK3782" s="3">
        <v>3776</v>
      </c>
      <c r="AL3782" s="163">
        <v>3.8506739193115616</v>
      </c>
    </row>
    <row r="3783" spans="37:38" s="4" customFormat="1">
      <c r="AK3783" s="3">
        <v>3777</v>
      </c>
      <c r="AL3783" s="163">
        <v>3.851495631538417</v>
      </c>
    </row>
    <row r="3784" spans="37:38" s="4" customFormat="1">
      <c r="AK3784" s="3">
        <v>3778</v>
      </c>
      <c r="AL3784" s="163">
        <v>3.8523175854306198</v>
      </c>
    </row>
    <row r="3785" spans="37:38" s="4" customFormat="1">
      <c r="AK3785" s="3">
        <v>3779</v>
      </c>
      <c r="AL3785" s="163">
        <v>3.8531397809007206</v>
      </c>
    </row>
    <row r="3786" spans="37:38" s="4" customFormat="1">
      <c r="AK3786" s="3">
        <v>3780</v>
      </c>
      <c r="AL3786" s="163">
        <v>3.853962217861044</v>
      </c>
    </row>
    <row r="3787" spans="37:38" s="4" customFormat="1">
      <c r="AK3787" s="3">
        <v>3781</v>
      </c>
      <c r="AL3787" s="163">
        <v>3.8547848962236646</v>
      </c>
    </row>
    <row r="3788" spans="37:38" s="4" customFormat="1">
      <c r="AK3788" s="3">
        <v>3782</v>
      </c>
      <c r="AL3788" s="163">
        <v>3.855607815900437</v>
      </c>
    </row>
    <row r="3789" spans="37:38" s="4" customFormat="1">
      <c r="AK3789" s="3">
        <v>3783</v>
      </c>
      <c r="AL3789" s="163">
        <v>3.8564309768029812</v>
      </c>
    </row>
    <row r="3790" spans="37:38" s="4" customFormat="1">
      <c r="AK3790" s="3">
        <v>3784</v>
      </c>
      <c r="AL3790" s="163">
        <v>3.8572543788426703</v>
      </c>
    </row>
    <row r="3791" spans="37:38" s="4" customFormat="1">
      <c r="AK3791" s="3">
        <v>3785</v>
      </c>
      <c r="AL3791" s="163">
        <v>3.8580780219306581</v>
      </c>
    </row>
    <row r="3792" spans="37:38" s="4" customFormat="1">
      <c r="AK3792" s="3">
        <v>3786</v>
      </c>
      <c r="AL3792" s="163">
        <v>3.8589019059778655</v>
      </c>
    </row>
    <row r="3793" spans="37:38" s="4" customFormat="1">
      <c r="AK3793" s="3">
        <v>3787</v>
      </c>
      <c r="AL3793" s="163">
        <v>3.8597260308949624</v>
      </c>
    </row>
    <row r="3794" spans="37:38" s="4" customFormat="1">
      <c r="AK3794" s="3">
        <v>3788</v>
      </c>
      <c r="AL3794" s="163">
        <v>3.8605503965924113</v>
      </c>
    </row>
    <row r="3795" spans="37:38" s="4" customFormat="1">
      <c r="AK3795" s="3">
        <v>3789</v>
      </c>
      <c r="AL3795" s="163">
        <v>3.861375002980421</v>
      </c>
    </row>
    <row r="3796" spans="37:38" s="4" customFormat="1">
      <c r="AK3796" s="3">
        <v>3790</v>
      </c>
      <c r="AL3796" s="163">
        <v>3.8621998499689809</v>
      </c>
    </row>
    <row r="3797" spans="37:38" s="4" customFormat="1">
      <c r="AK3797" s="3">
        <v>3791</v>
      </c>
      <c r="AL3797" s="163">
        <v>3.863024937467836</v>
      </c>
    </row>
    <row r="3798" spans="37:38" s="4" customFormat="1">
      <c r="AK3798" s="3">
        <v>3792</v>
      </c>
      <c r="AL3798" s="163">
        <v>3.8638502653865103</v>
      </c>
    </row>
    <row r="3799" spans="37:38" s="4" customFormat="1">
      <c r="AK3799" s="3">
        <v>3793</v>
      </c>
      <c r="AL3799" s="163">
        <v>3.8646758336342932</v>
      </c>
    </row>
    <row r="3800" spans="37:38" s="4" customFormat="1">
      <c r="AK3800" s="3">
        <v>3794</v>
      </c>
      <c r="AL3800" s="163">
        <v>3.8655016421202388</v>
      </c>
    </row>
    <row r="3801" spans="37:38" s="4" customFormat="1">
      <c r="AK3801" s="3">
        <v>3795</v>
      </c>
      <c r="AL3801" s="163">
        <v>3.8663276907531712</v>
      </c>
    </row>
    <row r="3802" spans="37:38" s="4" customFormat="1">
      <c r="AK3802" s="3">
        <v>3796</v>
      </c>
      <c r="AL3802" s="163">
        <v>3.867153979441678</v>
      </c>
    </row>
    <row r="3803" spans="37:38" s="4" customFormat="1">
      <c r="AK3803" s="3">
        <v>3797</v>
      </c>
      <c r="AL3803" s="163">
        <v>3.8679805080941314</v>
      </c>
    </row>
    <row r="3804" spans="37:38" s="4" customFormat="1">
      <c r="AK3804" s="3">
        <v>3798</v>
      </c>
      <c r="AL3804" s="163">
        <v>3.8688072766186554</v>
      </c>
    </row>
    <row r="3805" spans="37:38" s="4" customFormat="1">
      <c r="AK3805" s="3">
        <v>3799</v>
      </c>
      <c r="AL3805" s="163">
        <v>3.8696342849231486</v>
      </c>
    </row>
    <row r="3806" spans="37:38" s="4" customFormat="1">
      <c r="AK3806" s="3">
        <v>3800</v>
      </c>
      <c r="AL3806" s="163">
        <v>3.8704615329152858</v>
      </c>
    </row>
    <row r="3807" spans="37:38" s="4" customFormat="1">
      <c r="AK3807" s="3">
        <v>3801</v>
      </c>
      <c r="AL3807" s="163">
        <v>3.8712890205024957</v>
      </c>
    </row>
    <row r="3808" spans="37:38" s="4" customFormat="1">
      <c r="AK3808" s="3">
        <v>3802</v>
      </c>
      <c r="AL3808" s="163">
        <v>3.8721167475919929</v>
      </c>
    </row>
    <row r="3809" spans="37:38" s="4" customFormat="1">
      <c r="AK3809" s="3">
        <v>3803</v>
      </c>
      <c r="AL3809" s="163">
        <v>3.8729447140907634</v>
      </c>
    </row>
    <row r="3810" spans="37:38" s="4" customFormat="1">
      <c r="AK3810" s="3">
        <v>3804</v>
      </c>
      <c r="AL3810" s="163">
        <v>3.8737729199055355</v>
      </c>
    </row>
    <row r="3811" spans="37:38" s="4" customFormat="1">
      <c r="AK3811" s="3">
        <v>3805</v>
      </c>
      <c r="AL3811" s="163">
        <v>3.8746013649428441</v>
      </c>
    </row>
    <row r="3812" spans="37:38" s="4" customFormat="1">
      <c r="AK3812" s="3">
        <v>3806</v>
      </c>
      <c r="AL3812" s="163">
        <v>3.8754300491089655</v>
      </c>
    </row>
    <row r="3813" spans="37:38" s="4" customFormat="1">
      <c r="AK3813" s="3">
        <v>3807</v>
      </c>
      <c r="AL3813" s="163">
        <v>3.8762589723099667</v>
      </c>
    </row>
    <row r="3814" spans="37:38" s="4" customFormat="1">
      <c r="AK3814" s="3">
        <v>3808</v>
      </c>
      <c r="AL3814" s="163">
        <v>3.8770881344516788</v>
      </c>
    </row>
    <row r="3815" spans="37:38" s="4" customFormat="1">
      <c r="AK3815" s="3">
        <v>3809</v>
      </c>
      <c r="AL3815" s="163">
        <v>3.8779175354396989</v>
      </c>
    </row>
    <row r="3816" spans="37:38" s="4" customFormat="1">
      <c r="AK3816" s="3">
        <v>3810</v>
      </c>
      <c r="AL3816" s="163">
        <v>3.8787471751793952</v>
      </c>
    </row>
    <row r="3817" spans="37:38" s="4" customFormat="1">
      <c r="AK3817" s="3">
        <v>3811</v>
      </c>
      <c r="AL3817" s="163">
        <v>3.8795770535759129</v>
      </c>
    </row>
    <row r="3818" spans="37:38" s="4" customFormat="1">
      <c r="AK3818" s="3">
        <v>3812</v>
      </c>
      <c r="AL3818" s="163">
        <v>3.8804071705341752</v>
      </c>
    </row>
    <row r="3819" spans="37:38" s="4" customFormat="1">
      <c r="AK3819" s="3">
        <v>3813</v>
      </c>
      <c r="AL3819" s="163">
        <v>3.8812375259588592</v>
      </c>
    </row>
    <row r="3820" spans="37:38" s="4" customFormat="1">
      <c r="AK3820" s="3">
        <v>3814</v>
      </c>
      <c r="AL3820" s="163">
        <v>3.8820681197544293</v>
      </c>
    </row>
    <row r="3821" spans="37:38" s="4" customFormat="1">
      <c r="AK3821" s="3">
        <v>3815</v>
      </c>
      <c r="AL3821" s="163">
        <v>3.8828989518251076</v>
      </c>
    </row>
    <row r="3822" spans="37:38" s="4" customFormat="1">
      <c r="AK3822" s="3">
        <v>3816</v>
      </c>
      <c r="AL3822" s="163">
        <v>3.8837300220749063</v>
      </c>
    </row>
    <row r="3823" spans="37:38" s="4" customFormat="1">
      <c r="AK3823" s="3">
        <v>3817</v>
      </c>
      <c r="AL3823" s="163">
        <v>3.8845613304075881</v>
      </c>
    </row>
    <row r="3824" spans="37:38" s="4" customFormat="1">
      <c r="AK3824" s="3">
        <v>3818</v>
      </c>
      <c r="AL3824" s="163">
        <v>3.8853928767267103</v>
      </c>
    </row>
    <row r="3825" spans="37:38" s="4" customFormat="1">
      <c r="AK3825" s="3">
        <v>3819</v>
      </c>
      <c r="AL3825" s="163">
        <v>3.8862246609355866</v>
      </c>
    </row>
    <row r="3826" spans="37:38" s="4" customFormat="1">
      <c r="AK3826" s="3">
        <v>3820</v>
      </c>
      <c r="AL3826" s="163">
        <v>3.8870566829373154</v>
      </c>
    </row>
    <row r="3827" spans="37:38" s="4" customFormat="1">
      <c r="AK3827" s="3">
        <v>3821</v>
      </c>
      <c r="AL3827" s="163">
        <v>3.8878889426347687</v>
      </c>
    </row>
    <row r="3828" spans="37:38" s="4" customFormat="1">
      <c r="AK3828" s="3">
        <v>3822</v>
      </c>
      <c r="AL3828" s="163">
        <v>3.8887214399305758</v>
      </c>
    </row>
    <row r="3829" spans="37:38" s="4" customFormat="1">
      <c r="AK3829" s="3">
        <v>3823</v>
      </c>
      <c r="AL3829" s="163">
        <v>3.889554174727154</v>
      </c>
    </row>
    <row r="3830" spans="37:38" s="4" customFormat="1">
      <c r="AK3830" s="3">
        <v>3824</v>
      </c>
      <c r="AL3830" s="163">
        <v>3.890387146926686</v>
      </c>
    </row>
    <row r="3831" spans="37:38" s="4" customFormat="1">
      <c r="AK3831" s="3">
        <v>3825</v>
      </c>
      <c r="AL3831" s="163">
        <v>3.8912203564311376</v>
      </c>
    </row>
    <row r="3832" spans="37:38" s="4" customFormat="1">
      <c r="AK3832" s="3">
        <v>3826</v>
      </c>
      <c r="AL3832" s="163">
        <v>3.892053803142244</v>
      </c>
    </row>
    <row r="3833" spans="37:38" s="4" customFormat="1">
      <c r="AK3833" s="3">
        <v>3827</v>
      </c>
      <c r="AL3833" s="163">
        <v>3.8928874869615115</v>
      </c>
    </row>
    <row r="3834" spans="37:38" s="4" customFormat="1">
      <c r="AK3834" s="3">
        <v>3828</v>
      </c>
      <c r="AL3834" s="163">
        <v>3.8937214077902187</v>
      </c>
    </row>
    <row r="3835" spans="37:38" s="4" customFormat="1">
      <c r="AK3835" s="3">
        <v>3829</v>
      </c>
      <c r="AL3835" s="163">
        <v>3.8945555655294402</v>
      </c>
    </row>
    <row r="3836" spans="37:38" s="4" customFormat="1">
      <c r="AK3836" s="3">
        <v>3830</v>
      </c>
      <c r="AL3836" s="163">
        <v>3.8953899600799931</v>
      </c>
    </row>
    <row r="3837" spans="37:38" s="4" customFormat="1">
      <c r="AK3837" s="3">
        <v>3831</v>
      </c>
      <c r="AL3837" s="163">
        <v>3.8962245913424924</v>
      </c>
    </row>
    <row r="3838" spans="37:38" s="4" customFormat="1">
      <c r="AK3838" s="3">
        <v>3832</v>
      </c>
      <c r="AL3838" s="163">
        <v>3.8970594592173162</v>
      </c>
    </row>
    <row r="3839" spans="37:38" s="4" customFormat="1">
      <c r="AK3839" s="3">
        <v>3833</v>
      </c>
      <c r="AL3839" s="163">
        <v>3.8978945636046238</v>
      </c>
    </row>
    <row r="3840" spans="37:38" s="4" customFormat="1">
      <c r="AK3840" s="3">
        <v>3834</v>
      </c>
      <c r="AL3840" s="163">
        <v>3.8987299044043562</v>
      </c>
    </row>
    <row r="3841" spans="37:38" s="4" customFormat="1">
      <c r="AK3841" s="3">
        <v>3835</v>
      </c>
      <c r="AL3841" s="163">
        <v>3.8995654815162135</v>
      </c>
    </row>
    <row r="3842" spans="37:38" s="4" customFormat="1">
      <c r="AK3842" s="3">
        <v>3836</v>
      </c>
      <c r="AL3842" s="163">
        <v>3.9004012948396891</v>
      </c>
    </row>
    <row r="3843" spans="37:38" s="4" customFormat="1">
      <c r="AK3843" s="3">
        <v>3837</v>
      </c>
      <c r="AL3843" s="163">
        <v>3.9012373442740436</v>
      </c>
    </row>
    <row r="3844" spans="37:38" s="4" customFormat="1">
      <c r="AK3844" s="3">
        <v>3838</v>
      </c>
      <c r="AL3844" s="163">
        <v>3.9020736297183087</v>
      </c>
    </row>
    <row r="3845" spans="37:38" s="4" customFormat="1">
      <c r="AK3845" s="3">
        <v>3839</v>
      </c>
      <c r="AL3845" s="163">
        <v>3.9029101510713016</v>
      </c>
    </row>
    <row r="3846" spans="37:38" s="4" customFormat="1">
      <c r="AK3846" s="3">
        <v>3840</v>
      </c>
      <c r="AL3846" s="163">
        <v>3.9037469082316214</v>
      </c>
    </row>
    <row r="3847" spans="37:38" s="4" customFormat="1">
      <c r="AK3847" s="3">
        <v>3841</v>
      </c>
      <c r="AL3847" s="163">
        <v>3.904583901097622</v>
      </c>
    </row>
    <row r="3848" spans="37:38" s="4" customFormat="1">
      <c r="AK3848" s="3">
        <v>3842</v>
      </c>
      <c r="AL3848" s="163">
        <v>3.9054211295674559</v>
      </c>
    </row>
    <row r="3849" spans="37:38" s="4" customFormat="1">
      <c r="AK3849" s="3">
        <v>3843</v>
      </c>
      <c r="AL3849" s="163">
        <v>3.9062585935390439</v>
      </c>
    </row>
    <row r="3850" spans="37:38" s="4" customFormat="1">
      <c r="AK3850" s="3">
        <v>3844</v>
      </c>
      <c r="AL3850" s="163">
        <v>3.9070962929100945</v>
      </c>
    </row>
    <row r="3851" spans="37:38" s="4" customFormat="1">
      <c r="AK3851" s="3">
        <v>3845</v>
      </c>
      <c r="AL3851" s="163">
        <v>3.9079342275780631</v>
      </c>
    </row>
    <row r="3852" spans="37:38" s="4" customFormat="1">
      <c r="AK3852" s="3">
        <v>3846</v>
      </c>
      <c r="AL3852" s="163">
        <v>3.9087723974402246</v>
      </c>
    </row>
    <row r="3853" spans="37:38" s="4" customFormat="1">
      <c r="AK3853" s="3">
        <v>3847</v>
      </c>
      <c r="AL3853" s="163">
        <v>3.9096108023936011</v>
      </c>
    </row>
    <row r="3854" spans="37:38" s="4" customFormat="1">
      <c r="AK3854" s="3">
        <v>3848</v>
      </c>
      <c r="AL3854" s="163">
        <v>3.9104494423350067</v>
      </c>
    </row>
    <row r="3855" spans="37:38" s="4" customFormat="1">
      <c r="AK3855" s="3">
        <v>3849</v>
      </c>
      <c r="AL3855" s="163">
        <v>3.911288317161032</v>
      </c>
    </row>
    <row r="3856" spans="37:38" s="4" customFormat="1">
      <c r="AK3856" s="3">
        <v>3850</v>
      </c>
      <c r="AL3856" s="163">
        <v>3.9121274267680377</v>
      </c>
    </row>
    <row r="3857" spans="37:38" s="4" customFormat="1">
      <c r="AK3857" s="3">
        <v>3851</v>
      </c>
      <c r="AL3857" s="163">
        <v>3.9129667710521794</v>
      </c>
    </row>
    <row r="3858" spans="37:38" s="4" customFormat="1">
      <c r="AK3858" s="3">
        <v>3852</v>
      </c>
      <c r="AL3858" s="163">
        <v>3.9138063499093732</v>
      </c>
    </row>
    <row r="3859" spans="37:38" s="4" customFormat="1">
      <c r="AK3859" s="3">
        <v>3853</v>
      </c>
      <c r="AL3859" s="163">
        <v>3.914646163235326</v>
      </c>
    </row>
    <row r="3860" spans="37:38" s="4" customFormat="1">
      <c r="AK3860" s="3">
        <v>3854</v>
      </c>
      <c r="AL3860" s="163">
        <v>3.9154862109255237</v>
      </c>
    </row>
    <row r="3861" spans="37:38" s="4" customFormat="1">
      <c r="AK3861" s="3">
        <v>3855</v>
      </c>
      <c r="AL3861" s="163">
        <v>3.9163264928752284</v>
      </c>
    </row>
    <row r="3862" spans="37:38" s="4" customFormat="1">
      <c r="AK3862" s="3">
        <v>3856</v>
      </c>
      <c r="AL3862" s="163">
        <v>3.9171670089794759</v>
      </c>
    </row>
    <row r="3863" spans="37:38" s="4" customFormat="1">
      <c r="AK3863" s="3">
        <v>3857</v>
      </c>
      <c r="AL3863" s="163">
        <v>3.9180077591330971</v>
      </c>
    </row>
    <row r="3864" spans="37:38" s="4" customFormat="1">
      <c r="AK3864" s="3">
        <v>3858</v>
      </c>
      <c r="AL3864" s="163">
        <v>3.9188487432306847</v>
      </c>
    </row>
    <row r="3865" spans="37:38" s="4" customFormat="1">
      <c r="AK3865" s="3">
        <v>3859</v>
      </c>
      <c r="AL3865" s="163">
        <v>3.9196899611666294</v>
      </c>
    </row>
    <row r="3866" spans="37:38" s="4" customFormat="1">
      <c r="AK3866" s="3">
        <v>3860</v>
      </c>
      <c r="AL3866" s="163">
        <v>3.920531412835083</v>
      </c>
    </row>
    <row r="3867" spans="37:38" s="4" customFormat="1">
      <c r="AK3867" s="3">
        <v>3861</v>
      </c>
      <c r="AL3867" s="163">
        <v>3.9213730981299997</v>
      </c>
    </row>
    <row r="3868" spans="37:38" s="4" customFormat="1">
      <c r="AK3868" s="3">
        <v>3862</v>
      </c>
      <c r="AL3868" s="163">
        <v>3.922215016945092</v>
      </c>
    </row>
    <row r="3869" spans="37:38" s="4" customFormat="1">
      <c r="AK3869" s="3">
        <v>3863</v>
      </c>
      <c r="AL3869" s="163">
        <v>3.9230571691738718</v>
      </c>
    </row>
    <row r="3870" spans="37:38" s="4" customFormat="1">
      <c r="AK3870" s="3">
        <v>3864</v>
      </c>
      <c r="AL3870" s="163">
        <v>3.9238995547096294</v>
      </c>
    </row>
    <row r="3871" spans="37:38" s="4" customFormat="1">
      <c r="AK3871" s="3">
        <v>3865</v>
      </c>
      <c r="AL3871" s="163">
        <v>3.9247421734454111</v>
      </c>
    </row>
    <row r="3872" spans="37:38" s="4" customFormat="1">
      <c r="AK3872" s="3">
        <v>3866</v>
      </c>
      <c r="AL3872" s="163">
        <v>3.9255850252740876</v>
      </c>
    </row>
    <row r="3873" spans="37:38" s="4" customFormat="1">
      <c r="AK3873" s="3">
        <v>3867</v>
      </c>
      <c r="AL3873" s="163">
        <v>3.9264281100882719</v>
      </c>
    </row>
    <row r="3874" spans="37:38" s="4" customFormat="1">
      <c r="AK3874" s="3">
        <v>3868</v>
      </c>
      <c r="AL3874" s="163">
        <v>3.9272714277803802</v>
      </c>
    </row>
    <row r="3875" spans="37:38" s="4" customFormat="1">
      <c r="AK3875" s="3">
        <v>3869</v>
      </c>
      <c r="AL3875" s="163">
        <v>3.9281149782426059</v>
      </c>
    </row>
    <row r="3876" spans="37:38" s="4" customFormat="1">
      <c r="AK3876" s="3">
        <v>3870</v>
      </c>
      <c r="AL3876" s="163">
        <v>3.9289587613669319</v>
      </c>
    </row>
    <row r="3877" spans="37:38" s="4" customFormat="1">
      <c r="AK3877" s="3">
        <v>3871</v>
      </c>
      <c r="AL3877" s="163">
        <v>3.9298027770451029</v>
      </c>
    </row>
    <row r="3878" spans="37:38" s="4" customFormat="1">
      <c r="AK3878" s="3">
        <v>3872</v>
      </c>
      <c r="AL3878" s="163">
        <v>3.9306470251686711</v>
      </c>
    </row>
    <row r="3879" spans="37:38" s="4" customFormat="1">
      <c r="AK3879" s="3">
        <v>3873</v>
      </c>
      <c r="AL3879" s="163">
        <v>3.9314915056289443</v>
      </c>
    </row>
    <row r="3880" spans="37:38" s="4" customFormat="1">
      <c r="AK3880" s="3">
        <v>3874</v>
      </c>
      <c r="AL3880" s="163">
        <v>3.9323362183170465</v>
      </c>
    </row>
    <row r="3881" spans="37:38" s="4" customFormat="1">
      <c r="AK3881" s="3">
        <v>3875</v>
      </c>
      <c r="AL3881" s="163">
        <v>3.9331811631238529</v>
      </c>
    </row>
    <row r="3882" spans="37:38" s="4" customFormat="1">
      <c r="AK3882" s="3">
        <v>3876</v>
      </c>
      <c r="AL3882" s="163">
        <v>3.934026339940039</v>
      </c>
    </row>
    <row r="3883" spans="37:38" s="4" customFormat="1">
      <c r="AK3883" s="3">
        <v>3877</v>
      </c>
      <c r="AL3883" s="163">
        <v>3.9348717486560658</v>
      </c>
    </row>
    <row r="3884" spans="37:38" s="4" customFormat="1">
      <c r="AK3884" s="3">
        <v>3878</v>
      </c>
      <c r="AL3884" s="163">
        <v>3.9357173891621611</v>
      </c>
    </row>
    <row r="3885" spans="37:38" s="4" customFormat="1">
      <c r="AK3885" s="3">
        <v>3879</v>
      </c>
      <c r="AL3885" s="163">
        <v>3.9365632613483559</v>
      </c>
    </row>
    <row r="3886" spans="37:38" s="4" customFormat="1">
      <c r="AK3886" s="3">
        <v>3880</v>
      </c>
      <c r="AL3886" s="163">
        <v>3.9374093651044504</v>
      </c>
    </row>
    <row r="3887" spans="37:38" s="4" customFormat="1">
      <c r="AK3887" s="3">
        <v>3881</v>
      </c>
      <c r="AL3887" s="163">
        <v>3.9382557003200516</v>
      </c>
    </row>
    <row r="3888" spans="37:38" s="4" customFormat="1">
      <c r="AK3888" s="3">
        <v>3882</v>
      </c>
      <c r="AL3888" s="163">
        <v>3.9391022668845146</v>
      </c>
    </row>
    <row r="3889" spans="37:38" s="4" customFormat="1">
      <c r="AK3889" s="3">
        <v>3883</v>
      </c>
      <c r="AL3889" s="163">
        <v>3.9399490646870108</v>
      </c>
    </row>
    <row r="3890" spans="37:38" s="4" customFormat="1">
      <c r="AK3890" s="3">
        <v>3884</v>
      </c>
      <c r="AL3890" s="163">
        <v>3.9407960936164779</v>
      </c>
    </row>
    <row r="3891" spans="37:38" s="4" customFormat="1">
      <c r="AK3891" s="3">
        <v>3885</v>
      </c>
      <c r="AL3891" s="163">
        <v>3.9416433535616511</v>
      </c>
    </row>
    <row r="3892" spans="37:38" s="4" customFormat="1">
      <c r="AK3892" s="3">
        <v>3886</v>
      </c>
      <c r="AL3892" s="163">
        <v>3.9424908444110498</v>
      </c>
    </row>
    <row r="3893" spans="37:38" s="4" customFormat="1">
      <c r="AK3893" s="3">
        <v>3887</v>
      </c>
      <c r="AL3893" s="163">
        <v>3.9433385660529634</v>
      </c>
    </row>
    <row r="3894" spans="37:38" s="4" customFormat="1">
      <c r="AK3894" s="3">
        <v>3888</v>
      </c>
      <c r="AL3894" s="163">
        <v>3.9441865183754743</v>
      </c>
    </row>
    <row r="3895" spans="37:38" s="4" customFormat="1">
      <c r="AK3895" s="3">
        <v>3889</v>
      </c>
      <c r="AL3895" s="163">
        <v>3.9450347012664642</v>
      </c>
    </row>
    <row r="3896" spans="37:38" s="4" customFormat="1">
      <c r="AK3896" s="3">
        <v>3890</v>
      </c>
      <c r="AL3896" s="163">
        <v>3.9458831146135833</v>
      </c>
    </row>
    <row r="3897" spans="37:38" s="4" customFormat="1">
      <c r="AK3897" s="3">
        <v>3891</v>
      </c>
      <c r="AL3897" s="163">
        <v>3.9467317583042814</v>
      </c>
    </row>
    <row r="3898" spans="37:38" s="4" customFormat="1">
      <c r="AK3898" s="3">
        <v>3892</v>
      </c>
      <c r="AL3898" s="163">
        <v>3.9475806322257778</v>
      </c>
    </row>
    <row r="3899" spans="37:38" s="4" customFormat="1">
      <c r="AK3899" s="3">
        <v>3893</v>
      </c>
      <c r="AL3899" s="163">
        <v>3.9484297362650893</v>
      </c>
    </row>
    <row r="3900" spans="37:38" s="4" customFormat="1">
      <c r="AK3900" s="3">
        <v>3894</v>
      </c>
      <c r="AL3900" s="163">
        <v>3.9492790703090233</v>
      </c>
    </row>
    <row r="3901" spans="37:38" s="4" customFormat="1">
      <c r="AK3901" s="3">
        <v>3895</v>
      </c>
      <c r="AL3901" s="163">
        <v>3.9501286342441619</v>
      </c>
    </row>
    <row r="3902" spans="37:38" s="4" customFormat="1">
      <c r="AK3902" s="3">
        <v>3896</v>
      </c>
      <c r="AL3902" s="163">
        <v>3.9509784279568887</v>
      </c>
    </row>
    <row r="3903" spans="37:38" s="4" customFormat="1">
      <c r="AK3903" s="3">
        <v>3897</v>
      </c>
      <c r="AL3903" s="163">
        <v>3.9518284513333568</v>
      </c>
    </row>
    <row r="3904" spans="37:38" s="4" customFormat="1">
      <c r="AK3904" s="3">
        <v>3898</v>
      </c>
      <c r="AL3904" s="163">
        <v>3.9526787042595202</v>
      </c>
    </row>
    <row r="3905" spans="37:38" s="4" customFormat="1">
      <c r="AK3905" s="3">
        <v>3899</v>
      </c>
      <c r="AL3905" s="163">
        <v>3.9535291866211182</v>
      </c>
    </row>
    <row r="3906" spans="37:38" s="4" customFormat="1">
      <c r="AK3906" s="3">
        <v>3900</v>
      </c>
      <c r="AL3906" s="163">
        <v>3.9543798983036664</v>
      </c>
    </row>
    <row r="3907" spans="37:38" s="4" customFormat="1">
      <c r="AK3907" s="3">
        <v>3901</v>
      </c>
      <c r="AL3907" s="163">
        <v>3.9552308391924953</v>
      </c>
    </row>
    <row r="3908" spans="37:38" s="4" customFormat="1">
      <c r="AK3908" s="3">
        <v>3902</v>
      </c>
      <c r="AL3908" s="163">
        <v>3.9560820091726816</v>
      </c>
    </row>
    <row r="3909" spans="37:38" s="4" customFormat="1">
      <c r="AK3909" s="3">
        <v>3903</v>
      </c>
      <c r="AL3909" s="163">
        <v>3.9569334081291334</v>
      </c>
    </row>
    <row r="3910" spans="37:38" s="4" customFormat="1">
      <c r="AK3910" s="3">
        <v>3904</v>
      </c>
      <c r="AL3910" s="163">
        <v>3.9577850359465252</v>
      </c>
    </row>
    <row r="3911" spans="37:38" s="4" customFormat="1">
      <c r="AK3911" s="3">
        <v>3905</v>
      </c>
      <c r="AL3911" s="163">
        <v>3.9586368925093134</v>
      </c>
    </row>
    <row r="3912" spans="37:38" s="4" customFormat="1">
      <c r="AK3912" s="3">
        <v>3906</v>
      </c>
      <c r="AL3912" s="163">
        <v>3.9594889777017594</v>
      </c>
    </row>
    <row r="3913" spans="37:38" s="4" customFormat="1">
      <c r="AK3913" s="3">
        <v>3907</v>
      </c>
      <c r="AL3913" s="163">
        <v>3.9603412914079059</v>
      </c>
    </row>
    <row r="3914" spans="37:38" s="4" customFormat="1">
      <c r="AK3914" s="3">
        <v>3908</v>
      </c>
      <c r="AL3914" s="163">
        <v>3.9611938335115857</v>
      </c>
    </row>
    <row r="3915" spans="37:38" s="4" customFormat="1">
      <c r="AK3915" s="3">
        <v>3909</v>
      </c>
      <c r="AL3915" s="163">
        <v>3.9620466038964173</v>
      </c>
    </row>
    <row r="3916" spans="37:38" s="4" customFormat="1">
      <c r="AK3916" s="3">
        <v>3910</v>
      </c>
      <c r="AL3916" s="163">
        <v>3.9628996024458161</v>
      </c>
    </row>
    <row r="3917" spans="37:38" s="4" customFormat="1">
      <c r="AK3917" s="3">
        <v>3911</v>
      </c>
      <c r="AL3917" s="163">
        <v>3.9637528290429822</v>
      </c>
    </row>
    <row r="3918" spans="37:38" s="4" customFormat="1">
      <c r="AK3918" s="3">
        <v>3912</v>
      </c>
      <c r="AL3918" s="163">
        <v>3.9646062835709079</v>
      </c>
    </row>
    <row r="3919" spans="37:38" s="4" customFormat="1">
      <c r="AK3919" s="3">
        <v>3913</v>
      </c>
      <c r="AL3919" s="163">
        <v>3.9654599659123662</v>
      </c>
    </row>
    <row r="3920" spans="37:38" s="4" customFormat="1">
      <c r="AK3920" s="3">
        <v>3914</v>
      </c>
      <c r="AL3920" s="163">
        <v>3.966313875949937</v>
      </c>
    </row>
    <row r="3921" spans="37:38" s="4" customFormat="1">
      <c r="AK3921" s="3">
        <v>3915</v>
      </c>
      <c r="AL3921" s="163">
        <v>3.9671680135659781</v>
      </c>
    </row>
    <row r="3922" spans="37:38" s="4" customFormat="1">
      <c r="AK3922" s="3">
        <v>3916</v>
      </c>
      <c r="AL3922" s="163">
        <v>3.9680223786426465</v>
      </c>
    </row>
    <row r="3923" spans="37:38" s="4" customFormat="1">
      <c r="AK3923" s="3">
        <v>3917</v>
      </c>
      <c r="AL3923" s="163">
        <v>3.968876971061877</v>
      </c>
    </row>
    <row r="3924" spans="37:38" s="4" customFormat="1">
      <c r="AK3924" s="3">
        <v>3918</v>
      </c>
      <c r="AL3924" s="163">
        <v>3.9697317907054073</v>
      </c>
    </row>
    <row r="3925" spans="37:38" s="4" customFormat="1">
      <c r="AK3925" s="3">
        <v>3919</v>
      </c>
      <c r="AL3925" s="163">
        <v>3.9705868374547624</v>
      </c>
    </row>
    <row r="3926" spans="37:38" s="4" customFormat="1">
      <c r="AK3926" s="3">
        <v>3920</v>
      </c>
      <c r="AL3926" s="163">
        <v>3.9714421111912652</v>
      </c>
    </row>
    <row r="3927" spans="37:38" s="4" customFormat="1">
      <c r="AK3927" s="3">
        <v>3921</v>
      </c>
      <c r="AL3927" s="163">
        <v>3.9722976117960087</v>
      </c>
    </row>
    <row r="3928" spans="37:38" s="4" customFormat="1">
      <c r="AK3928" s="3">
        <v>3922</v>
      </c>
      <c r="AL3928" s="163">
        <v>3.9731533391499045</v>
      </c>
    </row>
    <row r="3929" spans="37:38" s="4" customFormat="1">
      <c r="AK3929" s="3">
        <v>3923</v>
      </c>
      <c r="AL3929" s="163">
        <v>3.9740092931336362</v>
      </c>
    </row>
    <row r="3930" spans="37:38" s="4" customFormat="1">
      <c r="AK3930" s="3">
        <v>3924</v>
      </c>
      <c r="AL3930" s="163">
        <v>3.9748654736276858</v>
      </c>
    </row>
    <row r="3931" spans="37:38" s="4" customFormat="1">
      <c r="AK3931" s="3">
        <v>3925</v>
      </c>
      <c r="AL3931" s="163">
        <v>3.975721880512344</v>
      </c>
    </row>
    <row r="3932" spans="37:38" s="4" customFormat="1">
      <c r="AK3932" s="3">
        <v>3926</v>
      </c>
      <c r="AL3932" s="163">
        <v>3.9765785136676626</v>
      </c>
    </row>
    <row r="3933" spans="37:38" s="4" customFormat="1">
      <c r="AK3933" s="3">
        <v>3927</v>
      </c>
      <c r="AL3933" s="163">
        <v>3.9774353729735159</v>
      </c>
    </row>
    <row r="3934" spans="37:38" s="4" customFormat="1">
      <c r="AK3934" s="3">
        <v>3928</v>
      </c>
      <c r="AL3934" s="163">
        <v>3.9782924583095411</v>
      </c>
    </row>
    <row r="3935" spans="37:38" s="4" customFormat="1">
      <c r="AK3935" s="3">
        <v>3929</v>
      </c>
      <c r="AL3935" s="163">
        <v>3.9791497695552005</v>
      </c>
    </row>
    <row r="3936" spans="37:38" s="4" customFormat="1">
      <c r="AK3936" s="3">
        <v>3930</v>
      </c>
      <c r="AL3936" s="163">
        <v>3.9800073065897168</v>
      </c>
    </row>
    <row r="3937" spans="37:38" s="4" customFormat="1">
      <c r="AK3937" s="3">
        <v>3931</v>
      </c>
      <c r="AL3937" s="163">
        <v>3.9808650692921379</v>
      </c>
    </row>
    <row r="3938" spans="37:38" s="4" customFormat="1">
      <c r="AK3938" s="3">
        <v>3932</v>
      </c>
      <c r="AL3938" s="163">
        <v>3.9817230575412825</v>
      </c>
    </row>
    <row r="3939" spans="37:38" s="4" customFormat="1">
      <c r="AK3939" s="3">
        <v>3933</v>
      </c>
      <c r="AL3939" s="163">
        <v>3.9825812712157762</v>
      </c>
    </row>
    <row r="3940" spans="37:38" s="4" customFormat="1">
      <c r="AK3940" s="3">
        <v>3934</v>
      </c>
      <c r="AL3940" s="163">
        <v>3.9834397101940251</v>
      </c>
    </row>
    <row r="3941" spans="37:38" s="4" customFormat="1">
      <c r="AK3941" s="3">
        <v>3935</v>
      </c>
      <c r="AL3941" s="163">
        <v>3.9842983743542431</v>
      </c>
    </row>
    <row r="3942" spans="37:38" s="4" customFormat="1">
      <c r="AK3942" s="3">
        <v>3936</v>
      </c>
      <c r="AL3942" s="163">
        <v>3.9851572635744299</v>
      </c>
    </row>
    <row r="3943" spans="37:38" s="4" customFormat="1">
      <c r="AK3943" s="3">
        <v>3937</v>
      </c>
      <c r="AL3943" s="163">
        <v>3.9860163777323834</v>
      </c>
    </row>
    <row r="3944" spans="37:38" s="4" customFormat="1">
      <c r="AK3944" s="3">
        <v>3938</v>
      </c>
      <c r="AL3944" s="163">
        <v>3.986875716705701</v>
      </c>
    </row>
    <row r="3945" spans="37:38" s="4" customFormat="1">
      <c r="AK3945" s="3">
        <v>3939</v>
      </c>
      <c r="AL3945" s="163">
        <v>3.987735280371755</v>
      </c>
    </row>
    <row r="3946" spans="37:38" s="4" customFormat="1">
      <c r="AK3946" s="3">
        <v>3940</v>
      </c>
      <c r="AL3946" s="163">
        <v>3.9885950686077347</v>
      </c>
    </row>
    <row r="3947" spans="37:38" s="4" customFormat="1">
      <c r="AK3947" s="3">
        <v>3941</v>
      </c>
      <c r="AL3947" s="163">
        <v>3.9894550812906164</v>
      </c>
    </row>
    <row r="3948" spans="37:38" s="4" customFormat="1">
      <c r="AK3948" s="3">
        <v>3942</v>
      </c>
      <c r="AL3948" s="163">
        <v>3.9903153182971733</v>
      </c>
    </row>
    <row r="3949" spans="37:38" s="4" customFormat="1">
      <c r="AK3949" s="3">
        <v>3943</v>
      </c>
      <c r="AL3949" s="163">
        <v>3.9911757795039664</v>
      </c>
    </row>
    <row r="3950" spans="37:38" s="4" customFormat="1">
      <c r="AK3950" s="3">
        <v>3944</v>
      </c>
      <c r="AL3950" s="163">
        <v>3.9920364647873674</v>
      </c>
    </row>
    <row r="3951" spans="37:38" s="4" customFormat="1">
      <c r="AK3951" s="3">
        <v>3945</v>
      </c>
      <c r="AL3951" s="163">
        <v>3.9928973740235234</v>
      </c>
    </row>
    <row r="3952" spans="37:38" s="4" customFormat="1">
      <c r="AK3952" s="3">
        <v>3946</v>
      </c>
      <c r="AL3952" s="163">
        <v>3.9937585070883999</v>
      </c>
    </row>
    <row r="3953" spans="37:38" s="4" customFormat="1">
      <c r="AK3953" s="3">
        <v>3947</v>
      </c>
      <c r="AL3953" s="163">
        <v>3.9946198638577464</v>
      </c>
    </row>
    <row r="3954" spans="37:38" s="4" customFormat="1">
      <c r="AK3954" s="3">
        <v>3948</v>
      </c>
      <c r="AL3954" s="163">
        <v>3.9954814442071114</v>
      </c>
    </row>
    <row r="3955" spans="37:38" s="4" customFormat="1">
      <c r="AK3955" s="3">
        <v>3949</v>
      </c>
      <c r="AL3955" s="163">
        <v>3.9963432480118319</v>
      </c>
    </row>
    <row r="3956" spans="37:38" s="4" customFormat="1">
      <c r="AK3956" s="3">
        <v>3950</v>
      </c>
      <c r="AL3956" s="163">
        <v>3.997205275147051</v>
      </c>
    </row>
    <row r="3957" spans="37:38" s="4" customFormat="1">
      <c r="AK3957" s="3">
        <v>3951</v>
      </c>
      <c r="AL3957" s="163">
        <v>3.9980675254877065</v>
      </c>
    </row>
    <row r="3958" spans="37:38" s="4" customFormat="1">
      <c r="AK3958" s="3">
        <v>3952</v>
      </c>
      <c r="AL3958" s="163">
        <v>3.9989299989085447</v>
      </c>
    </row>
    <row r="3959" spans="37:38" s="4" customFormat="1">
      <c r="AK3959" s="3">
        <v>3953</v>
      </c>
      <c r="AL3959" s="163">
        <v>3.9997926952840839</v>
      </c>
    </row>
    <row r="3960" spans="37:38" s="4" customFormat="1">
      <c r="AK3960" s="3">
        <v>3954</v>
      </c>
      <c r="AL3960" s="163">
        <v>4.0006556144886618</v>
      </c>
    </row>
    <row r="3961" spans="37:38" s="4" customFormat="1">
      <c r="AK3961" s="3">
        <v>3955</v>
      </c>
      <c r="AL3961" s="163">
        <v>4.0015187563964076</v>
      </c>
    </row>
    <row r="3962" spans="37:38" s="4" customFormat="1">
      <c r="AK3962" s="3">
        <v>3956</v>
      </c>
      <c r="AL3962" s="163">
        <v>4.00238212088124</v>
      </c>
    </row>
    <row r="3963" spans="37:38" s="4" customFormat="1">
      <c r="AK3963" s="3">
        <v>3957</v>
      </c>
      <c r="AL3963" s="163">
        <v>4.0032457078168902</v>
      </c>
    </row>
    <row r="3964" spans="37:38" s="4" customFormat="1">
      <c r="AK3964" s="3">
        <v>3958</v>
      </c>
      <c r="AL3964" s="163">
        <v>4.0041095170768806</v>
      </c>
    </row>
    <row r="3965" spans="37:38" s="4" customFormat="1">
      <c r="AK3965" s="3">
        <v>3959</v>
      </c>
      <c r="AL3965" s="163">
        <v>4.0049735485345224</v>
      </c>
    </row>
    <row r="3966" spans="37:38" s="4" customFormat="1">
      <c r="AK3966" s="3">
        <v>3960</v>
      </c>
      <c r="AL3966" s="163">
        <v>4.0058378020629446</v>
      </c>
    </row>
    <row r="3967" spans="37:38" s="4" customFormat="1">
      <c r="AK3967" s="3">
        <v>3961</v>
      </c>
      <c r="AL3967" s="163">
        <v>4.0067022775350623</v>
      </c>
    </row>
    <row r="3968" spans="37:38" s="4" customFormat="1">
      <c r="AK3968" s="3">
        <v>3962</v>
      </c>
      <c r="AL3968" s="163">
        <v>4.007566974823594</v>
      </c>
    </row>
    <row r="3969" spans="37:38" s="4" customFormat="1">
      <c r="AK3969" s="3">
        <v>3963</v>
      </c>
      <c r="AL3969" s="163">
        <v>4.0084318938010588</v>
      </c>
    </row>
    <row r="3970" spans="37:38" s="4" customFormat="1">
      <c r="AK3970" s="3">
        <v>3964</v>
      </c>
      <c r="AL3970" s="163">
        <v>4.0092970343397614</v>
      </c>
    </row>
    <row r="3971" spans="37:38" s="4" customFormat="1">
      <c r="AK3971" s="3">
        <v>3965</v>
      </c>
      <c r="AL3971" s="163">
        <v>4.0101623963118262</v>
      </c>
    </row>
    <row r="3972" spans="37:38" s="4" customFormat="1">
      <c r="AK3972" s="3">
        <v>3966</v>
      </c>
      <c r="AL3972" s="163">
        <v>4.0110279795891675</v>
      </c>
    </row>
    <row r="3973" spans="37:38" s="4" customFormat="1">
      <c r="AK3973" s="3">
        <v>3967</v>
      </c>
      <c r="AL3973" s="163">
        <v>4.0118937840435045</v>
      </c>
    </row>
    <row r="3974" spans="37:38" s="4" customFormat="1">
      <c r="AK3974" s="3">
        <v>3968</v>
      </c>
      <c r="AL3974" s="163">
        <v>4.0127598095463437</v>
      </c>
    </row>
    <row r="3975" spans="37:38" s="4" customFormat="1">
      <c r="AK3975" s="3">
        <v>3969</v>
      </c>
      <c r="AL3975" s="163">
        <v>4.0136260559690058</v>
      </c>
    </row>
    <row r="3976" spans="37:38" s="4" customFormat="1">
      <c r="AK3976" s="3">
        <v>3970</v>
      </c>
      <c r="AL3976" s="163">
        <v>4.0144925231826081</v>
      </c>
    </row>
    <row r="3977" spans="37:38" s="4" customFormat="1">
      <c r="AK3977" s="3">
        <v>3971</v>
      </c>
      <c r="AL3977" s="163">
        <v>4.0153592110580627</v>
      </c>
    </row>
    <row r="3978" spans="37:38" s="4" customFormat="1">
      <c r="AK3978" s="3">
        <v>3972</v>
      </c>
      <c r="AL3978" s="163">
        <v>4.0162261194660944</v>
      </c>
    </row>
    <row r="3979" spans="37:38" s="4" customFormat="1">
      <c r="AK3979" s="3">
        <v>3973</v>
      </c>
      <c r="AL3979" s="163">
        <v>4.0170932482772139</v>
      </c>
    </row>
    <row r="3980" spans="37:38" s="4" customFormat="1">
      <c r="AK3980" s="3">
        <v>3974</v>
      </c>
      <c r="AL3980" s="163">
        <v>4.0179605973617418</v>
      </c>
    </row>
    <row r="3981" spans="37:38" s="4" customFormat="1">
      <c r="AK3981" s="3">
        <v>3975</v>
      </c>
      <c r="AL3981" s="163">
        <v>4.018828166589806</v>
      </c>
    </row>
    <row r="3982" spans="37:38" s="4" customFormat="1">
      <c r="AK3982" s="3">
        <v>3976</v>
      </c>
      <c r="AL3982" s="163">
        <v>4.0196959558313257</v>
      </c>
    </row>
    <row r="3983" spans="37:38" s="4" customFormat="1">
      <c r="AK3983" s="3">
        <v>3977</v>
      </c>
      <c r="AL3983" s="163">
        <v>4.0205639649560219</v>
      </c>
    </row>
    <row r="3984" spans="37:38" s="4" customFormat="1">
      <c r="AK3984" s="3">
        <v>3978</v>
      </c>
      <c r="AL3984" s="163">
        <v>4.021432193833431</v>
      </c>
    </row>
    <row r="3985" spans="37:38" s="4" customFormat="1">
      <c r="AK3985" s="3">
        <v>3979</v>
      </c>
      <c r="AL3985" s="163">
        <v>4.0223006423328709</v>
      </c>
    </row>
    <row r="3986" spans="37:38" s="4" customFormat="1">
      <c r="AK3986" s="3">
        <v>3980</v>
      </c>
      <c r="AL3986" s="163">
        <v>4.0231693103234809</v>
      </c>
    </row>
    <row r="3987" spans="37:38" s="4" customFormat="1">
      <c r="AK3987" s="3">
        <v>3981</v>
      </c>
      <c r="AL3987" s="163">
        <v>4.0240381976741926</v>
      </c>
    </row>
    <row r="3988" spans="37:38" s="4" customFormat="1">
      <c r="AK3988" s="3">
        <v>3982</v>
      </c>
      <c r="AL3988" s="163">
        <v>4.0249073042537375</v>
      </c>
    </row>
    <row r="3989" spans="37:38" s="4" customFormat="1">
      <c r="AK3989" s="3">
        <v>3983</v>
      </c>
      <c r="AL3989" s="163">
        <v>4.0257766299306592</v>
      </c>
    </row>
    <row r="3990" spans="37:38" s="4" customFormat="1">
      <c r="AK3990" s="3">
        <v>3984</v>
      </c>
      <c r="AL3990" s="163">
        <v>4.0266461745732984</v>
      </c>
    </row>
    <row r="3991" spans="37:38" s="4" customFormat="1">
      <c r="AK3991" s="3">
        <v>3985</v>
      </c>
      <c r="AL3991" s="163">
        <v>4.0275159380498016</v>
      </c>
    </row>
    <row r="3992" spans="37:38" s="4" customFormat="1">
      <c r="AK3992" s="3">
        <v>3986</v>
      </c>
      <c r="AL3992" s="163">
        <v>4.0283859202281196</v>
      </c>
    </row>
    <row r="3993" spans="37:38" s="4" customFormat="1">
      <c r="AK3993" s="3">
        <v>3987</v>
      </c>
      <c r="AL3993" s="163">
        <v>4.0292561209759992</v>
      </c>
    </row>
    <row r="3994" spans="37:38" s="4" customFormat="1">
      <c r="AK3994" s="3">
        <v>3988</v>
      </c>
      <c r="AL3994" s="163">
        <v>4.0301265401610049</v>
      </c>
    </row>
    <row r="3995" spans="37:38" s="4" customFormat="1">
      <c r="AK3995" s="3">
        <v>3989</v>
      </c>
      <c r="AL3995" s="163">
        <v>4.0309971776504883</v>
      </c>
    </row>
    <row r="3996" spans="37:38" s="4" customFormat="1">
      <c r="AK3996" s="3">
        <v>3990</v>
      </c>
      <c r="AL3996" s="163">
        <v>4.031868033311623</v>
      </c>
    </row>
    <row r="3997" spans="37:38" s="4" customFormat="1">
      <c r="AK3997" s="3">
        <v>3991</v>
      </c>
      <c r="AL3997" s="163">
        <v>4.0327391070113681</v>
      </c>
    </row>
    <row r="3998" spans="37:38" s="4" customFormat="1">
      <c r="AK3998" s="3">
        <v>3992</v>
      </c>
      <c r="AL3998" s="163">
        <v>4.0336103986165046</v>
      </c>
    </row>
    <row r="3999" spans="37:38" s="4" customFormat="1">
      <c r="AK3999" s="3">
        <v>3993</v>
      </c>
      <c r="AL3999" s="163">
        <v>4.0344819079936087</v>
      </c>
    </row>
    <row r="4000" spans="37:38" s="4" customFormat="1">
      <c r="AK4000" s="3">
        <v>3994</v>
      </c>
      <c r="AL4000" s="163">
        <v>4.0353536350090637</v>
      </c>
    </row>
    <row r="4001" spans="37:38" s="4" customFormat="1">
      <c r="AK4001" s="3">
        <v>3995</v>
      </c>
      <c r="AL4001" s="163">
        <v>4.0362255795290576</v>
      </c>
    </row>
    <row r="4002" spans="37:38" s="4" customFormat="1">
      <c r="AK4002" s="3">
        <v>3996</v>
      </c>
      <c r="AL4002" s="163">
        <v>4.037097741419581</v>
      </c>
    </row>
    <row r="4003" spans="37:38" s="4" customFormat="1">
      <c r="AK4003" s="3">
        <v>3997</v>
      </c>
      <c r="AL4003" s="163">
        <v>4.0379701205464347</v>
      </c>
    </row>
    <row r="4004" spans="37:38" s="4" customFormat="1">
      <c r="AK4004" s="3">
        <v>3998</v>
      </c>
      <c r="AL4004" s="163">
        <v>4.038842716775223</v>
      </c>
    </row>
    <row r="4005" spans="37:38" s="4" customFormat="1">
      <c r="AK4005" s="3">
        <v>3999</v>
      </c>
      <c r="AL4005" s="163">
        <v>4.0397155299713603</v>
      </c>
    </row>
    <row r="4006" spans="37:38" s="4" customFormat="1">
      <c r="AK4006" s="3">
        <v>4000</v>
      </c>
      <c r="AL4006" s="163">
        <v>4.0405885600000513</v>
      </c>
    </row>
    <row r="4007" spans="37:38" s="4" customFormat="1">
      <c r="AK4007" s="3">
        <v>4001</v>
      </c>
      <c r="AL4007" s="163">
        <v>4.041461806726331</v>
      </c>
    </row>
    <row r="4008" spans="37:38" s="4" customFormat="1">
      <c r="AK4008" s="3">
        <v>4002</v>
      </c>
      <c r="AL4008" s="163">
        <v>4.0423352700150224</v>
      </c>
    </row>
    <row r="4009" spans="37:38" s="4" customFormat="1">
      <c r="AK4009" s="3">
        <v>4003</v>
      </c>
      <c r="AL4009" s="163">
        <v>4.0432089497307651</v>
      </c>
    </row>
    <row r="4010" spans="37:38" s="4" customFormat="1">
      <c r="AK4010" s="3">
        <v>4004</v>
      </c>
      <c r="AL4010" s="163">
        <v>4.0440828457379965</v>
      </c>
    </row>
    <row r="4011" spans="37:38" s="4" customFormat="1">
      <c r="AK4011" s="3">
        <v>4005</v>
      </c>
      <c r="AL4011" s="163">
        <v>4.0449569579009665</v>
      </c>
    </row>
    <row r="4012" spans="37:38" s="4" customFormat="1">
      <c r="AK4012" s="3">
        <v>4006</v>
      </c>
      <c r="AL4012" s="163">
        <v>4.0458312860837298</v>
      </c>
    </row>
    <row r="4013" spans="37:38" s="4" customFormat="1">
      <c r="AK4013" s="3">
        <v>4007</v>
      </c>
      <c r="AL4013" s="163">
        <v>4.0467058301501568</v>
      </c>
    </row>
    <row r="4014" spans="37:38" s="4" customFormat="1">
      <c r="AK4014" s="3">
        <v>4008</v>
      </c>
      <c r="AL4014" s="163">
        <v>4.0475805899639052</v>
      </c>
    </row>
    <row r="4015" spans="37:38" s="4" customFormat="1">
      <c r="AK4015" s="3">
        <v>4009</v>
      </c>
      <c r="AL4015" s="163">
        <v>4.0484555653884682</v>
      </c>
    </row>
    <row r="4016" spans="37:38" s="4" customFormat="1">
      <c r="AK4016" s="3">
        <v>4010</v>
      </c>
      <c r="AL4016" s="163">
        <v>4.0493307562871212</v>
      </c>
    </row>
    <row r="4017" spans="37:38" s="4" customFormat="1">
      <c r="AK4017" s="3">
        <v>4011</v>
      </c>
      <c r="AL4017" s="163">
        <v>4.0502061625229757</v>
      </c>
    </row>
    <row r="4018" spans="37:38" s="4" customFormat="1">
      <c r="AK4018" s="3">
        <v>4012</v>
      </c>
      <c r="AL4018" s="163">
        <v>4.0510817839589102</v>
      </c>
    </row>
    <row r="4019" spans="37:38" s="4" customFormat="1">
      <c r="AK4019" s="3">
        <v>4013</v>
      </c>
      <c r="AL4019" s="163">
        <v>4.051957620457646</v>
      </c>
    </row>
    <row r="4020" spans="37:38" s="4" customFormat="1">
      <c r="AK4020" s="3">
        <v>4014</v>
      </c>
      <c r="AL4020" s="163">
        <v>4.05283367188171</v>
      </c>
    </row>
    <row r="4021" spans="37:38" s="4" customFormat="1">
      <c r="AK4021" s="3">
        <v>4015</v>
      </c>
      <c r="AL4021" s="163">
        <v>4.0537099380934194</v>
      </c>
    </row>
    <row r="4022" spans="37:38" s="4" customFormat="1">
      <c r="AK4022" s="3">
        <v>4016</v>
      </c>
      <c r="AL4022" s="163">
        <v>4.0545864189549174</v>
      </c>
    </row>
    <row r="4023" spans="37:38" s="4" customFormat="1">
      <c r="AK4023" s="3">
        <v>4017</v>
      </c>
      <c r="AL4023" s="163">
        <v>4.0554631143281545</v>
      </c>
    </row>
    <row r="4024" spans="37:38" s="4" customFormat="1">
      <c r="AK4024" s="3">
        <v>4018</v>
      </c>
      <c r="AL4024" s="163">
        <v>4.0563400240748768</v>
      </c>
    </row>
    <row r="4025" spans="37:38" s="4" customFormat="1">
      <c r="AK4025" s="3">
        <v>4019</v>
      </c>
      <c r="AL4025" s="163">
        <v>4.0572171480566581</v>
      </c>
    </row>
    <row r="4026" spans="37:38" s="4" customFormat="1">
      <c r="AK4026" s="3">
        <v>4020</v>
      </c>
      <c r="AL4026" s="163">
        <v>4.058094486134868</v>
      </c>
    </row>
    <row r="4027" spans="37:38" s="4" customFormat="1">
      <c r="AK4027" s="3">
        <v>4021</v>
      </c>
      <c r="AL4027" s="163">
        <v>4.0589720381706904</v>
      </c>
    </row>
    <row r="4028" spans="37:38" s="4" customFormat="1">
      <c r="AK4028" s="3">
        <v>4022</v>
      </c>
      <c r="AL4028" s="163">
        <v>4.059849804025121</v>
      </c>
    </row>
    <row r="4029" spans="37:38" s="4" customFormat="1">
      <c r="AK4029" s="3">
        <v>4023</v>
      </c>
      <c r="AL4029" s="163">
        <v>4.0607277835589679</v>
      </c>
    </row>
    <row r="4030" spans="37:38" s="4" customFormat="1">
      <c r="AK4030" s="3">
        <v>4024</v>
      </c>
      <c r="AL4030" s="163">
        <v>4.0616059766328432</v>
      </c>
    </row>
    <row r="4031" spans="37:38" s="4" customFormat="1">
      <c r="AK4031" s="3">
        <v>4025</v>
      </c>
      <c r="AL4031" s="163">
        <v>4.0624843831071757</v>
      </c>
    </row>
    <row r="4032" spans="37:38" s="4" customFormat="1">
      <c r="AK4032" s="3">
        <v>4026</v>
      </c>
      <c r="AL4032" s="163">
        <v>4.0633630028421983</v>
      </c>
    </row>
    <row r="4033" spans="37:38" s="4" customFormat="1">
      <c r="AK4033" s="3">
        <v>4027</v>
      </c>
      <c r="AL4033" s="163">
        <v>4.0642418356979624</v>
      </c>
    </row>
    <row r="4034" spans="37:38" s="4" customFormat="1">
      <c r="AK4034" s="3">
        <v>4028</v>
      </c>
      <c r="AL4034" s="163">
        <v>4.0651208815343267</v>
      </c>
    </row>
    <row r="4035" spans="37:38" s="4" customFormat="1">
      <c r="AK4035" s="3">
        <v>4029</v>
      </c>
      <c r="AL4035" s="163">
        <v>4.0660001402109529</v>
      </c>
    </row>
    <row r="4036" spans="37:38" s="4" customFormat="1">
      <c r="AK4036" s="3">
        <v>4030</v>
      </c>
      <c r="AL4036" s="163">
        <v>4.06687961158734</v>
      </c>
    </row>
    <row r="4037" spans="37:38" s="4" customFormat="1">
      <c r="AK4037" s="3">
        <v>4031</v>
      </c>
      <c r="AL4037" s="163">
        <v>4.0677592955227642</v>
      </c>
    </row>
    <row r="4038" spans="37:38" s="4" customFormat="1">
      <c r="AK4038" s="3">
        <v>4032</v>
      </c>
      <c r="AL4038" s="163">
        <v>4.0686391918763345</v>
      </c>
    </row>
    <row r="4039" spans="37:38" s="4" customFormat="1">
      <c r="AK4039" s="3">
        <v>4033</v>
      </c>
      <c r="AL4039" s="163">
        <v>4.0695193005069834</v>
      </c>
    </row>
    <row r="4040" spans="37:38" s="4" customFormat="1">
      <c r="AK4040" s="3">
        <v>4034</v>
      </c>
      <c r="AL4040" s="163">
        <v>4.0703996212734239</v>
      </c>
    </row>
    <row r="4041" spans="37:38" s="4" customFormat="1">
      <c r="AK4041" s="3">
        <v>4035</v>
      </c>
      <c r="AL4041" s="163">
        <v>4.0712801540342003</v>
      </c>
    </row>
    <row r="4042" spans="37:38" s="4" customFormat="1">
      <c r="AK4042" s="3">
        <v>4036</v>
      </c>
      <c r="AL4042" s="163">
        <v>4.0721608986476614</v>
      </c>
    </row>
    <row r="4043" spans="37:38" s="4" customFormat="1">
      <c r="AK4043" s="3">
        <v>4037</v>
      </c>
      <c r="AL4043" s="163">
        <v>4.0730418549719918</v>
      </c>
    </row>
    <row r="4044" spans="37:38" s="4" customFormat="1">
      <c r="AK4044" s="3">
        <v>4038</v>
      </c>
      <c r="AL4044" s="163">
        <v>4.0739230228651611</v>
      </c>
    </row>
    <row r="4045" spans="37:38" s="4" customFormat="1">
      <c r="AK4045" s="3">
        <v>4039</v>
      </c>
      <c r="AL4045" s="163">
        <v>4.0748044021849603</v>
      </c>
    </row>
    <row r="4046" spans="37:38" s="4" customFormat="1">
      <c r="AK4046" s="3">
        <v>4040</v>
      </c>
      <c r="AL4046" s="163">
        <v>4.0756859927889977</v>
      </c>
    </row>
    <row r="4047" spans="37:38" s="4" customFormat="1">
      <c r="AK4047" s="3">
        <v>4041</v>
      </c>
      <c r="AL4047" s="163">
        <v>4.0765677945347036</v>
      </c>
    </row>
    <row r="4048" spans="37:38" s="4" customFormat="1">
      <c r="AK4048" s="3">
        <v>4042</v>
      </c>
      <c r="AL4048" s="163">
        <v>4.0774498072793026</v>
      </c>
    </row>
    <row r="4049" spans="37:38" s="4" customFormat="1">
      <c r="AK4049" s="3">
        <v>4043</v>
      </c>
      <c r="AL4049" s="163">
        <v>4.0783320308798432</v>
      </c>
    </row>
    <row r="4050" spans="37:38" s="4" customFormat="1">
      <c r="AK4050" s="3">
        <v>4044</v>
      </c>
      <c r="AL4050" s="163">
        <v>4.0792144651931919</v>
      </c>
    </row>
    <row r="4051" spans="37:38" s="4" customFormat="1">
      <c r="AK4051" s="3">
        <v>4045</v>
      </c>
      <c r="AL4051" s="163">
        <v>4.0800971100760162</v>
      </c>
    </row>
    <row r="4052" spans="37:38" s="4" customFormat="1">
      <c r="AK4052" s="3">
        <v>4046</v>
      </c>
      <c r="AL4052" s="163">
        <v>4.0809799653848131</v>
      </c>
    </row>
    <row r="4053" spans="37:38" s="4" customFormat="1">
      <c r="AK4053" s="3">
        <v>4047</v>
      </c>
      <c r="AL4053" s="163">
        <v>4.0818630309758905</v>
      </c>
    </row>
    <row r="4054" spans="37:38" s="4" customFormat="1">
      <c r="AK4054" s="3">
        <v>4048</v>
      </c>
      <c r="AL4054" s="163">
        <v>4.0827463067053653</v>
      </c>
    </row>
    <row r="4055" spans="37:38" s="4" customFormat="1">
      <c r="AK4055" s="3">
        <v>4049</v>
      </c>
      <c r="AL4055" s="163">
        <v>4.0836297924291687</v>
      </c>
    </row>
    <row r="4056" spans="37:38" s="4" customFormat="1">
      <c r="AK4056" s="3">
        <v>4050</v>
      </c>
      <c r="AL4056" s="163">
        <v>4.0845134880030578</v>
      </c>
    </row>
    <row r="4057" spans="37:38" s="4" customFormat="1">
      <c r="AK4057" s="3">
        <v>4051</v>
      </c>
      <c r="AL4057" s="163">
        <v>4.0853973932825962</v>
      </c>
    </row>
    <row r="4058" spans="37:38" s="4" customFormat="1">
      <c r="AK4058" s="3">
        <v>4052</v>
      </c>
      <c r="AL4058" s="163">
        <v>4.0862815081231645</v>
      </c>
    </row>
    <row r="4059" spans="37:38" s="4" customFormat="1">
      <c r="AK4059" s="3">
        <v>4053</v>
      </c>
      <c r="AL4059" s="163">
        <v>4.0871658323799585</v>
      </c>
    </row>
    <row r="4060" spans="37:38" s="4" customFormat="1">
      <c r="AK4060" s="3">
        <v>4054</v>
      </c>
      <c r="AL4060" s="163">
        <v>4.0880503659079892</v>
      </c>
    </row>
    <row r="4061" spans="37:38" s="4" customFormat="1">
      <c r="AK4061" s="3">
        <v>4055</v>
      </c>
      <c r="AL4061" s="163">
        <v>4.0889351085620973</v>
      </c>
    </row>
    <row r="4062" spans="37:38" s="4" customFormat="1">
      <c r="AK4062" s="3">
        <v>4056</v>
      </c>
      <c r="AL4062" s="163">
        <v>4.0898200601969092</v>
      </c>
    </row>
    <row r="4063" spans="37:38" s="4" customFormat="1">
      <c r="AK4063" s="3">
        <v>4057</v>
      </c>
      <c r="AL4063" s="163">
        <v>4.0907052206669041</v>
      </c>
    </row>
    <row r="4064" spans="37:38" s="4" customFormat="1">
      <c r="AK4064" s="3">
        <v>4058</v>
      </c>
      <c r="AL4064" s="163">
        <v>4.0915905898263567</v>
      </c>
    </row>
    <row r="4065" spans="37:38" s="4" customFormat="1">
      <c r="AK4065" s="3">
        <v>4059</v>
      </c>
      <c r="AL4065" s="163">
        <v>4.0924761675293535</v>
      </c>
    </row>
    <row r="4066" spans="37:38" s="4" customFormat="1">
      <c r="AK4066" s="3">
        <v>4060</v>
      </c>
      <c r="AL4066" s="163">
        <v>4.0933619536298131</v>
      </c>
    </row>
    <row r="4067" spans="37:38" s="4" customFormat="1">
      <c r="AK4067" s="3">
        <v>4061</v>
      </c>
      <c r="AL4067" s="163">
        <v>4.0942479479814615</v>
      </c>
    </row>
    <row r="4068" spans="37:38" s="4" customFormat="1">
      <c r="AK4068" s="3">
        <v>4062</v>
      </c>
      <c r="AL4068" s="163">
        <v>4.0951341504378522</v>
      </c>
    </row>
    <row r="4069" spans="37:38" s="4" customFormat="1">
      <c r="AK4069" s="3">
        <v>4063</v>
      </c>
      <c r="AL4069" s="163">
        <v>4.0960205608523452</v>
      </c>
    </row>
    <row r="4070" spans="37:38" s="4" customFormat="1">
      <c r="AK4070" s="3">
        <v>4064</v>
      </c>
      <c r="AL4070" s="163">
        <v>4.0969071790781149</v>
      </c>
    </row>
    <row r="4071" spans="37:38" s="4" customFormat="1">
      <c r="AK4071" s="3">
        <v>4065</v>
      </c>
      <c r="AL4071" s="163">
        <v>4.0977940049681774</v>
      </c>
    </row>
    <row r="4072" spans="37:38" s="4" customFormat="1">
      <c r="AK4072" s="3">
        <v>4066</v>
      </c>
      <c r="AL4072" s="163">
        <v>4.098681038375342</v>
      </c>
    </row>
    <row r="4073" spans="37:38" s="4" customFormat="1">
      <c r="AK4073" s="3">
        <v>4067</v>
      </c>
      <c r="AL4073" s="163">
        <v>4.0995682791522432</v>
      </c>
    </row>
    <row r="4074" spans="37:38" s="4" customFormat="1">
      <c r="AK4074" s="3">
        <v>4068</v>
      </c>
      <c r="AL4074" s="163">
        <v>4.1004557271513384</v>
      </c>
    </row>
    <row r="4075" spans="37:38" s="4" customFormat="1">
      <c r="AK4075" s="3">
        <v>4069</v>
      </c>
      <c r="AL4075" s="163">
        <v>4.1013433822249059</v>
      </c>
    </row>
    <row r="4076" spans="37:38" s="4" customFormat="1">
      <c r="AK4076" s="3">
        <v>4070</v>
      </c>
      <c r="AL4076" s="163">
        <v>4.1022312442250248</v>
      </c>
    </row>
    <row r="4077" spans="37:38" s="4" customFormat="1">
      <c r="AK4077" s="3">
        <v>4071</v>
      </c>
      <c r="AL4077" s="163">
        <v>4.1031193130036261</v>
      </c>
    </row>
    <row r="4078" spans="37:38" s="4" customFormat="1">
      <c r="AK4078" s="3">
        <v>4072</v>
      </c>
      <c r="AL4078" s="163">
        <v>4.1040075884124292</v>
      </c>
    </row>
    <row r="4079" spans="37:38" s="4" customFormat="1">
      <c r="AK4079" s="3">
        <v>4073</v>
      </c>
      <c r="AL4079" s="163">
        <v>4.1048960703029778</v>
      </c>
    </row>
    <row r="4080" spans="37:38" s="4" customFormat="1">
      <c r="AK4080" s="3">
        <v>4074</v>
      </c>
      <c r="AL4080" s="163">
        <v>4.1057847585266467</v>
      </c>
    </row>
    <row r="4081" spans="37:38" s="4" customFormat="1">
      <c r="AK4081" s="3">
        <v>4075</v>
      </c>
      <c r="AL4081" s="163">
        <v>4.1066736529346306</v>
      </c>
    </row>
    <row r="4082" spans="37:38" s="4" customFormat="1">
      <c r="AK4082" s="3">
        <v>4076</v>
      </c>
      <c r="AL4082" s="163">
        <v>4.1075627533779402</v>
      </c>
    </row>
    <row r="4083" spans="37:38" s="4" customFormat="1">
      <c r="AK4083" s="3">
        <v>4077</v>
      </c>
      <c r="AL4083" s="163">
        <v>4.1084520597073997</v>
      </c>
    </row>
    <row r="4084" spans="37:38" s="4" customFormat="1">
      <c r="AK4084" s="3">
        <v>4078</v>
      </c>
      <c r="AL4084" s="163">
        <v>4.1093415717736592</v>
      </c>
    </row>
    <row r="4085" spans="37:38" s="4" customFormat="1">
      <c r="AK4085" s="3">
        <v>4079</v>
      </c>
      <c r="AL4085" s="163">
        <v>4.1102312894271904</v>
      </c>
    </row>
    <row r="4086" spans="37:38" s="4" customFormat="1">
      <c r="AK4086" s="3">
        <v>4080</v>
      </c>
      <c r="AL4086" s="163">
        <v>4.1111212125182846</v>
      </c>
    </row>
    <row r="4087" spans="37:38" s="4" customFormat="1">
      <c r="AK4087" s="3">
        <v>4081</v>
      </c>
      <c r="AL4087" s="163">
        <v>4.1120113408970491</v>
      </c>
    </row>
    <row r="4088" spans="37:38" s="4" customFormat="1">
      <c r="AK4088" s="3">
        <v>4082</v>
      </c>
      <c r="AL4088" s="163">
        <v>4.1129016744134219</v>
      </c>
    </row>
    <row r="4089" spans="37:38" s="4" customFormat="1">
      <c r="AK4089" s="3">
        <v>4083</v>
      </c>
      <c r="AL4089" s="163">
        <v>4.1137922129171622</v>
      </c>
    </row>
    <row r="4090" spans="37:38" s="4" customFormat="1">
      <c r="AK4090" s="3">
        <v>4084</v>
      </c>
      <c r="AL4090" s="163">
        <v>4.1146829562578322</v>
      </c>
    </row>
    <row r="4091" spans="37:38" s="4" customFormat="1">
      <c r="AK4091" s="3">
        <v>4085</v>
      </c>
      <c r="AL4091" s="163">
        <v>4.1155739042848403</v>
      </c>
    </row>
    <row r="4092" spans="37:38" s="4" customFormat="1">
      <c r="AK4092" s="3">
        <v>4086</v>
      </c>
      <c r="AL4092" s="163">
        <v>4.1164650568474022</v>
      </c>
    </row>
    <row r="4093" spans="37:38" s="4" customFormat="1">
      <c r="AK4093" s="3">
        <v>4087</v>
      </c>
      <c r="AL4093" s="163">
        <v>4.1173564137945613</v>
      </c>
    </row>
    <row r="4094" spans="37:38" s="4" customFormat="1">
      <c r="AK4094" s="3">
        <v>4088</v>
      </c>
      <c r="AL4094" s="163">
        <v>4.1182479749751684</v>
      </c>
    </row>
    <row r="4095" spans="37:38" s="4" customFormat="1">
      <c r="AK4095" s="3">
        <v>4089</v>
      </c>
      <c r="AL4095" s="163">
        <v>4.1191397402379257</v>
      </c>
    </row>
    <row r="4096" spans="37:38" s="4" customFormat="1">
      <c r="AK4096" s="3">
        <v>4090</v>
      </c>
      <c r="AL4096" s="163">
        <v>4.1200317094313315</v>
      </c>
    </row>
    <row r="4097" spans="37:38" s="4" customFormat="1">
      <c r="AK4097" s="3">
        <v>4091</v>
      </c>
      <c r="AL4097" s="163">
        <v>4.1209238824037158</v>
      </c>
    </row>
    <row r="4098" spans="37:38" s="4" customFormat="1">
      <c r="AK4098" s="3">
        <v>4092</v>
      </c>
      <c r="AL4098" s="163">
        <v>4.121816259003241</v>
      </c>
    </row>
    <row r="4099" spans="37:38" s="4" customFormat="1">
      <c r="AK4099" s="3">
        <v>4093</v>
      </c>
      <c r="AL4099" s="163">
        <v>4.122708839077875</v>
      </c>
    </row>
    <row r="4100" spans="37:38" s="4" customFormat="1">
      <c r="AK4100" s="3">
        <v>4094</v>
      </c>
      <c r="AL4100" s="163">
        <v>4.1236016224754239</v>
      </c>
    </row>
    <row r="4101" spans="37:38" s="4" customFormat="1">
      <c r="AK4101" s="3">
        <v>4095</v>
      </c>
      <c r="AL4101" s="163">
        <v>4.1244946090435093</v>
      </c>
    </row>
    <row r="4102" spans="37:38" s="4" customFormat="1">
      <c r="AK4102" s="3">
        <v>4096</v>
      </c>
      <c r="AL4102" s="163">
        <v>4.1253877986295775</v>
      </c>
    </row>
    <row r="4103" spans="37:38" s="4" customFormat="1">
      <c r="AK4103" s="3">
        <v>4097</v>
      </c>
      <c r="AL4103" s="163">
        <v>4.1262811910808903</v>
      </c>
    </row>
    <row r="4104" spans="37:38" s="4" customFormat="1">
      <c r="AK4104" s="3">
        <v>4098</v>
      </c>
      <c r="AL4104" s="163">
        <v>4.1271747862445611</v>
      </c>
    </row>
    <row r="4105" spans="37:38" s="4" customFormat="1">
      <c r="AK4105" s="3">
        <v>4099</v>
      </c>
      <c r="AL4105" s="163">
        <v>4.1280685839674911</v>
      </c>
    </row>
    <row r="4106" spans="37:38" s="4" customFormat="1">
      <c r="AK4106" s="3">
        <v>4100</v>
      </c>
      <c r="AL4106" s="163">
        <v>4.1289625840964383</v>
      </c>
    </row>
    <row r="4107" spans="37:38" s="4" customFormat="1">
      <c r="AK4107" s="3">
        <v>4101</v>
      </c>
      <c r="AL4107" s="163">
        <v>4.1298567864779603</v>
      </c>
    </row>
    <row r="4108" spans="37:38" s="4" customFormat="1">
      <c r="AK4108" s="3">
        <v>4102</v>
      </c>
      <c r="AL4108" s="163">
        <v>4.1307511909584509</v>
      </c>
    </row>
    <row r="4109" spans="37:38" s="4" customFormat="1">
      <c r="AK4109" s="3">
        <v>4103</v>
      </c>
      <c r="AL4109" s="163">
        <v>4.1316457973841327</v>
      </c>
    </row>
    <row r="4110" spans="37:38" s="4" customFormat="1">
      <c r="AK4110" s="3">
        <v>4104</v>
      </c>
      <c r="AL4110" s="163">
        <v>4.1325406056010463</v>
      </c>
    </row>
    <row r="4111" spans="37:38" s="4" customFormat="1">
      <c r="AK4111" s="3">
        <v>4105</v>
      </c>
      <c r="AL4111" s="163">
        <v>4.1334356154550598</v>
      </c>
    </row>
    <row r="4112" spans="37:38" s="4" customFormat="1">
      <c r="AK4112" s="3">
        <v>4106</v>
      </c>
      <c r="AL4112" s="163">
        <v>4.1343308267918655</v>
      </c>
    </row>
    <row r="4113" spans="37:38" s="4" customFormat="1">
      <c r="AK4113" s="3">
        <v>4107</v>
      </c>
      <c r="AL4113" s="163">
        <v>4.1352262394569763</v>
      </c>
    </row>
    <row r="4114" spans="37:38" s="4" customFormat="1">
      <c r="AK4114" s="3">
        <v>4108</v>
      </c>
      <c r="AL4114" s="163">
        <v>4.1361218532957462</v>
      </c>
    </row>
    <row r="4115" spans="37:38" s="4" customFormat="1">
      <c r="AK4115" s="3">
        <v>4109</v>
      </c>
      <c r="AL4115" s="163">
        <v>4.1370176681533373</v>
      </c>
    </row>
    <row r="4116" spans="37:38" s="4" customFormat="1">
      <c r="AK4116" s="3">
        <v>4110</v>
      </c>
      <c r="AL4116" s="163">
        <v>4.1379136838747641</v>
      </c>
    </row>
    <row r="4117" spans="37:38" s="4" customFormat="1">
      <c r="AK4117" s="3">
        <v>4111</v>
      </c>
      <c r="AL4117" s="163">
        <v>4.1388099003048264</v>
      </c>
    </row>
    <row r="4118" spans="37:38" s="4" customFormat="1">
      <c r="AK4118" s="3">
        <v>4112</v>
      </c>
      <c r="AL4118" s="163">
        <v>4.1397063172881907</v>
      </c>
    </row>
    <row r="4119" spans="37:38" s="4" customFormat="1">
      <c r="AK4119" s="3">
        <v>4113</v>
      </c>
      <c r="AL4119" s="163">
        <v>4.1406029346693281</v>
      </c>
    </row>
    <row r="4120" spans="37:38" s="4" customFormat="1">
      <c r="AK4120" s="3">
        <v>4114</v>
      </c>
      <c r="AL4120" s="163">
        <v>4.1414997522925425</v>
      </c>
    </row>
    <row r="4121" spans="37:38" s="4" customFormat="1">
      <c r="AK4121" s="3">
        <v>4115</v>
      </c>
      <c r="AL4121" s="163">
        <v>4.142396770001965</v>
      </c>
    </row>
    <row r="4122" spans="37:38" s="4" customFormat="1">
      <c r="AK4122" s="3">
        <v>4116</v>
      </c>
      <c r="AL4122" s="163">
        <v>4.143293987641556</v>
      </c>
    </row>
    <row r="4123" spans="37:38" s="4" customFormat="1">
      <c r="AK4123" s="3">
        <v>4117</v>
      </c>
      <c r="AL4123" s="163">
        <v>4.144191405055091</v>
      </c>
    </row>
    <row r="4124" spans="37:38" s="4" customFormat="1">
      <c r="AK4124" s="3">
        <v>4118</v>
      </c>
      <c r="AL4124" s="163">
        <v>4.1450890220861991</v>
      </c>
    </row>
    <row r="4125" spans="37:38" s="4" customFormat="1">
      <c r="AK4125" s="3">
        <v>4119</v>
      </c>
      <c r="AL4125" s="163">
        <v>4.1459868385783061</v>
      </c>
    </row>
    <row r="4126" spans="37:38" s="4" customFormat="1">
      <c r="AK4126" s="3">
        <v>4120</v>
      </c>
      <c r="AL4126" s="163">
        <v>4.1468848543746919</v>
      </c>
    </row>
    <row r="4127" spans="37:38" s="4" customFormat="1">
      <c r="AK4127" s="3">
        <v>4121</v>
      </c>
      <c r="AL4127" s="163">
        <v>4.1477830693184465</v>
      </c>
    </row>
    <row r="4128" spans="37:38" s="4" customFormat="1">
      <c r="AK4128" s="3">
        <v>4122</v>
      </c>
      <c r="AL4128" s="163">
        <v>4.1486814832525036</v>
      </c>
    </row>
    <row r="4129" spans="37:38" s="4" customFormat="1">
      <c r="AK4129" s="3">
        <v>4123</v>
      </c>
      <c r="AL4129" s="163">
        <v>4.149580096019605</v>
      </c>
    </row>
    <row r="4130" spans="37:38" s="4" customFormat="1">
      <c r="AK4130" s="3">
        <v>4124</v>
      </c>
      <c r="AL4130" s="163">
        <v>4.1504789074623485</v>
      </c>
    </row>
    <row r="4131" spans="37:38" s="4" customFormat="1">
      <c r="AK4131" s="3">
        <v>4125</v>
      </c>
      <c r="AL4131" s="163">
        <v>4.1513779174231331</v>
      </c>
    </row>
    <row r="4132" spans="37:38" s="4" customFormat="1">
      <c r="AK4132" s="3">
        <v>4126</v>
      </c>
      <c r="AL4132" s="163">
        <v>4.1522771257442024</v>
      </c>
    </row>
    <row r="4133" spans="37:38" s="4" customFormat="1">
      <c r="AK4133" s="3">
        <v>4127</v>
      </c>
      <c r="AL4133" s="163">
        <v>4.1531765322676328</v>
      </c>
    </row>
    <row r="4134" spans="37:38" s="4" customFormat="1">
      <c r="AK4134" s="3">
        <v>4128</v>
      </c>
      <c r="AL4134" s="163">
        <v>4.1540761368353216</v>
      </c>
    </row>
    <row r="4135" spans="37:38" s="4" customFormat="1">
      <c r="AK4135" s="3">
        <v>4129</v>
      </c>
      <c r="AL4135" s="163">
        <v>4.1549759392889936</v>
      </c>
    </row>
    <row r="4136" spans="37:38" s="4" customFormat="1">
      <c r="AK4136" s="3">
        <v>4130</v>
      </c>
      <c r="AL4136" s="163">
        <v>4.1558759394702118</v>
      </c>
    </row>
    <row r="4137" spans="37:38" s="4" customFormat="1">
      <c r="AK4137" s="3">
        <v>4131</v>
      </c>
      <c r="AL4137" s="163">
        <v>4.1567761372203735</v>
      </c>
    </row>
    <row r="4138" spans="37:38" s="4" customFormat="1">
      <c r="AK4138" s="3">
        <v>4132</v>
      </c>
      <c r="AL4138" s="163">
        <v>4.1576765323806839</v>
      </c>
    </row>
    <row r="4139" spans="37:38" s="4" customFormat="1">
      <c r="AK4139" s="3">
        <v>4133</v>
      </c>
      <c r="AL4139" s="163">
        <v>4.1585771247922052</v>
      </c>
    </row>
    <row r="4140" spans="37:38" s="4" customFormat="1">
      <c r="AK4140" s="3">
        <v>4134</v>
      </c>
      <c r="AL4140" s="163">
        <v>4.1594779142958043</v>
      </c>
    </row>
    <row r="4141" spans="37:38" s="4" customFormat="1">
      <c r="AK4141" s="3">
        <v>4135</v>
      </c>
      <c r="AL4141" s="163">
        <v>4.1603789007322085</v>
      </c>
    </row>
    <row r="4142" spans="37:38" s="4" customFormat="1">
      <c r="AK4142" s="3">
        <v>4136</v>
      </c>
      <c r="AL4142" s="163">
        <v>4.1612800839419464</v>
      </c>
    </row>
    <row r="4143" spans="37:38" s="4" customFormat="1">
      <c r="AK4143" s="3">
        <v>4137</v>
      </c>
      <c r="AL4143" s="163">
        <v>4.1621814637654078</v>
      </c>
    </row>
    <row r="4144" spans="37:38" s="4" customFormat="1">
      <c r="AK4144" s="3">
        <v>4138</v>
      </c>
      <c r="AL4144" s="163">
        <v>4.1630830400427765</v>
      </c>
    </row>
    <row r="4145" spans="37:38" s="4" customFormat="1">
      <c r="AK4145" s="3">
        <v>4139</v>
      </c>
      <c r="AL4145" s="163">
        <v>4.1639848126141112</v>
      </c>
    </row>
    <row r="4146" spans="37:38" s="4" customFormat="1">
      <c r="AK4146" s="3">
        <v>4140</v>
      </c>
      <c r="AL4146" s="163">
        <v>4.1648867813192609</v>
      </c>
    </row>
    <row r="4147" spans="37:38" s="4" customFormat="1">
      <c r="AK4147" s="3">
        <v>4141</v>
      </c>
      <c r="AL4147" s="163">
        <v>4.1657889459979369</v>
      </c>
    </row>
    <row r="4148" spans="37:38" s="4" customFormat="1">
      <c r="AK4148" s="3">
        <v>4142</v>
      </c>
      <c r="AL4148" s="163">
        <v>4.1666913064896693</v>
      </c>
    </row>
    <row r="4149" spans="37:38" s="4" customFormat="1">
      <c r="AK4149" s="3">
        <v>4143</v>
      </c>
      <c r="AL4149" s="163">
        <v>4.1675938626338178</v>
      </c>
    </row>
    <row r="4150" spans="37:38" s="4" customFormat="1">
      <c r="AK4150" s="3">
        <v>4144</v>
      </c>
      <c r="AL4150" s="163">
        <v>4.168496614269583</v>
      </c>
    </row>
    <row r="4151" spans="37:38" s="4" customFormat="1">
      <c r="AK4151" s="3">
        <v>4145</v>
      </c>
      <c r="AL4151" s="163">
        <v>4.1693995612359904</v>
      </c>
    </row>
    <row r="4152" spans="37:38" s="4" customFormat="1">
      <c r="AK4152" s="3">
        <v>4146</v>
      </c>
      <c r="AL4152" s="163">
        <v>4.170302703371914</v>
      </c>
    </row>
    <row r="4153" spans="37:38" s="4" customFormat="1">
      <c r="AK4153" s="3">
        <v>4147</v>
      </c>
      <c r="AL4153" s="163">
        <v>4.1712060405160329</v>
      </c>
    </row>
    <row r="4154" spans="37:38" s="4" customFormat="1">
      <c r="AK4154" s="3">
        <v>4148</v>
      </c>
      <c r="AL4154" s="163">
        <v>4.1721095725068871</v>
      </c>
    </row>
    <row r="4155" spans="37:38" s="4" customFormat="1">
      <c r="AK4155" s="3">
        <v>4149</v>
      </c>
      <c r="AL4155" s="163">
        <v>4.1730132991828359</v>
      </c>
    </row>
    <row r="4156" spans="37:38" s="4" customFormat="1">
      <c r="AK4156" s="3">
        <v>4150</v>
      </c>
      <c r="AL4156" s="163">
        <v>4.1739172203820685</v>
      </c>
    </row>
    <row r="4157" spans="37:38" s="4" customFormat="1">
      <c r="AK4157" s="3">
        <v>4151</v>
      </c>
      <c r="AL4157" s="163">
        <v>4.1748213359426174</v>
      </c>
    </row>
    <row r="4158" spans="37:38" s="4" customFormat="1">
      <c r="AK4158" s="3">
        <v>4152</v>
      </c>
      <c r="AL4158" s="163">
        <v>4.1757256457023511</v>
      </c>
    </row>
    <row r="4159" spans="37:38" s="4" customFormat="1">
      <c r="AK4159" s="3">
        <v>4153</v>
      </c>
      <c r="AL4159" s="163">
        <v>4.1766301494989531</v>
      </c>
    </row>
    <row r="4160" spans="37:38" s="4" customFormat="1">
      <c r="AK4160" s="3">
        <v>4154</v>
      </c>
      <c r="AL4160" s="163">
        <v>4.1775348471699694</v>
      </c>
    </row>
    <row r="4161" spans="37:38" s="4" customFormat="1">
      <c r="AK4161" s="3">
        <v>4155</v>
      </c>
      <c r="AL4161" s="163">
        <v>4.1784397385527559</v>
      </c>
    </row>
    <row r="4162" spans="37:38" s="4" customFormat="1">
      <c r="AK4162" s="3">
        <v>4156</v>
      </c>
      <c r="AL4162" s="163">
        <v>4.1793448234845147</v>
      </c>
    </row>
    <row r="4163" spans="37:38" s="4" customFormat="1">
      <c r="AK4163" s="3">
        <v>4157</v>
      </c>
      <c r="AL4163" s="163">
        <v>4.1802501018022875</v>
      </c>
    </row>
    <row r="4164" spans="37:38" s="4" customFormat="1">
      <c r="AK4164" s="3">
        <v>4158</v>
      </c>
      <c r="AL4164" s="163">
        <v>4.1811555733429353</v>
      </c>
    </row>
    <row r="4165" spans="37:38" s="4" customFormat="1">
      <c r="AK4165" s="3">
        <v>4159</v>
      </c>
      <c r="AL4165" s="163">
        <v>4.1820612379431701</v>
      </c>
    </row>
    <row r="4166" spans="37:38" s="4" customFormat="1">
      <c r="AK4166" s="3">
        <v>4160</v>
      </c>
      <c r="AL4166" s="163">
        <v>4.1829670954395262</v>
      </c>
    </row>
    <row r="4167" spans="37:38" s="4" customFormat="1">
      <c r="AK4167" s="3">
        <v>4161</v>
      </c>
      <c r="AL4167" s="163">
        <v>4.1838731456683824</v>
      </c>
    </row>
    <row r="4168" spans="37:38" s="4" customFormat="1">
      <c r="AK4168" s="3">
        <v>4162</v>
      </c>
      <c r="AL4168" s="163">
        <v>4.1847793884659552</v>
      </c>
    </row>
    <row r="4169" spans="37:38" s="4" customFormat="1">
      <c r="AK4169" s="3">
        <v>4163</v>
      </c>
      <c r="AL4169" s="163">
        <v>4.1856858236682868</v>
      </c>
    </row>
    <row r="4170" spans="37:38" s="4" customFormat="1">
      <c r="AK4170" s="3">
        <v>4164</v>
      </c>
      <c r="AL4170" s="163">
        <v>4.1865924511112649</v>
      </c>
    </row>
    <row r="4171" spans="37:38" s="4" customFormat="1">
      <c r="AK4171" s="3">
        <v>4165</v>
      </c>
      <c r="AL4171" s="163">
        <v>4.1874992706306031</v>
      </c>
    </row>
    <row r="4172" spans="37:38" s="4" customFormat="1">
      <c r="AK4172" s="3">
        <v>4166</v>
      </c>
      <c r="AL4172" s="163">
        <v>4.1884062820618642</v>
      </c>
    </row>
    <row r="4173" spans="37:38" s="4" customFormat="1">
      <c r="AK4173" s="3">
        <v>4167</v>
      </c>
      <c r="AL4173" s="163">
        <v>4.189313485240441</v>
      </c>
    </row>
    <row r="4174" spans="37:38" s="4" customFormat="1">
      <c r="AK4174" s="3">
        <v>4168</v>
      </c>
      <c r="AL4174" s="163">
        <v>4.190220880001565</v>
      </c>
    </row>
    <row r="4175" spans="37:38" s="4" customFormat="1">
      <c r="AK4175" s="3">
        <v>4169</v>
      </c>
      <c r="AL4175" s="163">
        <v>4.1911284661802979</v>
      </c>
    </row>
    <row r="4176" spans="37:38" s="4" customFormat="1">
      <c r="AK4176" s="3">
        <v>4170</v>
      </c>
      <c r="AL4176" s="163">
        <v>4.1920362436115504</v>
      </c>
    </row>
    <row r="4177" spans="37:38" s="4" customFormat="1">
      <c r="AK4177" s="3">
        <v>4171</v>
      </c>
      <c r="AL4177" s="163">
        <v>4.1929442121300573</v>
      </c>
    </row>
    <row r="4178" spans="37:38" s="4" customFormat="1">
      <c r="AK4178" s="3">
        <v>4172</v>
      </c>
      <c r="AL4178" s="163">
        <v>4.1938523715704088</v>
      </c>
    </row>
    <row r="4179" spans="37:38" s="4" customFormat="1">
      <c r="AK4179" s="3">
        <v>4173</v>
      </c>
      <c r="AL4179" s="163">
        <v>4.1947607217670084</v>
      </c>
    </row>
    <row r="4180" spans="37:38" s="4" customFormat="1">
      <c r="AK4180" s="3">
        <v>4174</v>
      </c>
      <c r="AL4180" s="163">
        <v>4.1956692625541256</v>
      </c>
    </row>
    <row r="4181" spans="37:38" s="4" customFormat="1">
      <c r="AK4181" s="3">
        <v>4175</v>
      </c>
      <c r="AL4181" s="163">
        <v>4.1965779937658407</v>
      </c>
    </row>
    <row r="4182" spans="37:38" s="4" customFormat="1">
      <c r="AK4182" s="3">
        <v>4176</v>
      </c>
      <c r="AL4182" s="163">
        <v>4.197486915236091</v>
      </c>
    </row>
    <row r="4183" spans="37:38" s="4" customFormat="1">
      <c r="AK4183" s="3">
        <v>4177</v>
      </c>
      <c r="AL4183" s="163">
        <v>4.1983960267986475</v>
      </c>
    </row>
    <row r="4184" spans="37:38" s="4" customFormat="1">
      <c r="AK4184" s="3">
        <v>4178</v>
      </c>
      <c r="AL4184" s="163">
        <v>4.199305328287112</v>
      </c>
    </row>
    <row r="4185" spans="37:38" s="4" customFormat="1">
      <c r="AK4185" s="3">
        <v>4179</v>
      </c>
      <c r="AL4185" s="163">
        <v>4.2002148195349456</v>
      </c>
    </row>
    <row r="4186" spans="37:38" s="4" customFormat="1">
      <c r="AK4186" s="3">
        <v>4180</v>
      </c>
      <c r="AL4186" s="163">
        <v>4.2011245003754185</v>
      </c>
    </row>
    <row r="4187" spans="37:38" s="4" customFormat="1">
      <c r="AK4187" s="3">
        <v>4181</v>
      </c>
      <c r="AL4187" s="163">
        <v>4.2020343706416705</v>
      </c>
    </row>
    <row r="4188" spans="37:38" s="4" customFormat="1">
      <c r="AK4188" s="3">
        <v>4182</v>
      </c>
      <c r="AL4188" s="163">
        <v>4.2029444301666619</v>
      </c>
    </row>
    <row r="4189" spans="37:38" s="4" customFormat="1">
      <c r="AK4189" s="3">
        <v>4183</v>
      </c>
      <c r="AL4189" s="163">
        <v>4.2038546787831983</v>
      </c>
    </row>
    <row r="4190" spans="37:38" s="4" customFormat="1">
      <c r="AK4190" s="3">
        <v>4184</v>
      </c>
      <c r="AL4190" s="163">
        <v>4.2047651163239195</v>
      </c>
    </row>
    <row r="4191" spans="37:38" s="4" customFormat="1">
      <c r="AK4191" s="3">
        <v>4185</v>
      </c>
      <c r="AL4191" s="163">
        <v>4.2056757426213149</v>
      </c>
    </row>
    <row r="4192" spans="37:38" s="4" customFormat="1">
      <c r="AK4192" s="3">
        <v>4186</v>
      </c>
      <c r="AL4192" s="163">
        <v>4.2065865575077002</v>
      </c>
    </row>
    <row r="4193" spans="37:38" s="4" customFormat="1">
      <c r="AK4193" s="3">
        <v>4187</v>
      </c>
      <c r="AL4193" s="163">
        <v>4.2074975608152556</v>
      </c>
    </row>
    <row r="4194" spans="37:38" s="4" customFormat="1">
      <c r="AK4194" s="3">
        <v>4188</v>
      </c>
      <c r="AL4194" s="163">
        <v>4.2084087523759761</v>
      </c>
    </row>
    <row r="4195" spans="37:38" s="4" customFormat="1">
      <c r="AK4195" s="3">
        <v>4189</v>
      </c>
      <c r="AL4195" s="163">
        <v>4.2093201320217135</v>
      </c>
    </row>
    <row r="4196" spans="37:38" s="4" customFormat="1">
      <c r="AK4196" s="3">
        <v>4190</v>
      </c>
      <c r="AL4196" s="163">
        <v>4.2102316995841509</v>
      </c>
    </row>
    <row r="4197" spans="37:38" s="4" customFormat="1">
      <c r="AK4197" s="3">
        <v>4191</v>
      </c>
      <c r="AL4197" s="163">
        <v>4.2111434548948115</v>
      </c>
    </row>
    <row r="4198" spans="37:38" s="4" customFormat="1">
      <c r="AK4198" s="3">
        <v>4192</v>
      </c>
      <c r="AL4198" s="163">
        <v>4.2120553977850772</v>
      </c>
    </row>
    <row r="4199" spans="37:38" s="4" customFormat="1">
      <c r="AK4199" s="3">
        <v>4193</v>
      </c>
      <c r="AL4199" s="163">
        <v>4.2129675280861472</v>
      </c>
    </row>
    <row r="4200" spans="37:38" s="4" customFormat="1">
      <c r="AK4200" s="3">
        <v>4194</v>
      </c>
      <c r="AL4200" s="163">
        <v>4.2138798456290845</v>
      </c>
    </row>
    <row r="4201" spans="37:38" s="4" customFormat="1">
      <c r="AK4201" s="3">
        <v>4195</v>
      </c>
      <c r="AL4201" s="163">
        <v>4.2147923502447755</v>
      </c>
    </row>
    <row r="4202" spans="37:38" s="4" customFormat="1">
      <c r="AK4202" s="3">
        <v>4196</v>
      </c>
      <c r="AL4202" s="163">
        <v>4.2157050417639566</v>
      </c>
    </row>
    <row r="4203" spans="37:38" s="4" customFormat="1">
      <c r="AK4203" s="3">
        <v>4197</v>
      </c>
      <c r="AL4203" s="163">
        <v>4.216617920017212</v>
      </c>
    </row>
    <row r="4204" spans="37:38" s="4" customFormat="1">
      <c r="AK4204" s="3">
        <v>4198</v>
      </c>
      <c r="AL4204" s="163">
        <v>4.2175309848349567</v>
      </c>
    </row>
    <row r="4205" spans="37:38" s="4" customFormat="1">
      <c r="AK4205" s="3">
        <v>4199</v>
      </c>
      <c r="AL4205" s="163">
        <v>4.2184442360474579</v>
      </c>
    </row>
    <row r="4206" spans="37:38" s="4" customFormat="1">
      <c r="AK4206" s="3">
        <v>4200</v>
      </c>
      <c r="AL4206" s="163">
        <v>4.2193576734848204</v>
      </c>
    </row>
    <row r="4207" spans="37:38" s="4" customFormat="1">
      <c r="AK4207" s="3">
        <v>4201</v>
      </c>
      <c r="AL4207" s="163">
        <v>4.2202712969769909</v>
      </c>
    </row>
    <row r="4208" spans="37:38" s="4" customFormat="1">
      <c r="AK4208" s="3">
        <v>4202</v>
      </c>
      <c r="AL4208" s="163">
        <v>4.2211851063537607</v>
      </c>
    </row>
    <row r="4209" spans="37:38" s="4" customFormat="1">
      <c r="AK4209" s="3">
        <v>4203</v>
      </c>
      <c r="AL4209" s="163">
        <v>4.2220991014447691</v>
      </c>
    </row>
    <row r="4210" spans="37:38" s="4" customFormat="1">
      <c r="AK4210" s="3">
        <v>4204</v>
      </c>
      <c r="AL4210" s="163">
        <v>4.2230132820794912</v>
      </c>
    </row>
    <row r="4211" spans="37:38" s="4" customFormat="1">
      <c r="AK4211" s="3">
        <v>4205</v>
      </c>
      <c r="AL4211" s="163">
        <v>4.2239276480872459</v>
      </c>
    </row>
    <row r="4212" spans="37:38" s="4" customFormat="1">
      <c r="AK4212" s="3">
        <v>4206</v>
      </c>
      <c r="AL4212" s="163">
        <v>4.2248421992972105</v>
      </c>
    </row>
    <row r="4213" spans="37:38" s="4" customFormat="1">
      <c r="AK4213" s="3">
        <v>4207</v>
      </c>
      <c r="AL4213" s="163">
        <v>4.2257569355383886</v>
      </c>
    </row>
    <row r="4214" spans="37:38" s="4" customFormat="1">
      <c r="AK4214" s="3">
        <v>4208</v>
      </c>
      <c r="AL4214" s="163">
        <v>4.2266718566396317</v>
      </c>
    </row>
    <row r="4215" spans="37:38" s="4" customFormat="1">
      <c r="AK4215" s="3">
        <v>4209</v>
      </c>
      <c r="AL4215" s="163">
        <v>4.2275869624296432</v>
      </c>
    </row>
    <row r="4216" spans="37:38" s="4" customFormat="1">
      <c r="AK4216" s="3">
        <v>4210</v>
      </c>
      <c r="AL4216" s="163">
        <v>4.2285022527369627</v>
      </c>
    </row>
    <row r="4217" spans="37:38" s="4" customFormat="1">
      <c r="AK4217" s="3">
        <v>4211</v>
      </c>
      <c r="AL4217" s="163">
        <v>4.2294177273899791</v>
      </c>
    </row>
    <row r="4218" spans="37:38" s="4" customFormat="1">
      <c r="AK4218" s="3">
        <v>4212</v>
      </c>
      <c r="AL4218" s="163">
        <v>4.2303333862169312</v>
      </c>
    </row>
    <row r="4219" spans="37:38" s="4" customFormat="1">
      <c r="AK4219" s="3">
        <v>4213</v>
      </c>
      <c r="AL4219" s="163">
        <v>4.2312492290458827</v>
      </c>
    </row>
    <row r="4220" spans="37:38" s="4" customFormat="1">
      <c r="AK4220" s="3">
        <v>4214</v>
      </c>
      <c r="AL4220" s="163">
        <v>4.2321652557047731</v>
      </c>
    </row>
    <row r="4221" spans="37:38" s="4" customFormat="1">
      <c r="AK4221" s="3">
        <v>4215</v>
      </c>
      <c r="AL4221" s="163">
        <v>4.2330814660213587</v>
      </c>
    </row>
    <row r="4222" spans="37:38" s="4" customFormat="1">
      <c r="AK4222" s="3">
        <v>4216</v>
      </c>
      <c r="AL4222" s="163">
        <v>4.2339978598232619</v>
      </c>
    </row>
    <row r="4223" spans="37:38" s="4" customFormat="1">
      <c r="AK4223" s="3">
        <v>4217</v>
      </c>
      <c r="AL4223" s="163">
        <v>4.2349144369379346</v>
      </c>
    </row>
    <row r="4224" spans="37:38" s="4" customFormat="1">
      <c r="AK4224" s="3">
        <v>4218</v>
      </c>
      <c r="AL4224" s="163">
        <v>4.2358311971926952</v>
      </c>
    </row>
    <row r="4225" spans="37:38" s="4" customFormat="1">
      <c r="AK4225" s="3">
        <v>4219</v>
      </c>
      <c r="AL4225" s="163">
        <v>4.2367481404146785</v>
      </c>
    </row>
    <row r="4226" spans="37:38" s="4" customFormat="1">
      <c r="AK4226" s="3">
        <v>4220</v>
      </c>
      <c r="AL4226" s="163">
        <v>4.237665266430902</v>
      </c>
    </row>
    <row r="4227" spans="37:38" s="4" customFormat="1">
      <c r="AK4227" s="3">
        <v>4221</v>
      </c>
      <c r="AL4227" s="163">
        <v>4.2385825750682002</v>
      </c>
    </row>
    <row r="4228" spans="37:38" s="4" customFormat="1">
      <c r="AK4228" s="3">
        <v>4222</v>
      </c>
      <c r="AL4228" s="163">
        <v>4.2395000661532665</v>
      </c>
    </row>
    <row r="4229" spans="37:38" s="4" customFormat="1">
      <c r="AK4229" s="3">
        <v>4223</v>
      </c>
      <c r="AL4229" s="163">
        <v>4.2404177395126403</v>
      </c>
    </row>
    <row r="4230" spans="37:38" s="4" customFormat="1">
      <c r="AK4230" s="3">
        <v>4224</v>
      </c>
      <c r="AL4230" s="163">
        <v>4.2413355949727158</v>
      </c>
    </row>
    <row r="4231" spans="37:38" s="4" customFormat="1">
      <c r="AK4231" s="3">
        <v>4225</v>
      </c>
      <c r="AL4231" s="163">
        <v>4.2422536323597022</v>
      </c>
    </row>
    <row r="4232" spans="37:38" s="4" customFormat="1">
      <c r="AK4232" s="3">
        <v>4226</v>
      </c>
      <c r="AL4232" s="163">
        <v>4.2431718514997101</v>
      </c>
    </row>
    <row r="4233" spans="37:38" s="4" customFormat="1">
      <c r="AK4233" s="3">
        <v>4227</v>
      </c>
      <c r="AL4233" s="163">
        <v>4.2440902522186548</v>
      </c>
    </row>
    <row r="4234" spans="37:38" s="4" customFormat="1">
      <c r="AK4234" s="3">
        <v>4228</v>
      </c>
      <c r="AL4234" s="163">
        <v>4.2450088343423067</v>
      </c>
    </row>
    <row r="4235" spans="37:38" s="4" customFormat="1">
      <c r="AK4235" s="3">
        <v>4229</v>
      </c>
      <c r="AL4235" s="163">
        <v>4.2459275976963067</v>
      </c>
    </row>
    <row r="4236" spans="37:38" s="4" customFormat="1">
      <c r="AK4236" s="3">
        <v>4230</v>
      </c>
      <c r="AL4236" s="163">
        <v>4.2468465421061055</v>
      </c>
    </row>
    <row r="4237" spans="37:38" s="4" customFormat="1">
      <c r="AK4237" s="3">
        <v>4231</v>
      </c>
      <c r="AL4237" s="163">
        <v>4.2477656673970401</v>
      </c>
    </row>
    <row r="4238" spans="37:38" s="4" customFormat="1">
      <c r="AK4238" s="3">
        <v>4232</v>
      </c>
      <c r="AL4238" s="163">
        <v>4.248684973394278</v>
      </c>
    </row>
    <row r="4239" spans="37:38" s="4" customFormat="1">
      <c r="AK4239" s="3">
        <v>4233</v>
      </c>
      <c r="AL4239" s="163">
        <v>4.2496044599228329</v>
      </c>
    </row>
    <row r="4240" spans="37:38" s="4" customFormat="1">
      <c r="AK4240" s="3">
        <v>4234</v>
      </c>
      <c r="AL4240" s="163">
        <v>4.2505241268075729</v>
      </c>
    </row>
    <row r="4241" spans="37:38" s="4" customFormat="1">
      <c r="AK4241" s="3">
        <v>4235</v>
      </c>
      <c r="AL4241" s="163">
        <v>4.251443973873223</v>
      </c>
    </row>
    <row r="4242" spans="37:38" s="4" customFormat="1">
      <c r="AK4242" s="3">
        <v>4236</v>
      </c>
      <c r="AL4242" s="163">
        <v>4.2523640009443389</v>
      </c>
    </row>
    <row r="4243" spans="37:38" s="4" customFormat="1">
      <c r="AK4243" s="3">
        <v>4237</v>
      </c>
      <c r="AL4243" s="163">
        <v>4.2532842078453452</v>
      </c>
    </row>
    <row r="4244" spans="37:38" s="4" customFormat="1">
      <c r="AK4244" s="3">
        <v>4238</v>
      </c>
      <c r="AL4244" s="163">
        <v>4.2542045944004903</v>
      </c>
    </row>
    <row r="4245" spans="37:38" s="4" customFormat="1">
      <c r="AK4245" s="3">
        <v>4239</v>
      </c>
      <c r="AL4245" s="163">
        <v>4.2551251604339031</v>
      </c>
    </row>
    <row r="4246" spans="37:38" s="4" customFormat="1">
      <c r="AK4246" s="3">
        <v>4240</v>
      </c>
      <c r="AL4246" s="163">
        <v>4.2560459057695486</v>
      </c>
    </row>
    <row r="4247" spans="37:38" s="4" customFormat="1">
      <c r="AK4247" s="3">
        <v>4241</v>
      </c>
      <c r="AL4247" s="163">
        <v>4.2569668302312413</v>
      </c>
    </row>
    <row r="4248" spans="37:38" s="4" customFormat="1">
      <c r="AK4248" s="3">
        <v>4242</v>
      </c>
      <c r="AL4248" s="163">
        <v>4.2578879336426372</v>
      </c>
    </row>
    <row r="4249" spans="37:38" s="4" customFormat="1">
      <c r="AK4249" s="3">
        <v>4243</v>
      </c>
      <c r="AL4249" s="163">
        <v>4.2588092158272719</v>
      </c>
    </row>
    <row r="4250" spans="37:38" s="4" customFormat="1">
      <c r="AK4250" s="3">
        <v>4244</v>
      </c>
      <c r="AL4250" s="163">
        <v>4.2597306766084859</v>
      </c>
    </row>
    <row r="4251" spans="37:38" s="4" customFormat="1">
      <c r="AK4251" s="3">
        <v>4245</v>
      </c>
      <c r="AL4251" s="163">
        <v>4.2606523158095184</v>
      </c>
    </row>
    <row r="4252" spans="37:38" s="4" customFormat="1">
      <c r="AK4252" s="3">
        <v>4246</v>
      </c>
      <c r="AL4252" s="163">
        <v>4.2615741332534274</v>
      </c>
    </row>
    <row r="4253" spans="37:38" s="4" customFormat="1">
      <c r="AK4253" s="3">
        <v>4247</v>
      </c>
      <c r="AL4253" s="163">
        <v>4.2624961287631491</v>
      </c>
    </row>
    <row r="4254" spans="37:38" s="4" customFormat="1">
      <c r="AK4254" s="3">
        <v>4248</v>
      </c>
      <c r="AL4254" s="163">
        <v>4.2634183021614351</v>
      </c>
    </row>
    <row r="4255" spans="37:38" s="4" customFormat="1">
      <c r="AK4255" s="3">
        <v>4249</v>
      </c>
      <c r="AL4255" s="163">
        <v>4.2643406532709198</v>
      </c>
    </row>
    <row r="4256" spans="37:38" s="4" customFormat="1">
      <c r="AK4256" s="3">
        <v>4250</v>
      </c>
      <c r="AL4256" s="163">
        <v>4.2652631819140741</v>
      </c>
    </row>
    <row r="4257" spans="37:38" s="4" customFormat="1">
      <c r="AK4257" s="3">
        <v>4251</v>
      </c>
      <c r="AL4257" s="163">
        <v>4.2661858879132293</v>
      </c>
    </row>
    <row r="4258" spans="37:38" s="4" customFormat="1">
      <c r="AK4258" s="3">
        <v>4252</v>
      </c>
      <c r="AL4258" s="163">
        <v>4.2671087710905713</v>
      </c>
    </row>
    <row r="4259" spans="37:38" s="4" customFormat="1">
      <c r="AK4259" s="3">
        <v>4253</v>
      </c>
      <c r="AL4259" s="163">
        <v>4.2680318312681198</v>
      </c>
    </row>
    <row r="4260" spans="37:38" s="4" customFormat="1">
      <c r="AK4260" s="3">
        <v>4254</v>
      </c>
      <c r="AL4260" s="163">
        <v>4.2689550682677648</v>
      </c>
    </row>
    <row r="4261" spans="37:38" s="4" customFormat="1">
      <c r="AK4261" s="3">
        <v>4255</v>
      </c>
      <c r="AL4261" s="163">
        <v>4.2698784819112436</v>
      </c>
    </row>
    <row r="4262" spans="37:38" s="4" customFormat="1">
      <c r="AK4262" s="3">
        <v>4256</v>
      </c>
      <c r="AL4262" s="163">
        <v>4.2708020720201514</v>
      </c>
    </row>
    <row r="4263" spans="37:38" s="4" customFormat="1">
      <c r="AK4263" s="3">
        <v>4257</v>
      </c>
      <c r="AL4263" s="163">
        <v>4.2717258384159287</v>
      </c>
    </row>
    <row r="4264" spans="37:38" s="4" customFormat="1">
      <c r="AK4264" s="3">
        <v>4258</v>
      </c>
      <c r="AL4264" s="163">
        <v>4.2726497809198758</v>
      </c>
    </row>
    <row r="4265" spans="37:38" s="4" customFormat="1">
      <c r="AK4265" s="3">
        <v>4259</v>
      </c>
      <c r="AL4265" s="163">
        <v>4.2735738993531411</v>
      </c>
    </row>
    <row r="4266" spans="37:38" s="4" customFormat="1">
      <c r="AK4266" s="3">
        <v>4260</v>
      </c>
      <c r="AL4266" s="163">
        <v>4.2744981935367292</v>
      </c>
    </row>
    <row r="4267" spans="37:38" s="4" customFormat="1">
      <c r="AK4267" s="3">
        <v>4261</v>
      </c>
      <c r="AL4267" s="163">
        <v>4.2754226632914962</v>
      </c>
    </row>
    <row r="4268" spans="37:38" s="4" customFormat="1">
      <c r="AK4268" s="3">
        <v>4262</v>
      </c>
      <c r="AL4268" s="163">
        <v>4.2763473084381545</v>
      </c>
    </row>
    <row r="4269" spans="37:38" s="4" customFormat="1">
      <c r="AK4269" s="3">
        <v>4263</v>
      </c>
      <c r="AL4269" s="163">
        <v>4.2772721287972777</v>
      </c>
    </row>
    <row r="4270" spans="37:38" s="4" customFormat="1">
      <c r="AK4270" s="3">
        <v>4264</v>
      </c>
      <c r="AL4270" s="163">
        <v>4.2781971241892816</v>
      </c>
    </row>
    <row r="4271" spans="37:38" s="4" customFormat="1">
      <c r="AK4271" s="3">
        <v>4265</v>
      </c>
      <c r="AL4271" s="163">
        <v>4.2791222944344494</v>
      </c>
    </row>
    <row r="4272" spans="37:38" s="4" customFormat="1">
      <c r="AK4272" s="3">
        <v>4266</v>
      </c>
      <c r="AL4272" s="163">
        <v>4.2800476393528939</v>
      </c>
    </row>
    <row r="4273" spans="37:38" s="4" customFormat="1">
      <c r="AK4273" s="3">
        <v>4267</v>
      </c>
      <c r="AL4273" s="163">
        <v>4.2809731587646205</v>
      </c>
    </row>
    <row r="4274" spans="37:38" s="4" customFormat="1">
      <c r="AK4274" s="3">
        <v>4268</v>
      </c>
      <c r="AL4274" s="163">
        <v>4.2818988524894683</v>
      </c>
    </row>
    <row r="4275" spans="37:38" s="4" customFormat="1">
      <c r="AK4275" s="3">
        <v>4269</v>
      </c>
      <c r="AL4275" s="163">
        <v>4.2828247203471159</v>
      </c>
    </row>
    <row r="4276" spans="37:38" s="4" customFormat="1">
      <c r="AK4276" s="3">
        <v>4270</v>
      </c>
      <c r="AL4276" s="163">
        <v>4.2837507621571369</v>
      </c>
    </row>
    <row r="4277" spans="37:38" s="4" customFormat="1">
      <c r="AK4277" s="3">
        <v>4271</v>
      </c>
      <c r="AL4277" s="163">
        <v>4.2846769777389264</v>
      </c>
    </row>
    <row r="4278" spans="37:38" s="4" customFormat="1">
      <c r="AK4278" s="3">
        <v>4272</v>
      </c>
      <c r="AL4278" s="163">
        <v>4.2856033669117526</v>
      </c>
    </row>
    <row r="4279" spans="37:38" s="4" customFormat="1">
      <c r="AK4279" s="3">
        <v>4273</v>
      </c>
      <c r="AL4279" s="163">
        <v>4.2865299294947317</v>
      </c>
    </row>
    <row r="4280" spans="37:38" s="4" customFormat="1">
      <c r="AK4280" s="3">
        <v>4274</v>
      </c>
      <c r="AL4280" s="163">
        <v>4.2874566653068387</v>
      </c>
    </row>
    <row r="4281" spans="37:38" s="4" customFormat="1">
      <c r="AK4281" s="3">
        <v>4275</v>
      </c>
      <c r="AL4281" s="163">
        <v>4.2883835741669127</v>
      </c>
    </row>
    <row r="4282" spans="37:38" s="4" customFormat="1">
      <c r="AK4282" s="3">
        <v>4276</v>
      </c>
      <c r="AL4282" s="163">
        <v>4.2893106558936482</v>
      </c>
    </row>
    <row r="4283" spans="37:38" s="4" customFormat="1">
      <c r="AK4283" s="3">
        <v>4277</v>
      </c>
      <c r="AL4283" s="163">
        <v>4.2902379103055672</v>
      </c>
    </row>
    <row r="4284" spans="37:38" s="4" customFormat="1">
      <c r="AK4284" s="3">
        <v>4278</v>
      </c>
      <c r="AL4284" s="163">
        <v>4.2911653372211003</v>
      </c>
    </row>
    <row r="4285" spans="37:38" s="4" customFormat="1">
      <c r="AK4285" s="3">
        <v>4279</v>
      </c>
      <c r="AL4285" s="163">
        <v>4.2920929364584879</v>
      </c>
    </row>
    <row r="4286" spans="37:38" s="4" customFormat="1">
      <c r="AK4286" s="3">
        <v>4280</v>
      </c>
      <c r="AL4286" s="163">
        <v>4.2930207078358578</v>
      </c>
    </row>
    <row r="4287" spans="37:38" s="4" customFormat="1">
      <c r="AK4287" s="3">
        <v>4281</v>
      </c>
      <c r="AL4287" s="163">
        <v>4.2939486511711804</v>
      </c>
    </row>
    <row r="4288" spans="37:38" s="4" customFormat="1">
      <c r="AK4288" s="3">
        <v>4282</v>
      </c>
      <c r="AL4288" s="163">
        <v>4.2948767662822904</v>
      </c>
    </row>
    <row r="4289" spans="37:38" s="4" customFormat="1">
      <c r="AK4289" s="3">
        <v>4283</v>
      </c>
      <c r="AL4289" s="163">
        <v>4.2958050529868785</v>
      </c>
    </row>
    <row r="4290" spans="37:38" s="4" customFormat="1">
      <c r="AK4290" s="3">
        <v>4284</v>
      </c>
      <c r="AL4290" s="163">
        <v>4.2967335111024987</v>
      </c>
    </row>
    <row r="4291" spans="37:38" s="4" customFormat="1">
      <c r="AK4291" s="3">
        <v>4285</v>
      </c>
      <c r="AL4291" s="163">
        <v>4.2976621404465529</v>
      </c>
    </row>
    <row r="4292" spans="37:38" s="4" customFormat="1">
      <c r="AK4292" s="3">
        <v>4286</v>
      </c>
      <c r="AL4292" s="163">
        <v>4.2985909408363119</v>
      </c>
    </row>
    <row r="4293" spans="37:38" s="4" customFormat="1">
      <c r="AK4293" s="3">
        <v>4287</v>
      </c>
      <c r="AL4293" s="163">
        <v>4.2995199120888934</v>
      </c>
    </row>
    <row r="4294" spans="37:38" s="4" customFormat="1">
      <c r="AK4294" s="3">
        <v>4288</v>
      </c>
      <c r="AL4294" s="163">
        <v>4.3004490540212768</v>
      </c>
    </row>
    <row r="4295" spans="37:38" s="4" customFormat="1">
      <c r="AK4295" s="3">
        <v>4289</v>
      </c>
      <c r="AL4295" s="163">
        <v>4.301378366450324</v>
      </c>
    </row>
    <row r="4296" spans="37:38" s="4" customFormat="1">
      <c r="AK4296" s="3">
        <v>4290</v>
      </c>
      <c r="AL4296" s="163">
        <v>4.3023078491927178</v>
      </c>
    </row>
    <row r="4297" spans="37:38" s="4" customFormat="1">
      <c r="AK4297" s="3">
        <v>4291</v>
      </c>
      <c r="AL4297" s="163">
        <v>4.3032375020650289</v>
      </c>
    </row>
    <row r="4298" spans="37:38" s="4" customFormat="1">
      <c r="AK4298" s="3">
        <v>4292</v>
      </c>
      <c r="AL4298" s="163">
        <v>4.3041673248836734</v>
      </c>
    </row>
    <row r="4299" spans="37:38" s="4" customFormat="1">
      <c r="AK4299" s="3">
        <v>4293</v>
      </c>
      <c r="AL4299" s="163">
        <v>4.3050973174649378</v>
      </c>
    </row>
    <row r="4300" spans="37:38" s="4" customFormat="1">
      <c r="AK4300" s="3">
        <v>4294</v>
      </c>
      <c r="AL4300" s="163">
        <v>4.3060274796249534</v>
      </c>
    </row>
    <row r="4301" spans="37:38" s="4" customFormat="1">
      <c r="AK4301" s="3">
        <v>4295</v>
      </c>
      <c r="AL4301" s="163">
        <v>4.306957811179724</v>
      </c>
    </row>
    <row r="4302" spans="37:38" s="4" customFormat="1">
      <c r="AK4302" s="3">
        <v>4296</v>
      </c>
      <c r="AL4302" s="163">
        <v>4.307888311945117</v>
      </c>
    </row>
    <row r="4303" spans="37:38" s="4" customFormat="1">
      <c r="AK4303" s="3">
        <v>4297</v>
      </c>
      <c r="AL4303" s="163">
        <v>4.3088189817368487</v>
      </c>
    </row>
    <row r="4304" spans="37:38" s="4" customFormat="1">
      <c r="AK4304" s="3">
        <v>4298</v>
      </c>
      <c r="AL4304" s="163">
        <v>4.3097498203705049</v>
      </c>
    </row>
    <row r="4305" spans="37:38" s="4" customFormat="1">
      <c r="AK4305" s="3">
        <v>4299</v>
      </c>
      <c r="AL4305" s="163">
        <v>4.3106808276615132</v>
      </c>
    </row>
    <row r="4306" spans="37:38" s="4" customFormat="1">
      <c r="AK4306" s="3">
        <v>4300</v>
      </c>
      <c r="AL4306" s="163">
        <v>4.3116120034252035</v>
      </c>
    </row>
    <row r="4307" spans="37:38" s="4" customFormat="1">
      <c r="AK4307" s="3">
        <v>4301</v>
      </c>
      <c r="AL4307" s="163">
        <v>4.3125433474767227</v>
      </c>
    </row>
    <row r="4308" spans="37:38" s="4" customFormat="1">
      <c r="AK4308" s="3">
        <v>4302</v>
      </c>
      <c r="AL4308" s="163">
        <v>4.3134748596311008</v>
      </c>
    </row>
    <row r="4309" spans="37:38" s="4" customFormat="1">
      <c r="AK4309" s="3">
        <v>4303</v>
      </c>
      <c r="AL4309" s="163">
        <v>4.314406539703235</v>
      </c>
    </row>
    <row r="4310" spans="37:38" s="4" customFormat="1">
      <c r="AK4310" s="3">
        <v>4304</v>
      </c>
      <c r="AL4310" s="163">
        <v>4.3153383875078619</v>
      </c>
    </row>
    <row r="4311" spans="37:38" s="4" customFormat="1">
      <c r="AK4311" s="3">
        <v>4305</v>
      </c>
      <c r="AL4311" s="163">
        <v>4.3162704028595975</v>
      </c>
    </row>
    <row r="4312" spans="37:38" s="4" customFormat="1">
      <c r="AK4312" s="3">
        <v>4306</v>
      </c>
      <c r="AL4312" s="163">
        <v>4.3172025855729323</v>
      </c>
    </row>
    <row r="4313" spans="37:38" s="4" customFormat="1">
      <c r="AK4313" s="3">
        <v>4307</v>
      </c>
      <c r="AL4313" s="163">
        <v>4.3181349354621776</v>
      </c>
    </row>
    <row r="4314" spans="37:38" s="4" customFormat="1">
      <c r="AK4314" s="3">
        <v>4308</v>
      </c>
      <c r="AL4314" s="163">
        <v>4.3190674523415513</v>
      </c>
    </row>
    <row r="4315" spans="37:38" s="4" customFormat="1">
      <c r="AK4315" s="3">
        <v>4309</v>
      </c>
      <c r="AL4315" s="163">
        <v>4.3200001360251044</v>
      </c>
    </row>
    <row r="4316" spans="37:38" s="4" customFormat="1">
      <c r="AK4316" s="3">
        <v>4310</v>
      </c>
      <c r="AL4316" s="163">
        <v>4.3209329863267731</v>
      </c>
    </row>
    <row r="4317" spans="37:38" s="4" customFormat="1">
      <c r="AK4317" s="3">
        <v>4311</v>
      </c>
      <c r="AL4317" s="163">
        <v>4.3218660030603377</v>
      </c>
    </row>
    <row r="4318" spans="37:38" s="4" customFormat="1">
      <c r="AK4318" s="3">
        <v>4312</v>
      </c>
      <c r="AL4318" s="163">
        <v>4.3227991860394415</v>
      </c>
    </row>
    <row r="4319" spans="37:38" s="4" customFormat="1">
      <c r="AK4319" s="3">
        <v>4313</v>
      </c>
      <c r="AL4319" s="163">
        <v>4.323732535077621</v>
      </c>
    </row>
    <row r="4320" spans="37:38" s="4" customFormat="1">
      <c r="AK4320" s="3">
        <v>4314</v>
      </c>
      <c r="AL4320" s="163">
        <v>4.3246660499882328</v>
      </c>
    </row>
    <row r="4321" spans="37:38" s="4" customFormat="1">
      <c r="AK4321" s="3">
        <v>4315</v>
      </c>
      <c r="AL4321" s="163">
        <v>4.3255997305845355</v>
      </c>
    </row>
    <row r="4322" spans="37:38" s="4" customFormat="1">
      <c r="AK4322" s="3">
        <v>4316</v>
      </c>
      <c r="AL4322" s="163">
        <v>4.3265335766796262</v>
      </c>
    </row>
    <row r="4323" spans="37:38" s="4" customFormat="1">
      <c r="AK4323" s="3">
        <v>4317</v>
      </c>
      <c r="AL4323" s="163">
        <v>4.3274675880864777</v>
      </c>
    </row>
    <row r="4324" spans="37:38" s="4" customFormat="1">
      <c r="AK4324" s="3">
        <v>4318</v>
      </c>
      <c r="AL4324" s="163">
        <v>4.3284017646179205</v>
      </c>
    </row>
    <row r="4325" spans="37:38" s="4" customFormat="1">
      <c r="AK4325" s="3">
        <v>4319</v>
      </c>
      <c r="AL4325" s="163">
        <v>4.3293361060866555</v>
      </c>
    </row>
    <row r="4326" spans="37:38" s="4" customFormat="1">
      <c r="AK4326" s="3">
        <v>4320</v>
      </c>
      <c r="AL4326" s="163">
        <v>4.3302706123052523</v>
      </c>
    </row>
    <row r="4327" spans="37:38" s="4" customFormat="1">
      <c r="AK4327" s="3">
        <v>4321</v>
      </c>
      <c r="AL4327" s="163">
        <v>4.3312052830861409</v>
      </c>
    </row>
    <row r="4328" spans="37:38" s="4" customFormat="1">
      <c r="AK4328" s="3">
        <v>4322</v>
      </c>
      <c r="AL4328" s="163">
        <v>4.3321401182416039</v>
      </c>
    </row>
    <row r="4329" spans="37:38" s="4" customFormat="1">
      <c r="AK4329" s="3">
        <v>4323</v>
      </c>
      <c r="AL4329" s="163">
        <v>4.3330751175838067</v>
      </c>
    </row>
    <row r="4330" spans="37:38" s="4" customFormat="1">
      <c r="AK4330" s="3">
        <v>4324</v>
      </c>
      <c r="AL4330" s="163">
        <v>4.3340102809247814</v>
      </c>
    </row>
    <row r="4331" spans="37:38" s="4" customFormat="1">
      <c r="AK4331" s="3">
        <v>4325</v>
      </c>
      <c r="AL4331" s="163">
        <v>4.3349456080764091</v>
      </c>
    </row>
    <row r="4332" spans="37:38" s="4" customFormat="1">
      <c r="AK4332" s="3">
        <v>4326</v>
      </c>
      <c r="AL4332" s="163">
        <v>4.3358810988504457</v>
      </c>
    </row>
    <row r="4333" spans="37:38" s="4" customFormat="1">
      <c r="AK4333" s="3">
        <v>4327</v>
      </c>
      <c r="AL4333" s="163">
        <v>4.3368167530585238</v>
      </c>
    </row>
    <row r="4334" spans="37:38" s="4" customFormat="1">
      <c r="AK4334" s="3">
        <v>4328</v>
      </c>
      <c r="AL4334" s="163">
        <v>4.3377525705121194</v>
      </c>
    </row>
    <row r="4335" spans="37:38" s="4" customFormat="1">
      <c r="AK4335" s="3">
        <v>4329</v>
      </c>
      <c r="AL4335" s="163">
        <v>4.338688551022595</v>
      </c>
    </row>
    <row r="4336" spans="37:38" s="4" customFormat="1">
      <c r="AK4336" s="3">
        <v>4330</v>
      </c>
      <c r="AL4336" s="163">
        <v>4.33962469440117</v>
      </c>
    </row>
    <row r="4337" spans="37:38" s="4" customFormat="1">
      <c r="AK4337" s="3">
        <v>4331</v>
      </c>
      <c r="AL4337" s="163">
        <v>4.3405610004589317</v>
      </c>
    </row>
    <row r="4338" spans="37:38" s="4" customFormat="1">
      <c r="AK4338" s="3">
        <v>4332</v>
      </c>
      <c r="AL4338" s="163">
        <v>4.3414974690068409</v>
      </c>
    </row>
    <row r="4339" spans="37:38" s="4" customFormat="1">
      <c r="AK4339" s="3">
        <v>4333</v>
      </c>
      <c r="AL4339" s="163">
        <v>4.3424340998557138</v>
      </c>
    </row>
    <row r="4340" spans="37:38" s="4" customFormat="1">
      <c r="AK4340" s="3">
        <v>4334</v>
      </c>
      <c r="AL4340" s="163">
        <v>4.3433708928162424</v>
      </c>
    </row>
    <row r="4341" spans="37:38" s="4" customFormat="1">
      <c r="AK4341" s="3">
        <v>4335</v>
      </c>
      <c r="AL4341" s="163">
        <v>4.34430784769898</v>
      </c>
    </row>
    <row r="4342" spans="37:38" s="4" customFormat="1">
      <c r="AK4342" s="3">
        <v>4336</v>
      </c>
      <c r="AL4342" s="163">
        <v>4.3452449643143574</v>
      </c>
    </row>
    <row r="4343" spans="37:38" s="4" customFormat="1">
      <c r="AK4343" s="3">
        <v>4337</v>
      </c>
      <c r="AL4343" s="163">
        <v>4.3461822424726666</v>
      </c>
    </row>
    <row r="4344" spans="37:38" s="4" customFormat="1">
      <c r="AK4344" s="3">
        <v>4338</v>
      </c>
      <c r="AL4344" s="163">
        <v>4.3471196819840596</v>
      </c>
    </row>
    <row r="4345" spans="37:38" s="4" customFormat="1">
      <c r="AK4345" s="3">
        <v>4339</v>
      </c>
      <c r="AL4345" s="163">
        <v>4.3480572826585799</v>
      </c>
    </row>
    <row r="4346" spans="37:38" s="4" customFormat="1">
      <c r="AK4346" s="3">
        <v>4340</v>
      </c>
      <c r="AL4346" s="163">
        <v>4.3489950443061094</v>
      </c>
    </row>
    <row r="4347" spans="37:38" s="4" customFormat="1">
      <c r="AK4347" s="3">
        <v>4341</v>
      </c>
      <c r="AL4347" s="163">
        <v>4.3499329667364313</v>
      </c>
    </row>
    <row r="4348" spans="37:38" s="4" customFormat="1">
      <c r="AK4348" s="3">
        <v>4342</v>
      </c>
      <c r="AL4348" s="163">
        <v>4.3508710497591636</v>
      </c>
    </row>
    <row r="4349" spans="37:38" s="4" customFormat="1">
      <c r="AK4349" s="3">
        <v>4343</v>
      </c>
      <c r="AL4349" s="163">
        <v>4.3518092931838215</v>
      </c>
    </row>
    <row r="4350" spans="37:38" s="4" customFormat="1">
      <c r="AK4350" s="3">
        <v>4344</v>
      </c>
      <c r="AL4350" s="163">
        <v>4.3527476968197654</v>
      </c>
    </row>
    <row r="4351" spans="37:38" s="4" customFormat="1">
      <c r="AK4351" s="3">
        <v>4345</v>
      </c>
      <c r="AL4351" s="163">
        <v>4.3536862604762518</v>
      </c>
    </row>
    <row r="4352" spans="37:38" s="4" customFormat="1">
      <c r="AK4352" s="3">
        <v>4346</v>
      </c>
      <c r="AL4352" s="163">
        <v>4.3546249839623847</v>
      </c>
    </row>
    <row r="4353" spans="37:38" s="4" customFormat="1">
      <c r="AK4353" s="3">
        <v>4347</v>
      </c>
      <c r="AL4353" s="163">
        <v>4.3555638670871488</v>
      </c>
    </row>
    <row r="4354" spans="37:38" s="4" customFormat="1">
      <c r="AK4354" s="3">
        <v>4348</v>
      </c>
      <c r="AL4354" s="163">
        <v>4.3565029096593921</v>
      </c>
    </row>
    <row r="4355" spans="37:38" s="4" customFormat="1">
      <c r="AK4355" s="3">
        <v>4349</v>
      </c>
      <c r="AL4355" s="163">
        <v>4.357442111487841</v>
      </c>
    </row>
    <row r="4356" spans="37:38" s="4" customFormat="1">
      <c r="AK4356" s="3">
        <v>4350</v>
      </c>
      <c r="AL4356" s="163">
        <v>4.3583814723810761</v>
      </c>
    </row>
    <row r="4357" spans="37:38" s="4" customFormat="1">
      <c r="AK4357" s="3">
        <v>4351</v>
      </c>
      <c r="AL4357" s="163">
        <v>4.3593209921475786</v>
      </c>
    </row>
    <row r="4358" spans="37:38" s="4" customFormat="1">
      <c r="AK4358" s="3">
        <v>4352</v>
      </c>
      <c r="AL4358" s="163">
        <v>4.3602606705956575</v>
      </c>
    </row>
    <row r="4359" spans="37:38" s="4" customFormat="1">
      <c r="AK4359" s="3">
        <v>4353</v>
      </c>
      <c r="AL4359" s="163">
        <v>4.3612005075335327</v>
      </c>
    </row>
    <row r="4360" spans="37:38" s="4" customFormat="1">
      <c r="AK4360" s="3">
        <v>4354</v>
      </c>
      <c r="AL4360" s="163">
        <v>4.3621405027692735</v>
      </c>
    </row>
    <row r="4361" spans="37:38" s="4" customFormat="1">
      <c r="AK4361" s="3">
        <v>4355</v>
      </c>
      <c r="AL4361" s="163">
        <v>4.3630806561108244</v>
      </c>
    </row>
    <row r="4362" spans="37:38" s="4" customFormat="1">
      <c r="AK4362" s="3">
        <v>4356</v>
      </c>
      <c r="AL4362" s="163">
        <v>4.3640209673660042</v>
      </c>
    </row>
    <row r="4363" spans="37:38" s="4" customFormat="1">
      <c r="AK4363" s="3">
        <v>4357</v>
      </c>
      <c r="AL4363" s="163">
        <v>4.3649614363425036</v>
      </c>
    </row>
    <row r="4364" spans="37:38" s="4" customFormat="1">
      <c r="AK4364" s="3">
        <v>4358</v>
      </c>
      <c r="AL4364" s="163">
        <v>4.3659020628478746</v>
      </c>
    </row>
    <row r="4365" spans="37:38" s="4" customFormat="1">
      <c r="AK4365" s="3">
        <v>4359</v>
      </c>
      <c r="AL4365" s="163">
        <v>4.3668428466895604</v>
      </c>
    </row>
    <row r="4366" spans="37:38" s="4" customFormat="1">
      <c r="AK4366" s="3">
        <v>4360</v>
      </c>
      <c r="AL4366" s="163">
        <v>4.3677837876748526</v>
      </c>
    </row>
    <row r="4367" spans="37:38" s="4" customFormat="1">
      <c r="AK4367" s="3">
        <v>4361</v>
      </c>
      <c r="AL4367" s="163">
        <v>4.3687248856109422</v>
      </c>
    </row>
    <row r="4368" spans="37:38" s="4" customFormat="1">
      <c r="AK4368" s="3">
        <v>4362</v>
      </c>
      <c r="AL4368" s="163">
        <v>4.3696661403048678</v>
      </c>
    </row>
    <row r="4369" spans="37:38" s="4" customFormat="1">
      <c r="AK4369" s="3">
        <v>4363</v>
      </c>
      <c r="AL4369" s="163">
        <v>4.3706075515635465</v>
      </c>
    </row>
    <row r="4370" spans="37:38" s="4" customFormat="1">
      <c r="AK4370" s="3">
        <v>4364</v>
      </c>
      <c r="AL4370" s="163">
        <v>4.3715491191937828</v>
      </c>
    </row>
    <row r="4371" spans="37:38" s="4" customFormat="1">
      <c r="AK4371" s="3">
        <v>4365</v>
      </c>
      <c r="AL4371" s="163">
        <v>4.3724908430022476</v>
      </c>
    </row>
    <row r="4372" spans="37:38" s="4" customFormat="1">
      <c r="AK4372" s="3">
        <v>4366</v>
      </c>
      <c r="AL4372" s="163">
        <v>4.3734327227954619</v>
      </c>
    </row>
    <row r="4373" spans="37:38" s="4" customFormat="1">
      <c r="AK4373" s="3">
        <v>4367</v>
      </c>
      <c r="AL4373" s="163">
        <v>4.3743747583798669</v>
      </c>
    </row>
    <row r="4374" spans="37:38" s="4" customFormat="1">
      <c r="AK4374" s="3">
        <v>4368</v>
      </c>
      <c r="AL4374" s="163">
        <v>4.3753169495617215</v>
      </c>
    </row>
    <row r="4375" spans="37:38" s="4" customFormat="1">
      <c r="AK4375" s="3">
        <v>4369</v>
      </c>
      <c r="AL4375" s="163">
        <v>4.3762592961472055</v>
      </c>
    </row>
    <row r="4376" spans="37:38" s="4" customFormat="1">
      <c r="AK4376" s="3">
        <v>4370</v>
      </c>
      <c r="AL4376" s="163">
        <v>4.3772017979423445</v>
      </c>
    </row>
    <row r="4377" spans="37:38" s="4" customFormat="1">
      <c r="AK4377" s="3">
        <v>4371</v>
      </c>
      <c r="AL4377" s="163">
        <v>4.3781444547530572</v>
      </c>
    </row>
    <row r="4378" spans="37:38" s="4" customFormat="1">
      <c r="AK4378" s="3">
        <v>4372</v>
      </c>
      <c r="AL4378" s="163">
        <v>4.379087266385115</v>
      </c>
    </row>
    <row r="4379" spans="37:38" s="4" customFormat="1">
      <c r="AK4379" s="3">
        <v>4373</v>
      </c>
      <c r="AL4379" s="163">
        <v>4.3800302326441933</v>
      </c>
    </row>
    <row r="4380" spans="37:38" s="4" customFormat="1">
      <c r="AK4380" s="3">
        <v>4374</v>
      </c>
      <c r="AL4380" s="163">
        <v>4.3809733533358051</v>
      </c>
    </row>
    <row r="4381" spans="37:38" s="4" customFormat="1">
      <c r="AK4381" s="3">
        <v>4375</v>
      </c>
      <c r="AL4381" s="163">
        <v>4.3819166282653725</v>
      </c>
    </row>
    <row r="4382" spans="37:38" s="4" customFormat="1">
      <c r="AK4382" s="3">
        <v>4376</v>
      </c>
      <c r="AL4382" s="163">
        <v>4.3828600572381635</v>
      </c>
    </row>
    <row r="4383" spans="37:38" s="4" customFormat="1">
      <c r="AK4383" s="3">
        <v>4377</v>
      </c>
      <c r="AL4383" s="163">
        <v>4.3838036400593499</v>
      </c>
    </row>
    <row r="4384" spans="37:38" s="4" customFormat="1">
      <c r="AK4384" s="3">
        <v>4378</v>
      </c>
      <c r="AL4384" s="163">
        <v>4.3847473765339542</v>
      </c>
    </row>
    <row r="4385" spans="37:38" s="4" customFormat="1">
      <c r="AK4385" s="3">
        <v>4379</v>
      </c>
      <c r="AL4385" s="163">
        <v>4.385691266466889</v>
      </c>
    </row>
    <row r="4386" spans="37:38" s="4" customFormat="1">
      <c r="AK4386" s="3">
        <v>4380</v>
      </c>
      <c r="AL4386" s="163">
        <v>4.3866353096629442</v>
      </c>
    </row>
    <row r="4387" spans="37:38" s="4" customFormat="1">
      <c r="AK4387" s="3">
        <v>4381</v>
      </c>
      <c r="AL4387" s="163">
        <v>4.3875795059267695</v>
      </c>
    </row>
    <row r="4388" spans="37:38" s="4" customFormat="1">
      <c r="AK4388" s="3">
        <v>4382</v>
      </c>
      <c r="AL4388" s="163">
        <v>4.3885238550629149</v>
      </c>
    </row>
    <row r="4389" spans="37:38" s="4" customFormat="1">
      <c r="AK4389" s="3">
        <v>4383</v>
      </c>
      <c r="AL4389" s="163">
        <v>4.3894683568757813</v>
      </c>
    </row>
    <row r="4390" spans="37:38" s="4" customFormat="1">
      <c r="AK4390" s="3">
        <v>4384</v>
      </c>
      <c r="AL4390" s="163">
        <v>4.390413011169656</v>
      </c>
    </row>
    <row r="4391" spans="37:38" s="4" customFormat="1">
      <c r="AK4391" s="3">
        <v>4385</v>
      </c>
      <c r="AL4391" s="163">
        <v>4.3913578177487107</v>
      </c>
    </row>
    <row r="4392" spans="37:38" s="4" customFormat="1">
      <c r="AK4392" s="3">
        <v>4386</v>
      </c>
      <c r="AL4392" s="163">
        <v>4.3923027764169937</v>
      </c>
    </row>
    <row r="4393" spans="37:38" s="4" customFormat="1">
      <c r="AK4393" s="3">
        <v>4387</v>
      </c>
      <c r="AL4393" s="163">
        <v>4.3932478869784131</v>
      </c>
    </row>
    <row r="4394" spans="37:38" s="4" customFormat="1">
      <c r="AK4394" s="3">
        <v>4388</v>
      </c>
      <c r="AL4394" s="163">
        <v>4.3941931492367718</v>
      </c>
    </row>
    <row r="4395" spans="37:38" s="4" customFormat="1">
      <c r="AK4395" s="3">
        <v>4389</v>
      </c>
      <c r="AL4395" s="163">
        <v>4.3951385629957427</v>
      </c>
    </row>
    <row r="4396" spans="37:38" s="4" customFormat="1">
      <c r="AK4396" s="3">
        <v>4390</v>
      </c>
      <c r="AL4396" s="163">
        <v>4.3960841280588765</v>
      </c>
    </row>
    <row r="4397" spans="37:38" s="4" customFormat="1">
      <c r="AK4397" s="3">
        <v>4391</v>
      </c>
      <c r="AL4397" s="163">
        <v>4.3970298442296052</v>
      </c>
    </row>
    <row r="4398" spans="37:38" s="4" customFormat="1">
      <c r="AK4398" s="3">
        <v>4392</v>
      </c>
      <c r="AL4398" s="163">
        <v>4.3979757113112434</v>
      </c>
    </row>
    <row r="4399" spans="37:38" s="4" customFormat="1">
      <c r="AK4399" s="3">
        <v>4393</v>
      </c>
      <c r="AL4399" s="163">
        <v>4.3989217291069673</v>
      </c>
    </row>
    <row r="4400" spans="37:38" s="4" customFormat="1">
      <c r="AK4400" s="3">
        <v>4394</v>
      </c>
      <c r="AL4400" s="163">
        <v>4.3998678974198455</v>
      </c>
    </row>
    <row r="4401" spans="37:38" s="4" customFormat="1">
      <c r="AK4401" s="3">
        <v>4395</v>
      </c>
      <c r="AL4401" s="163">
        <v>4.400814216052817</v>
      </c>
    </row>
    <row r="4402" spans="37:38" s="4" customFormat="1">
      <c r="AK4402" s="3">
        <v>4396</v>
      </c>
      <c r="AL4402" s="163">
        <v>4.4017606848086981</v>
      </c>
    </row>
    <row r="4403" spans="37:38" s="4" customFormat="1">
      <c r="AK4403" s="3">
        <v>4397</v>
      </c>
      <c r="AL4403" s="163">
        <v>4.4027073034901942</v>
      </c>
    </row>
    <row r="4404" spans="37:38" s="4" customFormat="1">
      <c r="AK4404" s="3">
        <v>4398</v>
      </c>
      <c r="AL4404" s="163">
        <v>4.4036540718998936</v>
      </c>
    </row>
    <row r="4405" spans="37:38" s="4" customFormat="1">
      <c r="AK4405" s="3">
        <v>4399</v>
      </c>
      <c r="AL4405" s="163">
        <v>4.4046009898402403</v>
      </c>
    </row>
    <row r="4406" spans="37:38" s="4" customFormat="1">
      <c r="AK4406" s="3">
        <v>4400</v>
      </c>
      <c r="AL4406" s="163">
        <v>4.4055480571135863</v>
      </c>
    </row>
    <row r="4407" spans="37:38" s="4" customFormat="1">
      <c r="AK4407" s="3">
        <v>4401</v>
      </c>
      <c r="AL4407" s="163">
        <v>4.4064952735221343</v>
      </c>
    </row>
    <row r="4408" spans="37:38" s="4" customFormat="1">
      <c r="AK4408" s="3">
        <v>4402</v>
      </c>
      <c r="AL4408" s="163">
        <v>4.4074426388679946</v>
      </c>
    </row>
    <row r="4409" spans="37:38" s="4" customFormat="1">
      <c r="AK4409" s="3">
        <v>4403</v>
      </c>
      <c r="AL4409" s="163">
        <v>4.40839015295313</v>
      </c>
    </row>
    <row r="4410" spans="37:38" s="4" customFormat="1">
      <c r="AK4410" s="3">
        <v>4404</v>
      </c>
      <c r="AL4410" s="163">
        <v>4.4093378155794127</v>
      </c>
    </row>
    <row r="4411" spans="37:38" s="4" customFormat="1">
      <c r="AK4411" s="3">
        <v>4405</v>
      </c>
      <c r="AL4411" s="163">
        <v>4.4102856265485713</v>
      </c>
    </row>
    <row r="4412" spans="37:38" s="4" customFormat="1">
      <c r="AK4412" s="3">
        <v>4406</v>
      </c>
      <c r="AL4412" s="163">
        <v>4.4112335856622318</v>
      </c>
    </row>
    <row r="4413" spans="37:38" s="4" customFormat="1">
      <c r="AK4413" s="3">
        <v>4407</v>
      </c>
      <c r="AL4413" s="163">
        <v>4.4121816927218873</v>
      </c>
    </row>
    <row r="4414" spans="37:38" s="4" customFormat="1">
      <c r="AK4414" s="3">
        <v>4408</v>
      </c>
      <c r="AL4414" s="163">
        <v>4.4131299475289207</v>
      </c>
    </row>
    <row r="4415" spans="37:38" s="4" customFormat="1">
      <c r="AK4415" s="3">
        <v>4409</v>
      </c>
      <c r="AL4415" s="163">
        <v>4.4140783498845799</v>
      </c>
    </row>
    <row r="4416" spans="37:38" s="4" customFormat="1">
      <c r="AK4416" s="3">
        <v>4410</v>
      </c>
      <c r="AL4416" s="163">
        <v>4.4150268995900319</v>
      </c>
    </row>
    <row r="4417" spans="37:38" s="4" customFormat="1">
      <c r="AK4417" s="3">
        <v>4411</v>
      </c>
      <c r="AL4417" s="163">
        <v>4.4159755964462786</v>
      </c>
    </row>
    <row r="4418" spans="37:38" s="4" customFormat="1">
      <c r="AK4418" s="3">
        <v>4412</v>
      </c>
      <c r="AL4418" s="163">
        <v>4.4169244402542365</v>
      </c>
    </row>
    <row r="4419" spans="37:38" s="4" customFormat="1">
      <c r="AK4419" s="3">
        <v>4413</v>
      </c>
      <c r="AL4419" s="163">
        <v>4.4178734308146925</v>
      </c>
    </row>
    <row r="4420" spans="37:38" s="4" customFormat="1">
      <c r="AK4420" s="3">
        <v>4414</v>
      </c>
      <c r="AL4420" s="163">
        <v>4.4188225679283075</v>
      </c>
    </row>
    <row r="4421" spans="37:38" s="4" customFormat="1">
      <c r="AK4421" s="3">
        <v>4415</v>
      </c>
      <c r="AL4421" s="163">
        <v>4.4197718513956463</v>
      </c>
    </row>
    <row r="4422" spans="37:38" s="4" customFormat="1">
      <c r="AK4422" s="3">
        <v>4416</v>
      </c>
      <c r="AL4422" s="163">
        <v>4.4207212810171299</v>
      </c>
    </row>
    <row r="4423" spans="37:38" s="4" customFormat="1">
      <c r="AK4423" s="3">
        <v>4417</v>
      </c>
      <c r="AL4423" s="163">
        <v>4.4216708565930718</v>
      </c>
    </row>
    <row r="4424" spans="37:38" s="4" customFormat="1">
      <c r="AK4424" s="3">
        <v>4418</v>
      </c>
      <c r="AL4424" s="163">
        <v>4.4226205779236896</v>
      </c>
    </row>
    <row r="4425" spans="37:38" s="4" customFormat="1">
      <c r="AK4425" s="3">
        <v>4419</v>
      </c>
      <c r="AL4425" s="163">
        <v>4.42357044480904</v>
      </c>
    </row>
    <row r="4426" spans="37:38" s="4" customFormat="1">
      <c r="AK4426" s="3">
        <v>4420</v>
      </c>
      <c r="AL4426" s="163">
        <v>4.4245204570491135</v>
      </c>
    </row>
    <row r="4427" spans="37:38" s="4" customFormat="1">
      <c r="AK4427" s="3">
        <v>4421</v>
      </c>
      <c r="AL4427" s="163">
        <v>4.4254706144437383</v>
      </c>
    </row>
    <row r="4428" spans="37:38" s="4" customFormat="1">
      <c r="AK4428" s="3">
        <v>4422</v>
      </c>
      <c r="AL4428" s="163">
        <v>4.4264209167926598</v>
      </c>
    </row>
    <row r="4429" spans="37:38" s="4" customFormat="1">
      <c r="AK4429" s="3">
        <v>4423</v>
      </c>
      <c r="AL4429" s="163">
        <v>4.4273713638954817</v>
      </c>
    </row>
    <row r="4430" spans="37:38" s="4" customFormat="1">
      <c r="AK4430" s="3">
        <v>4424</v>
      </c>
      <c r="AL4430" s="163">
        <v>4.428321955551711</v>
      </c>
    </row>
    <row r="4431" spans="37:38" s="4" customFormat="1">
      <c r="AK4431" s="3">
        <v>4425</v>
      </c>
      <c r="AL4431" s="163">
        <v>4.4292726915607359</v>
      </c>
    </row>
    <row r="4432" spans="37:38" s="4" customFormat="1">
      <c r="AK4432" s="3">
        <v>4426</v>
      </c>
      <c r="AL4432" s="163">
        <v>4.4302235717218119</v>
      </c>
    </row>
    <row r="4433" spans="37:38" s="4" customFormat="1">
      <c r="AK4433" s="3">
        <v>4427</v>
      </c>
      <c r="AL4433" s="163">
        <v>4.4311745958340865</v>
      </c>
    </row>
    <row r="4434" spans="37:38" s="4" customFormat="1">
      <c r="AK4434" s="3">
        <v>4428</v>
      </c>
      <c r="AL4434" s="163">
        <v>4.4321257636966216</v>
      </c>
    </row>
    <row r="4435" spans="37:38" s="4" customFormat="1">
      <c r="AK4435" s="3">
        <v>4429</v>
      </c>
      <c r="AL4435" s="163">
        <v>4.4330770751083133</v>
      </c>
    </row>
    <row r="4436" spans="37:38" s="4" customFormat="1">
      <c r="AK4436" s="3">
        <v>4430</v>
      </c>
      <c r="AL4436" s="163">
        <v>4.4340285298679687</v>
      </c>
    </row>
    <row r="4437" spans="37:38" s="4" customFormat="1">
      <c r="AK4437" s="3">
        <v>4431</v>
      </c>
      <c r="AL4437" s="163">
        <v>4.4349801277742955</v>
      </c>
    </row>
    <row r="4438" spans="37:38" s="4" customFormat="1">
      <c r="AK4438" s="3">
        <v>4432</v>
      </c>
      <c r="AL4438" s="163">
        <v>4.4359318686258629</v>
      </c>
    </row>
    <row r="4439" spans="37:38" s="4" customFormat="1">
      <c r="AK4439" s="3">
        <v>4433</v>
      </c>
      <c r="AL4439" s="163">
        <v>4.4368837522211182</v>
      </c>
    </row>
    <row r="4440" spans="37:38" s="4" customFormat="1">
      <c r="AK4440" s="3">
        <v>4434</v>
      </c>
      <c r="AL4440" s="163">
        <v>4.4378357783584299</v>
      </c>
    </row>
    <row r="4441" spans="37:38" s="4" customFormat="1">
      <c r="AK4441" s="3">
        <v>4435</v>
      </c>
      <c r="AL4441" s="163">
        <v>4.4387879468360207</v>
      </c>
    </row>
    <row r="4442" spans="37:38" s="4" customFormat="1">
      <c r="AK4442" s="3">
        <v>4436</v>
      </c>
      <c r="AL4442" s="163">
        <v>4.4397402574520086</v>
      </c>
    </row>
    <row r="4443" spans="37:38" s="4" customFormat="1">
      <c r="AK4443" s="3">
        <v>4437</v>
      </c>
      <c r="AL4443" s="163">
        <v>4.440692710004404</v>
      </c>
    </row>
    <row r="4444" spans="37:38" s="4" customFormat="1">
      <c r="AK4444" s="3">
        <v>4438</v>
      </c>
      <c r="AL4444" s="163">
        <v>4.4416453042911002</v>
      </c>
    </row>
    <row r="4445" spans="37:38" s="4" customFormat="1">
      <c r="AK4445" s="3">
        <v>4439</v>
      </c>
      <c r="AL4445" s="163">
        <v>4.4425980401098677</v>
      </c>
    </row>
    <row r="4446" spans="37:38" s="4" customFormat="1">
      <c r="AK4446" s="3">
        <v>4440</v>
      </c>
      <c r="AL4446" s="163">
        <v>4.4435509172583831</v>
      </c>
    </row>
    <row r="4447" spans="37:38" s="4" customFormat="1">
      <c r="AK4447" s="3">
        <v>4441</v>
      </c>
      <c r="AL4447" s="163">
        <v>4.444503935534188</v>
      </c>
    </row>
    <row r="4448" spans="37:38" s="4" customFormat="1">
      <c r="AK4448" s="3">
        <v>4442</v>
      </c>
      <c r="AL4448" s="163">
        <v>4.4454570947347261</v>
      </c>
    </row>
    <row r="4449" spans="37:38" s="4" customFormat="1">
      <c r="AK4449" s="3">
        <v>4443</v>
      </c>
      <c r="AL4449" s="163">
        <v>4.4464103946573319</v>
      </c>
    </row>
    <row r="4450" spans="37:38" s="4" customFormat="1">
      <c r="AK4450" s="3">
        <v>4444</v>
      </c>
      <c r="AL4450" s="163">
        <v>4.4473638350992069</v>
      </c>
    </row>
    <row r="4451" spans="37:38" s="4" customFormat="1">
      <c r="AK4451" s="3">
        <v>4445</v>
      </c>
      <c r="AL4451" s="163">
        <v>4.4483174158574528</v>
      </c>
    </row>
    <row r="4452" spans="37:38" s="4" customFormat="1">
      <c r="AK4452" s="3">
        <v>4446</v>
      </c>
      <c r="AL4452" s="163">
        <v>4.4492711367290756</v>
      </c>
    </row>
    <row r="4453" spans="37:38" s="4" customFormat="1">
      <c r="AK4453" s="3">
        <v>4447</v>
      </c>
      <c r="AL4453" s="163">
        <v>4.4502249975109329</v>
      </c>
    </row>
    <row r="4454" spans="37:38" s="4" customFormat="1">
      <c r="AK4454" s="3">
        <v>4448</v>
      </c>
      <c r="AL4454" s="163">
        <v>4.4511789979998042</v>
      </c>
    </row>
    <row r="4455" spans="37:38" s="4" customFormat="1">
      <c r="AK4455" s="3">
        <v>4449</v>
      </c>
      <c r="AL4455" s="163">
        <v>4.4521331379923375</v>
      </c>
    </row>
    <row r="4456" spans="37:38" s="4" customFormat="1">
      <c r="AK4456" s="3">
        <v>4450</v>
      </c>
      <c r="AL4456" s="163">
        <v>4.4530874172850847</v>
      </c>
    </row>
    <row r="4457" spans="37:38" s="4" customFormat="1">
      <c r="AK4457" s="3">
        <v>4451</v>
      </c>
      <c r="AL4457" s="163">
        <v>4.4540418356744693</v>
      </c>
    </row>
    <row r="4458" spans="37:38" s="4" customFormat="1">
      <c r="AK4458" s="3">
        <v>4452</v>
      </c>
      <c r="AL4458" s="163">
        <v>4.4549963929568168</v>
      </c>
    </row>
    <row r="4459" spans="37:38" s="4" customFormat="1">
      <c r="AK4459" s="3">
        <v>4453</v>
      </c>
      <c r="AL4459" s="163">
        <v>4.4559510889283294</v>
      </c>
    </row>
    <row r="4460" spans="37:38" s="4" customFormat="1">
      <c r="AK4460" s="3">
        <v>4454</v>
      </c>
      <c r="AL4460" s="163">
        <v>4.4569059233851123</v>
      </c>
    </row>
    <row r="4461" spans="37:38" s="4" customFormat="1">
      <c r="AK4461" s="3">
        <v>4455</v>
      </c>
      <c r="AL4461" s="163">
        <v>4.4578608961231527</v>
      </c>
    </row>
    <row r="4462" spans="37:38" s="4" customFormat="1">
      <c r="AK4462" s="3">
        <v>4456</v>
      </c>
      <c r="AL4462" s="163">
        <v>4.4588160069383349</v>
      </c>
    </row>
    <row r="4463" spans="37:38" s="4" customFormat="1">
      <c r="AK4463" s="3">
        <v>4457</v>
      </c>
      <c r="AL4463" s="163">
        <v>4.4597712556264213</v>
      </c>
    </row>
    <row r="4464" spans="37:38" s="4" customFormat="1">
      <c r="AK4464" s="3">
        <v>4458</v>
      </c>
      <c r="AL4464" s="163">
        <v>4.460726641983074</v>
      </c>
    </row>
    <row r="4465" spans="37:38" s="4" customFormat="1">
      <c r="AK4465" s="3">
        <v>4459</v>
      </c>
      <c r="AL4465" s="163">
        <v>4.4616821658038353</v>
      </c>
    </row>
    <row r="4466" spans="37:38" s="4" customFormat="1">
      <c r="AK4466" s="3">
        <v>4460</v>
      </c>
      <c r="AL4466" s="163">
        <v>4.4626378268841584</v>
      </c>
    </row>
    <row r="4467" spans="37:38" s="4" customFormat="1">
      <c r="AK4467" s="3">
        <v>4461</v>
      </c>
      <c r="AL4467" s="163">
        <v>4.4635936250193495</v>
      </c>
    </row>
    <row r="4468" spans="37:38" s="4" customFormat="1">
      <c r="AK4468" s="3">
        <v>4462</v>
      </c>
      <c r="AL4468" s="163">
        <v>4.464549560004647</v>
      </c>
    </row>
    <row r="4469" spans="37:38" s="4" customFormat="1">
      <c r="AK4469" s="3">
        <v>4463</v>
      </c>
      <c r="AL4469" s="163">
        <v>4.4655056316351658</v>
      </c>
    </row>
    <row r="4470" spans="37:38" s="4" customFormat="1">
      <c r="AK4470" s="3">
        <v>4464</v>
      </c>
      <c r="AL4470" s="163">
        <v>4.4664618397058939</v>
      </c>
    </row>
    <row r="4471" spans="37:38" s="4" customFormat="1">
      <c r="AK4471" s="3">
        <v>4465</v>
      </c>
      <c r="AL4471" s="163">
        <v>4.467418184011744</v>
      </c>
    </row>
    <row r="4472" spans="37:38" s="4" customFormat="1">
      <c r="AK4472" s="3">
        <v>4466</v>
      </c>
      <c r="AL4472" s="163">
        <v>4.4683746643474755</v>
      </c>
    </row>
    <row r="4473" spans="37:38" s="4" customFormat="1">
      <c r="AK4473" s="3">
        <v>4467</v>
      </c>
      <c r="AL4473" s="163">
        <v>4.4693312805077969</v>
      </c>
    </row>
    <row r="4474" spans="37:38" s="4" customFormat="1">
      <c r="AK4474" s="3">
        <v>4468</v>
      </c>
      <c r="AL4474" s="163">
        <v>4.4702880322872538</v>
      </c>
    </row>
    <row r="4475" spans="37:38" s="4" customFormat="1">
      <c r="AK4475" s="3">
        <v>4469</v>
      </c>
      <c r="AL4475" s="163">
        <v>4.4712449194803252</v>
      </c>
    </row>
    <row r="4476" spans="37:38" s="4" customFormat="1">
      <c r="AK4476" s="3">
        <v>4470</v>
      </c>
      <c r="AL4476" s="163">
        <v>4.4722019418813392</v>
      </c>
    </row>
    <row r="4477" spans="37:38" s="4" customFormat="1">
      <c r="AK4477" s="3">
        <v>4471</v>
      </c>
      <c r="AL4477" s="163">
        <v>4.4731590992845707</v>
      </c>
    </row>
    <row r="4478" spans="37:38" s="4" customFormat="1">
      <c r="AK4478" s="3">
        <v>4472</v>
      </c>
      <c r="AL4478" s="163">
        <v>4.4741163914841344</v>
      </c>
    </row>
    <row r="4479" spans="37:38" s="4" customFormat="1">
      <c r="AK4479" s="3">
        <v>4473</v>
      </c>
      <c r="AL4479" s="163">
        <v>4.475073818274085</v>
      </c>
    </row>
    <row r="4480" spans="37:38" s="4" customFormat="1">
      <c r="AK4480" s="3">
        <v>4474</v>
      </c>
      <c r="AL4480" s="163">
        <v>4.4760313794483313</v>
      </c>
    </row>
    <row r="4481" spans="37:38" s="4" customFormat="1">
      <c r="AK4481" s="3">
        <v>4475</v>
      </c>
      <c r="AL4481" s="163">
        <v>4.4769890748006897</v>
      </c>
    </row>
    <row r="4482" spans="37:38" s="4" customFormat="1">
      <c r="AK4482" s="3">
        <v>4476</v>
      </c>
      <c r="AL4482" s="163">
        <v>4.4779469041248863</v>
      </c>
    </row>
    <row r="4483" spans="37:38" s="4" customFormat="1">
      <c r="AK4483" s="3">
        <v>4477</v>
      </c>
      <c r="AL4483" s="163">
        <v>4.4789048672145109</v>
      </c>
    </row>
    <row r="4484" spans="37:38" s="4" customFormat="1">
      <c r="AK4484" s="3">
        <v>4478</v>
      </c>
      <c r="AL4484" s="163">
        <v>4.4798629638630718</v>
      </c>
    </row>
    <row r="4485" spans="37:38" s="4" customFormat="1">
      <c r="AK4485" s="3">
        <v>4479</v>
      </c>
      <c r="AL4485" s="163">
        <v>4.4808211938639566</v>
      </c>
    </row>
    <row r="4486" spans="37:38" s="4" customFormat="1">
      <c r="AK4486" s="3">
        <v>4480</v>
      </c>
      <c r="AL4486" s="163">
        <v>4.4817795570104435</v>
      </c>
    </row>
    <row r="4487" spans="37:38" s="4" customFormat="1">
      <c r="AK4487" s="3">
        <v>4481</v>
      </c>
      <c r="AL4487" s="163">
        <v>4.482738053095737</v>
      </c>
    </row>
    <row r="4488" spans="37:38" s="4" customFormat="1">
      <c r="AK4488" s="3">
        <v>4482</v>
      </c>
      <c r="AL4488" s="163">
        <v>4.4836966819128907</v>
      </c>
    </row>
    <row r="4489" spans="37:38" s="4" customFormat="1">
      <c r="AK4489" s="3">
        <v>4483</v>
      </c>
      <c r="AL4489" s="163">
        <v>4.4846554432548809</v>
      </c>
    </row>
    <row r="4490" spans="37:38" s="4" customFormat="1">
      <c r="AK4490" s="3">
        <v>4484</v>
      </c>
      <c r="AL4490" s="163">
        <v>4.4856143369145691</v>
      </c>
    </row>
    <row r="4491" spans="37:38" s="4" customFormat="1">
      <c r="AK4491" s="3">
        <v>4485</v>
      </c>
      <c r="AL4491" s="163">
        <v>4.4865733626847231</v>
      </c>
    </row>
    <row r="4492" spans="37:38" s="4" customFormat="1">
      <c r="AK4492" s="3">
        <v>4486</v>
      </c>
      <c r="AL4492" s="163">
        <v>4.4875325203579877</v>
      </c>
    </row>
    <row r="4493" spans="37:38" s="4" customFormat="1">
      <c r="AK4493" s="3">
        <v>4487</v>
      </c>
      <c r="AL4493" s="163">
        <v>4.4884918097269288</v>
      </c>
    </row>
    <row r="4494" spans="37:38" s="4" customFormat="1">
      <c r="AK4494" s="3">
        <v>4488</v>
      </c>
      <c r="AL4494" s="163">
        <v>4.4894512305839704</v>
      </c>
    </row>
    <row r="4495" spans="37:38" s="4" customFormat="1">
      <c r="AK4495" s="3">
        <v>4489</v>
      </c>
      <c r="AL4495" s="163">
        <v>4.4904107827214741</v>
      </c>
    </row>
    <row r="4496" spans="37:38" s="4" customFormat="1">
      <c r="AK4496" s="3">
        <v>4490</v>
      </c>
      <c r="AL4496" s="163">
        <v>4.4913704659316744</v>
      </c>
    </row>
    <row r="4497" spans="37:38" s="4" customFormat="1">
      <c r="AK4497" s="3">
        <v>4491</v>
      </c>
      <c r="AL4497" s="163">
        <v>4.4923302800066942</v>
      </c>
    </row>
    <row r="4498" spans="37:38" s="4" customFormat="1">
      <c r="AK4498" s="3">
        <v>4492</v>
      </c>
      <c r="AL4498" s="163">
        <v>4.4932902247385744</v>
      </c>
    </row>
    <row r="4499" spans="37:38" s="4" customFormat="1">
      <c r="AK4499" s="3">
        <v>4493</v>
      </c>
      <c r="AL4499" s="163">
        <v>4.4942502999192335</v>
      </c>
    </row>
    <row r="4500" spans="37:38" s="4" customFormat="1">
      <c r="AK4500" s="3">
        <v>4494</v>
      </c>
      <c r="AL4500" s="163">
        <v>4.4952105053405047</v>
      </c>
    </row>
    <row r="4501" spans="37:38" s="4" customFormat="1">
      <c r="AK4501" s="3">
        <v>4495</v>
      </c>
      <c r="AL4501" s="163">
        <v>4.4961708407940932</v>
      </c>
    </row>
    <row r="4502" spans="37:38" s="4" customFormat="1">
      <c r="AK4502" s="3">
        <v>4496</v>
      </c>
      <c r="AL4502" s="163">
        <v>4.497131306071628</v>
      </c>
    </row>
    <row r="4503" spans="37:38" s="4" customFormat="1">
      <c r="AK4503" s="3">
        <v>4497</v>
      </c>
      <c r="AL4503" s="163">
        <v>4.498091900964627</v>
      </c>
    </row>
    <row r="4504" spans="37:38" s="4" customFormat="1">
      <c r="AK4504" s="3">
        <v>4498</v>
      </c>
      <c r="AL4504" s="163">
        <v>4.4990526252644916</v>
      </c>
    </row>
    <row r="4505" spans="37:38" s="4" customFormat="1">
      <c r="AK4505" s="3">
        <v>4499</v>
      </c>
      <c r="AL4505" s="163">
        <v>4.5000134787625381</v>
      </c>
    </row>
    <row r="4506" spans="37:38" s="4" customFormat="1">
      <c r="AK4506" s="3">
        <v>4500</v>
      </c>
      <c r="AL4506" s="163">
        <v>4.5009744612499691</v>
      </c>
    </row>
    <row r="4507" spans="37:38" s="4" customFormat="1">
      <c r="AK4507" s="3">
        <v>4501</v>
      </c>
      <c r="AL4507" s="163">
        <v>4.5019355725178851</v>
      </c>
    </row>
    <row r="4508" spans="37:38" s="4" customFormat="1">
      <c r="AK4508" s="3">
        <v>4502</v>
      </c>
      <c r="AL4508" s="163">
        <v>4.5028968123573039</v>
      </c>
    </row>
    <row r="4509" spans="37:38" s="4" customFormat="1">
      <c r="AK4509" s="3">
        <v>4503</v>
      </c>
      <c r="AL4509" s="163">
        <v>4.5038581805591118</v>
      </c>
    </row>
    <row r="4510" spans="37:38" s="4" customFormat="1">
      <c r="AK4510" s="3">
        <v>4504</v>
      </c>
      <c r="AL4510" s="163">
        <v>4.5048196769141278</v>
      </c>
    </row>
    <row r="4511" spans="37:38" s="4" customFormat="1">
      <c r="AK4511" s="3">
        <v>4505</v>
      </c>
      <c r="AL4511" s="163">
        <v>4.5057813012130232</v>
      </c>
    </row>
    <row r="4512" spans="37:38" s="4" customFormat="1">
      <c r="AK4512" s="3">
        <v>4506</v>
      </c>
      <c r="AL4512" s="163">
        <v>4.506743053246419</v>
      </c>
    </row>
    <row r="4513" spans="37:38" s="4" customFormat="1">
      <c r="AK4513" s="3">
        <v>4507</v>
      </c>
      <c r="AL4513" s="163">
        <v>4.5077049328048107</v>
      </c>
    </row>
    <row r="4514" spans="37:38" s="4" customFormat="1">
      <c r="AK4514" s="3">
        <v>4508</v>
      </c>
      <c r="AL4514" s="163">
        <v>4.5086669396785863</v>
      </c>
    </row>
    <row r="4515" spans="37:38" s="4" customFormat="1">
      <c r="AK4515" s="3">
        <v>4509</v>
      </c>
      <c r="AL4515" s="163">
        <v>4.5096290736580418</v>
      </c>
    </row>
    <row r="4516" spans="37:38" s="4" customFormat="1">
      <c r="AK4516" s="3">
        <v>4510</v>
      </c>
      <c r="AL4516" s="163">
        <v>4.5105913345333786</v>
      </c>
    </row>
    <row r="4517" spans="37:38" s="4" customFormat="1">
      <c r="AK4517" s="3">
        <v>4511</v>
      </c>
      <c r="AL4517" s="163">
        <v>4.5115537220946766</v>
      </c>
    </row>
    <row r="4518" spans="37:38" s="4" customFormat="1">
      <c r="AK4518" s="3">
        <v>4512</v>
      </c>
      <c r="AL4518" s="163">
        <v>4.5125162361319475</v>
      </c>
    </row>
    <row r="4519" spans="37:38" s="4" customFormat="1">
      <c r="AK4519" s="3">
        <v>4513</v>
      </c>
      <c r="AL4519" s="163">
        <v>4.5134788764350811</v>
      </c>
    </row>
    <row r="4520" spans="37:38" s="4" customFormat="1">
      <c r="AK4520" s="3">
        <v>4514</v>
      </c>
      <c r="AL4520" s="163">
        <v>4.5144416427938721</v>
      </c>
    </row>
    <row r="4521" spans="37:38" s="4" customFormat="1">
      <c r="AK4521" s="3">
        <v>4515</v>
      </c>
      <c r="AL4521" s="163">
        <v>4.5154045349980105</v>
      </c>
    </row>
    <row r="4522" spans="37:38" s="4" customFormat="1">
      <c r="AK4522" s="3">
        <v>4516</v>
      </c>
      <c r="AL4522" s="163">
        <v>4.5163675528371066</v>
      </c>
    </row>
    <row r="4523" spans="37:38" s="4" customFormat="1">
      <c r="AK4523" s="3">
        <v>4517</v>
      </c>
      <c r="AL4523" s="163">
        <v>4.5173306961006396</v>
      </c>
    </row>
    <row r="4524" spans="37:38" s="4" customFormat="1">
      <c r="AK4524" s="3">
        <v>4518</v>
      </c>
      <c r="AL4524" s="163">
        <v>4.5182939645780236</v>
      </c>
    </row>
    <row r="4525" spans="37:38" s="4" customFormat="1">
      <c r="AK4525" s="3">
        <v>4519</v>
      </c>
      <c r="AL4525" s="163">
        <v>4.5192573580585513</v>
      </c>
    </row>
    <row r="4526" spans="37:38" s="4" customFormat="1">
      <c r="AK4526" s="3">
        <v>4520</v>
      </c>
      <c r="AL4526" s="163">
        <v>4.5202208763314333</v>
      </c>
    </row>
    <row r="4527" spans="37:38" s="4" customFormat="1">
      <c r="AK4527" s="3">
        <v>4521</v>
      </c>
      <c r="AL4527" s="163">
        <v>4.5211845191857574</v>
      </c>
    </row>
    <row r="4528" spans="37:38" s="4" customFormat="1">
      <c r="AK4528" s="3">
        <v>4522</v>
      </c>
      <c r="AL4528" s="163">
        <v>4.522148286410534</v>
      </c>
    </row>
    <row r="4529" spans="37:38" s="4" customFormat="1">
      <c r="AK4529" s="3">
        <v>4523</v>
      </c>
      <c r="AL4529" s="163">
        <v>4.5231121777946797</v>
      </c>
    </row>
    <row r="4530" spans="37:38" s="4" customFormat="1">
      <c r="AK4530" s="3">
        <v>4524</v>
      </c>
      <c r="AL4530" s="163">
        <v>4.5240761931269944</v>
      </c>
    </row>
    <row r="4531" spans="37:38" s="4" customFormat="1">
      <c r="AK4531" s="3">
        <v>4525</v>
      </c>
      <c r="AL4531" s="163">
        <v>4.5250403321961894</v>
      </c>
    </row>
    <row r="4532" spans="37:38" s="4" customFormat="1">
      <c r="AK4532" s="3">
        <v>4526</v>
      </c>
      <c r="AL4532" s="163">
        <v>4.5260045947908747</v>
      </c>
    </row>
    <row r="4533" spans="37:38" s="4" customFormat="1">
      <c r="AK4533" s="3">
        <v>4527</v>
      </c>
      <c r="AL4533" s="163">
        <v>4.5269689806995785</v>
      </c>
    </row>
    <row r="4534" spans="37:38" s="4" customFormat="1">
      <c r="AK4534" s="3">
        <v>4528</v>
      </c>
      <c r="AL4534" s="163">
        <v>4.527933489710712</v>
      </c>
    </row>
    <row r="4535" spans="37:38" s="4" customFormat="1">
      <c r="AK4535" s="3">
        <v>4529</v>
      </c>
      <c r="AL4535" s="163">
        <v>4.528898121612599</v>
      </c>
    </row>
    <row r="4536" spans="37:38" s="4" customFormat="1">
      <c r="AK4536" s="3">
        <v>4530</v>
      </c>
      <c r="AL4536" s="163">
        <v>4.5298628761934658</v>
      </c>
    </row>
    <row r="4537" spans="37:38" s="4" customFormat="1">
      <c r="AK4537" s="3">
        <v>4531</v>
      </c>
      <c r="AL4537" s="163">
        <v>4.5308277532414429</v>
      </c>
    </row>
    <row r="4538" spans="37:38" s="4" customFormat="1">
      <c r="AK4538" s="3">
        <v>4532</v>
      </c>
      <c r="AL4538" s="163">
        <v>4.53179275254457</v>
      </c>
    </row>
    <row r="4539" spans="37:38" s="4" customFormat="1">
      <c r="AK4539" s="3">
        <v>4533</v>
      </c>
      <c r="AL4539" s="163">
        <v>4.5327578738907714</v>
      </c>
    </row>
    <row r="4540" spans="37:38" s="4" customFormat="1">
      <c r="AK4540" s="3">
        <v>4534</v>
      </c>
      <c r="AL4540" s="163">
        <v>4.5337231170678969</v>
      </c>
    </row>
    <row r="4541" spans="37:38" s="4" customFormat="1">
      <c r="AK4541" s="3">
        <v>4535</v>
      </c>
      <c r="AL4541" s="163">
        <v>4.5346884818636841</v>
      </c>
    </row>
    <row r="4542" spans="37:38" s="4" customFormat="1">
      <c r="AK4542" s="3">
        <v>4536</v>
      </c>
      <c r="AL4542" s="163">
        <v>4.535653968065783</v>
      </c>
    </row>
    <row r="4543" spans="37:38" s="4" customFormat="1">
      <c r="AK4543" s="3">
        <v>4537</v>
      </c>
      <c r="AL4543" s="163">
        <v>4.5366195754617618</v>
      </c>
    </row>
    <row r="4544" spans="37:38" s="4" customFormat="1">
      <c r="AK4544" s="3">
        <v>4538</v>
      </c>
      <c r="AL4544" s="163">
        <v>4.5375853038390588</v>
      </c>
    </row>
    <row r="4545" spans="37:38" s="4" customFormat="1">
      <c r="AK4545" s="3">
        <v>4539</v>
      </c>
      <c r="AL4545" s="163">
        <v>4.5385511529850495</v>
      </c>
    </row>
    <row r="4546" spans="37:38" s="4" customFormat="1">
      <c r="AK4546" s="3">
        <v>4540</v>
      </c>
      <c r="AL4546" s="163">
        <v>4.5395171226870055</v>
      </c>
    </row>
    <row r="4547" spans="37:38" s="4" customFormat="1">
      <c r="AK4547" s="3">
        <v>4541</v>
      </c>
      <c r="AL4547" s="163">
        <v>4.5404832127320969</v>
      </c>
    </row>
    <row r="4548" spans="37:38" s="4" customFormat="1">
      <c r="AK4548" s="3">
        <v>4542</v>
      </c>
      <c r="AL4548" s="163">
        <v>4.5414494229073981</v>
      </c>
    </row>
    <row r="4549" spans="37:38" s="4" customFormat="1">
      <c r="AK4549" s="3">
        <v>4543</v>
      </c>
      <c r="AL4549" s="163">
        <v>4.5424157529999123</v>
      </c>
    </row>
    <row r="4550" spans="37:38" s="4" customFormat="1">
      <c r="AK4550" s="3">
        <v>4544</v>
      </c>
      <c r="AL4550" s="163">
        <v>4.5433822027965025</v>
      </c>
    </row>
    <row r="4551" spans="37:38" s="4" customFormat="1">
      <c r="AK4551" s="3">
        <v>4545</v>
      </c>
      <c r="AL4551" s="163">
        <v>4.5443487720839872</v>
      </c>
    </row>
    <row r="4552" spans="37:38" s="4" customFormat="1">
      <c r="AK4552" s="3">
        <v>4546</v>
      </c>
      <c r="AL4552" s="163">
        <v>4.5453154606490589</v>
      </c>
    </row>
    <row r="4553" spans="37:38" s="4" customFormat="1">
      <c r="AK4553" s="3">
        <v>4547</v>
      </c>
      <c r="AL4553" s="163">
        <v>4.5462822682783397</v>
      </c>
    </row>
    <row r="4554" spans="37:38" s="4" customFormat="1">
      <c r="AK4554" s="3">
        <v>4548</v>
      </c>
      <c r="AL4554" s="163">
        <v>4.5472491947583444</v>
      </c>
    </row>
    <row r="4555" spans="37:38" s="4" customFormat="1">
      <c r="AK4555" s="3">
        <v>4549</v>
      </c>
      <c r="AL4555" s="163">
        <v>4.5482162398754813</v>
      </c>
    </row>
    <row r="4556" spans="37:38" s="4" customFormat="1">
      <c r="AK4556" s="3">
        <v>4550</v>
      </c>
      <c r="AL4556" s="163">
        <v>4.5491834034160901</v>
      </c>
    </row>
    <row r="4557" spans="37:38" s="4" customFormat="1">
      <c r="AK4557" s="3">
        <v>4551</v>
      </c>
      <c r="AL4557" s="163">
        <v>4.5501506851664102</v>
      </c>
    </row>
    <row r="4558" spans="37:38" s="4" customFormat="1">
      <c r="AK4558" s="3">
        <v>4552</v>
      </c>
      <c r="AL4558" s="163">
        <v>4.5511180849125878</v>
      </c>
    </row>
    <row r="4559" spans="37:38" s="4" customFormat="1">
      <c r="AK4559" s="3">
        <v>4553</v>
      </c>
      <c r="AL4559" s="163">
        <v>4.5520856024406662</v>
      </c>
    </row>
    <row r="4560" spans="37:38" s="4" customFormat="1">
      <c r="AK4560" s="3">
        <v>4554</v>
      </c>
      <c r="AL4560" s="163">
        <v>4.553053237536612</v>
      </c>
    </row>
    <row r="4561" spans="37:38" s="4" customFormat="1">
      <c r="AK4561" s="3">
        <v>4555</v>
      </c>
      <c r="AL4561" s="163">
        <v>4.5540209899862942</v>
      </c>
    </row>
    <row r="4562" spans="37:38" s="4" customFormat="1">
      <c r="AK4562" s="3">
        <v>4556</v>
      </c>
      <c r="AL4562" s="163">
        <v>4.5549888595754915</v>
      </c>
    </row>
    <row r="4563" spans="37:38" s="4" customFormat="1">
      <c r="AK4563" s="3">
        <v>4557</v>
      </c>
      <c r="AL4563" s="163">
        <v>4.5559568460898712</v>
      </c>
    </row>
    <row r="4564" spans="37:38" s="4" customFormat="1">
      <c r="AK4564" s="3">
        <v>4558</v>
      </c>
      <c r="AL4564" s="163">
        <v>4.5569249493150474</v>
      </c>
    </row>
    <row r="4565" spans="37:38" s="4" customFormat="1">
      <c r="AK4565" s="3">
        <v>4559</v>
      </c>
      <c r="AL4565" s="163">
        <v>4.5578931690365039</v>
      </c>
    </row>
    <row r="4566" spans="37:38" s="4" customFormat="1">
      <c r="AK4566" s="3">
        <v>4560</v>
      </c>
      <c r="AL4566" s="163">
        <v>4.5588615050396477</v>
      </c>
    </row>
    <row r="4567" spans="37:38" s="4" customFormat="1">
      <c r="AK4567" s="3">
        <v>4561</v>
      </c>
      <c r="AL4567" s="163">
        <v>4.5598299571098337</v>
      </c>
    </row>
    <row r="4568" spans="37:38" s="4" customFormat="1">
      <c r="AK4568" s="3">
        <v>4562</v>
      </c>
      <c r="AL4568" s="163">
        <v>4.5607985250322418</v>
      </c>
    </row>
    <row r="4569" spans="37:38" s="4" customFormat="1">
      <c r="AK4569" s="3">
        <v>4563</v>
      </c>
      <c r="AL4569" s="163">
        <v>4.5617672085920349</v>
      </c>
    </row>
    <row r="4570" spans="37:38" s="4" customFormat="1">
      <c r="AK4570" s="3">
        <v>4564</v>
      </c>
      <c r="AL4570" s="163">
        <v>4.5627360075742587</v>
      </c>
    </row>
    <row r="4571" spans="37:38" s="4" customFormat="1">
      <c r="AK4571" s="3">
        <v>4565</v>
      </c>
      <c r="AL4571" s="163">
        <v>4.5637049217638719</v>
      </c>
    </row>
    <row r="4572" spans="37:38" s="4" customFormat="1">
      <c r="AK4572" s="3">
        <v>4566</v>
      </c>
      <c r="AL4572" s="163">
        <v>4.5646739509457372</v>
      </c>
    </row>
    <row r="4573" spans="37:38" s="4" customFormat="1">
      <c r="AK4573" s="3">
        <v>4567</v>
      </c>
      <c r="AL4573" s="163">
        <v>4.5656430949046225</v>
      </c>
    </row>
    <row r="4574" spans="37:38" s="4" customFormat="1">
      <c r="AK4574" s="3">
        <v>4568</v>
      </c>
      <c r="AL4574" s="163">
        <v>4.5666123534252261</v>
      </c>
    </row>
    <row r="4575" spans="37:38" s="4" customFormat="1">
      <c r="AK4575" s="3">
        <v>4569</v>
      </c>
      <c r="AL4575" s="163">
        <v>4.5675817262921381</v>
      </c>
    </row>
    <row r="4576" spans="37:38" s="4" customFormat="1">
      <c r="AK4576" s="3">
        <v>4570</v>
      </c>
      <c r="AL4576" s="163">
        <v>4.5685512132898776</v>
      </c>
    </row>
    <row r="4577" spans="37:38" s="4" customFormat="1">
      <c r="AK4577" s="3">
        <v>4571</v>
      </c>
      <c r="AL4577" s="163">
        <v>4.5695208142028463</v>
      </c>
    </row>
    <row r="4578" spans="37:38" s="4" customFormat="1">
      <c r="AK4578" s="3">
        <v>4572</v>
      </c>
      <c r="AL4578" s="163">
        <v>4.5704905288153874</v>
      </c>
    </row>
    <row r="4579" spans="37:38" s="4" customFormat="1">
      <c r="AK4579" s="3">
        <v>4573</v>
      </c>
      <c r="AL4579" s="163">
        <v>4.5714603569117429</v>
      </c>
    </row>
    <row r="4580" spans="37:38" s="4" customFormat="1">
      <c r="AK4580" s="3">
        <v>4574</v>
      </c>
      <c r="AL4580" s="163">
        <v>4.5724302982760534</v>
      </c>
    </row>
    <row r="4581" spans="37:38" s="4" customFormat="1">
      <c r="AK4581" s="3">
        <v>4575</v>
      </c>
      <c r="AL4581" s="163">
        <v>4.5734003526923965</v>
      </c>
    </row>
    <row r="4582" spans="37:38" s="4" customFormat="1">
      <c r="AK4582" s="3">
        <v>4576</v>
      </c>
      <c r="AL4582" s="163">
        <v>4.5743705199447309</v>
      </c>
    </row>
    <row r="4583" spans="37:38" s="4" customFormat="1">
      <c r="AK4583" s="3">
        <v>4577</v>
      </c>
      <c r="AL4583" s="163">
        <v>4.5753407998169617</v>
      </c>
    </row>
    <row r="4584" spans="37:38" s="4" customFormat="1">
      <c r="AK4584" s="3">
        <v>4578</v>
      </c>
      <c r="AL4584" s="163">
        <v>4.5763111920928701</v>
      </c>
    </row>
    <row r="4585" spans="37:38" s="4" customFormat="1">
      <c r="AK4585" s="3">
        <v>4579</v>
      </c>
      <c r="AL4585" s="163">
        <v>4.5772816965561951</v>
      </c>
    </row>
    <row r="4586" spans="37:38" s="4" customFormat="1">
      <c r="AK4586" s="3">
        <v>4580</v>
      </c>
      <c r="AL4586" s="163">
        <v>4.5782523129905321</v>
      </c>
    </row>
    <row r="4587" spans="37:38" s="4" customFormat="1">
      <c r="AK4587" s="3">
        <v>4581</v>
      </c>
      <c r="AL4587" s="163">
        <v>4.5792230411794241</v>
      </c>
    </row>
    <row r="4588" spans="37:38" s="4" customFormat="1">
      <c r="AK4588" s="3">
        <v>4582</v>
      </c>
      <c r="AL4588" s="163">
        <v>4.5801938809063412</v>
      </c>
    </row>
    <row r="4589" spans="37:38" s="4" customFormat="1">
      <c r="AK4589" s="3">
        <v>4583</v>
      </c>
      <c r="AL4589" s="163">
        <v>4.5811648319546192</v>
      </c>
    </row>
    <row r="4590" spans="37:38" s="4" customFormat="1">
      <c r="AK4590" s="3">
        <v>4584</v>
      </c>
      <c r="AL4590" s="163">
        <v>4.5821358941075552</v>
      </c>
    </row>
    <row r="4591" spans="37:38" s="4" customFormat="1">
      <c r="AK4591" s="3">
        <v>4585</v>
      </c>
      <c r="AL4591" s="163">
        <v>4.5831070671483243</v>
      </c>
    </row>
    <row r="4592" spans="37:38" s="4" customFormat="1">
      <c r="AK4592" s="3">
        <v>4586</v>
      </c>
      <c r="AL4592" s="163">
        <v>4.5840783508600369</v>
      </c>
    </row>
    <row r="4593" spans="37:38" s="4" customFormat="1">
      <c r="AK4593" s="3">
        <v>4587</v>
      </c>
      <c r="AL4593" s="163">
        <v>4.5850497450257022</v>
      </c>
    </row>
    <row r="4594" spans="37:38" s="4" customFormat="1">
      <c r="AK4594" s="3">
        <v>4588</v>
      </c>
      <c r="AL4594" s="163">
        <v>4.5860212494282573</v>
      </c>
    </row>
    <row r="4595" spans="37:38" s="4" customFormat="1">
      <c r="AK4595" s="3">
        <v>4589</v>
      </c>
      <c r="AL4595" s="163">
        <v>4.5869928638505524</v>
      </c>
    </row>
    <row r="4596" spans="37:38" s="4" customFormat="1">
      <c r="AK4596" s="3">
        <v>4590</v>
      </c>
      <c r="AL4596" s="163">
        <v>4.5879645880753337</v>
      </c>
    </row>
    <row r="4597" spans="37:38" s="4" customFormat="1">
      <c r="AK4597" s="3">
        <v>4591</v>
      </c>
      <c r="AL4597" s="163">
        <v>4.5889364218852897</v>
      </c>
    </row>
    <row r="4598" spans="37:38" s="4" customFormat="1">
      <c r="AK4598" s="3">
        <v>4592</v>
      </c>
      <c r="AL4598" s="163">
        <v>4.5899083650629926</v>
      </c>
    </row>
    <row r="4599" spans="37:38" s="4" customFormat="1">
      <c r="AK4599" s="3">
        <v>4593</v>
      </c>
      <c r="AL4599" s="163">
        <v>4.5908804173909576</v>
      </c>
    </row>
    <row r="4600" spans="37:38" s="4" customFormat="1">
      <c r="AK4600" s="3">
        <v>4594</v>
      </c>
      <c r="AL4600" s="163">
        <v>4.5918525786515936</v>
      </c>
    </row>
    <row r="4601" spans="37:38" s="4" customFormat="1">
      <c r="AK4601" s="3">
        <v>4595</v>
      </c>
      <c r="AL4601" s="163">
        <v>4.5928248486272398</v>
      </c>
    </row>
    <row r="4602" spans="37:38" s="4" customFormat="1">
      <c r="AK4602" s="3">
        <v>4596</v>
      </c>
      <c r="AL4602" s="163">
        <v>4.5937972271001426</v>
      </c>
    </row>
    <row r="4603" spans="37:38" s="4" customFormat="1">
      <c r="AK4603" s="3">
        <v>4597</v>
      </c>
      <c r="AL4603" s="163">
        <v>4.5947697138524664</v>
      </c>
    </row>
    <row r="4604" spans="37:38" s="4" customFormat="1">
      <c r="AK4604" s="3">
        <v>4598</v>
      </c>
      <c r="AL4604" s="163">
        <v>4.5957423086662867</v>
      </c>
    </row>
    <row r="4605" spans="37:38" s="4" customFormat="1">
      <c r="AK4605" s="3">
        <v>4599</v>
      </c>
      <c r="AL4605" s="163">
        <v>4.5967150113236217</v>
      </c>
    </row>
    <row r="4606" spans="37:38" s="4" customFormat="1">
      <c r="AK4606" s="3">
        <v>4600</v>
      </c>
      <c r="AL4606" s="163">
        <v>4.5976878216063479</v>
      </c>
    </row>
    <row r="4607" spans="37:38" s="4" customFormat="1">
      <c r="AK4607" s="3">
        <v>4601</v>
      </c>
      <c r="AL4607" s="163">
        <v>4.5986607392963093</v>
      </c>
    </row>
    <row r="4608" spans="37:38" s="4" customFormat="1">
      <c r="AK4608" s="3">
        <v>4602</v>
      </c>
      <c r="AL4608" s="163">
        <v>4.5996337641752678</v>
      </c>
    </row>
    <row r="4609" spans="37:38" s="4" customFormat="1">
      <c r="AK4609" s="3">
        <v>4603</v>
      </c>
      <c r="AL4609" s="163">
        <v>4.6006068960248658</v>
      </c>
    </row>
    <row r="4610" spans="37:38" s="4" customFormat="1">
      <c r="AK4610" s="3">
        <v>4604</v>
      </c>
      <c r="AL4610" s="163">
        <v>4.6015801346266816</v>
      </c>
    </row>
    <row r="4611" spans="37:38" s="4" customFormat="1">
      <c r="AK4611" s="3">
        <v>4605</v>
      </c>
      <c r="AL4611" s="163">
        <v>4.6025534797622196</v>
      </c>
    </row>
    <row r="4612" spans="37:38" s="4" customFormat="1">
      <c r="AK4612" s="3">
        <v>4606</v>
      </c>
      <c r="AL4612" s="163">
        <v>4.6035269312128904</v>
      </c>
    </row>
    <row r="4613" spans="37:38" s="4" customFormat="1">
      <c r="AK4613" s="3">
        <v>4607</v>
      </c>
      <c r="AL4613" s="163">
        <v>4.6045004887600172</v>
      </c>
    </row>
    <row r="4614" spans="37:38" s="4" customFormat="1">
      <c r="AK4614" s="3">
        <v>4608</v>
      </c>
      <c r="AL4614" s="163">
        <v>4.6054741521848648</v>
      </c>
    </row>
    <row r="4615" spans="37:38" s="4" customFormat="1">
      <c r="AK4615" s="3">
        <v>4609</v>
      </c>
      <c r="AL4615" s="163">
        <v>4.6064479212685807</v>
      </c>
    </row>
    <row r="4616" spans="37:38" s="4" customFormat="1">
      <c r="AK4616" s="3">
        <v>4610</v>
      </c>
      <c r="AL4616" s="163">
        <v>4.607421795792253</v>
      </c>
    </row>
    <row r="4617" spans="37:38" s="4" customFormat="1">
      <c r="AK4617" s="3">
        <v>4611</v>
      </c>
      <c r="AL4617" s="163">
        <v>4.6083957755368807</v>
      </c>
    </row>
    <row r="4618" spans="37:38" s="4" customFormat="1">
      <c r="AK4618" s="3">
        <v>4612</v>
      </c>
      <c r="AL4618" s="163">
        <v>4.6093698602833983</v>
      </c>
    </row>
    <row r="4619" spans="37:38" s="4" customFormat="1">
      <c r="AK4619" s="3">
        <v>4613</v>
      </c>
      <c r="AL4619" s="163">
        <v>4.6103440498126247</v>
      </c>
    </row>
    <row r="4620" spans="37:38" s="4" customFormat="1">
      <c r="AK4620" s="3">
        <v>4614</v>
      </c>
      <c r="AL4620" s="163">
        <v>4.6113183439053227</v>
      </c>
    </row>
    <row r="4621" spans="37:38" s="4" customFormat="1">
      <c r="AK4621" s="3">
        <v>4615</v>
      </c>
      <c r="AL4621" s="163">
        <v>4.6122927423421869</v>
      </c>
    </row>
    <row r="4622" spans="37:38" s="4" customFormat="1">
      <c r="AK4622" s="3">
        <v>4616</v>
      </c>
      <c r="AL4622" s="163">
        <v>4.6132672449037901</v>
      </c>
    </row>
    <row r="4623" spans="37:38" s="4" customFormat="1">
      <c r="AK4623" s="3">
        <v>4617</v>
      </c>
      <c r="AL4623" s="163">
        <v>4.6142418513706627</v>
      </c>
    </row>
    <row r="4624" spans="37:38" s="4" customFormat="1">
      <c r="AK4624" s="3">
        <v>4618</v>
      </c>
      <c r="AL4624" s="163">
        <v>4.6152165615232281</v>
      </c>
    </row>
    <row r="4625" spans="37:38" s="4" customFormat="1">
      <c r="AK4625" s="3">
        <v>4619</v>
      </c>
      <c r="AL4625" s="163">
        <v>4.6161913751418364</v>
      </c>
    </row>
    <row r="4626" spans="37:38" s="4" customFormat="1">
      <c r="AK4626" s="3">
        <v>4620</v>
      </c>
      <c r="AL4626" s="163">
        <v>4.6171662920067789</v>
      </c>
    </row>
    <row r="4627" spans="37:38" s="4" customFormat="1">
      <c r="AK4627" s="3">
        <v>4621</v>
      </c>
      <c r="AL4627" s="163">
        <v>4.6181413118982215</v>
      </c>
    </row>
    <row r="4628" spans="37:38" s="4" customFormat="1">
      <c r="AK4628" s="3">
        <v>4622</v>
      </c>
      <c r="AL4628" s="163">
        <v>4.6191164345963056</v>
      </c>
    </row>
    <row r="4629" spans="37:38" s="4" customFormat="1">
      <c r="AK4629" s="3">
        <v>4623</v>
      </c>
      <c r="AL4629" s="163">
        <v>4.6200916598810515</v>
      </c>
    </row>
    <row r="4630" spans="37:38" s="4" customFormat="1">
      <c r="AK4630" s="3">
        <v>4624</v>
      </c>
      <c r="AL4630" s="163">
        <v>4.6210669875324086</v>
      </c>
    </row>
    <row r="4631" spans="37:38" s="4" customFormat="1">
      <c r="AK4631" s="3">
        <v>4625</v>
      </c>
      <c r="AL4631" s="163">
        <v>4.6220424173302641</v>
      </c>
    </row>
    <row r="4632" spans="37:38" s="4" customFormat="1">
      <c r="AK4632" s="3">
        <v>4626</v>
      </c>
      <c r="AL4632" s="163">
        <v>4.6230179490544021</v>
      </c>
    </row>
    <row r="4633" spans="37:38" s="4" customFormat="1">
      <c r="AK4633" s="3">
        <v>4627</v>
      </c>
      <c r="AL4633" s="163">
        <v>4.6239935824845544</v>
      </c>
    </row>
    <row r="4634" spans="37:38" s="4" customFormat="1">
      <c r="AK4634" s="3">
        <v>4628</v>
      </c>
      <c r="AL4634" s="163">
        <v>4.6249693174003443</v>
      </c>
    </row>
    <row r="4635" spans="37:38" s="4" customFormat="1">
      <c r="AK4635" s="3">
        <v>4629</v>
      </c>
      <c r="AL4635" s="163">
        <v>4.6259451535813358</v>
      </c>
    </row>
    <row r="4636" spans="37:38" s="4" customFormat="1">
      <c r="AK4636" s="3">
        <v>4630</v>
      </c>
      <c r="AL4636" s="163">
        <v>4.62692109080702</v>
      </c>
    </row>
    <row r="4637" spans="37:38" s="4" customFormat="1">
      <c r="AK4637" s="3">
        <v>4631</v>
      </c>
      <c r="AL4637" s="163">
        <v>4.6278971288567892</v>
      </c>
    </row>
    <row r="4638" spans="37:38" s="4" customFormat="1">
      <c r="AK4638" s="3">
        <v>4632</v>
      </c>
      <c r="AL4638" s="163">
        <v>4.6288732675099791</v>
      </c>
    </row>
    <row r="4639" spans="37:38" s="4" customFormat="1">
      <c r="AK4639" s="3">
        <v>4633</v>
      </c>
      <c r="AL4639" s="163">
        <v>4.6298495065458241</v>
      </c>
    </row>
    <row r="4640" spans="37:38" s="4" customFormat="1">
      <c r="AK4640" s="3">
        <v>4634</v>
      </c>
      <c r="AL4640" s="163">
        <v>4.6308258457435034</v>
      </c>
    </row>
    <row r="4641" spans="37:38" s="4" customFormat="1">
      <c r="AK4641" s="3">
        <v>4635</v>
      </c>
      <c r="AL4641" s="163">
        <v>4.6318022848821041</v>
      </c>
    </row>
    <row r="4642" spans="37:38" s="4" customFormat="1">
      <c r="AK4642" s="3">
        <v>4636</v>
      </c>
      <c r="AL4642" s="163">
        <v>4.6327788237406455</v>
      </c>
    </row>
    <row r="4643" spans="37:38" s="4" customFormat="1">
      <c r="AK4643" s="3">
        <v>4637</v>
      </c>
      <c r="AL4643" s="163">
        <v>4.633755462098069</v>
      </c>
    </row>
    <row r="4644" spans="37:38" s="4" customFormat="1">
      <c r="AK4644" s="3">
        <v>4638</v>
      </c>
      <c r="AL4644" s="163">
        <v>4.6347321997332269</v>
      </c>
    </row>
    <row r="4645" spans="37:38" s="4" customFormat="1">
      <c r="AK4645" s="3">
        <v>4639</v>
      </c>
      <c r="AL4645" s="163">
        <v>4.6357090364249061</v>
      </c>
    </row>
    <row r="4646" spans="37:38" s="4" customFormat="1">
      <c r="AK4646" s="3">
        <v>4640</v>
      </c>
      <c r="AL4646" s="163">
        <v>4.6366859719518274</v>
      </c>
    </row>
    <row r="4647" spans="37:38" s="4" customFormat="1">
      <c r="AK4647" s="3">
        <v>4641</v>
      </c>
      <c r="AL4647" s="163">
        <v>4.6376630060926018</v>
      </c>
    </row>
    <row r="4648" spans="37:38" s="4" customFormat="1">
      <c r="AK4648" s="3">
        <v>4642</v>
      </c>
      <c r="AL4648" s="163">
        <v>4.6386401386257949</v>
      </c>
    </row>
    <row r="4649" spans="37:38" s="4" customFormat="1">
      <c r="AK4649" s="3">
        <v>4643</v>
      </c>
      <c r="AL4649" s="163">
        <v>4.6396173693298941</v>
      </c>
    </row>
    <row r="4650" spans="37:38" s="4" customFormat="1">
      <c r="AK4650" s="3">
        <v>4644</v>
      </c>
      <c r="AL4650" s="163">
        <v>4.6405946979832811</v>
      </c>
    </row>
    <row r="4651" spans="37:38" s="4" customFormat="1">
      <c r="AK4651" s="3">
        <v>4645</v>
      </c>
      <c r="AL4651" s="163">
        <v>4.6415721243643064</v>
      </c>
    </row>
    <row r="4652" spans="37:38" s="4" customFormat="1">
      <c r="AK4652" s="3">
        <v>4646</v>
      </c>
      <c r="AL4652" s="163">
        <v>4.6425496482512036</v>
      </c>
    </row>
    <row r="4653" spans="37:38" s="4" customFormat="1">
      <c r="AK4653" s="3">
        <v>4647</v>
      </c>
      <c r="AL4653" s="163">
        <v>4.643527269422183</v>
      </c>
    </row>
    <row r="4654" spans="37:38" s="4" customFormat="1">
      <c r="AK4654" s="3">
        <v>4648</v>
      </c>
      <c r="AL4654" s="163">
        <v>4.6445049876553099</v>
      </c>
    </row>
    <row r="4655" spans="37:38" s="4" customFormat="1">
      <c r="AK4655" s="3">
        <v>4649</v>
      </c>
      <c r="AL4655" s="163">
        <v>4.6454828027286323</v>
      </c>
    </row>
    <row r="4656" spans="37:38" s="4" customFormat="1">
      <c r="AK4656" s="3">
        <v>4650</v>
      </c>
      <c r="AL4656" s="163">
        <v>4.6464607144201011</v>
      </c>
    </row>
    <row r="4657" spans="37:38" s="4" customFormat="1">
      <c r="AK4657" s="3">
        <v>4651</v>
      </c>
      <c r="AL4657" s="163">
        <v>4.6474387225075819</v>
      </c>
    </row>
    <row r="4658" spans="37:38" s="4" customFormat="1">
      <c r="AK4658" s="3">
        <v>4652</v>
      </c>
      <c r="AL4658" s="163">
        <v>4.6484168267688899</v>
      </c>
    </row>
    <row r="4659" spans="37:38" s="4" customFormat="1">
      <c r="AK4659" s="3">
        <v>4653</v>
      </c>
      <c r="AL4659" s="163">
        <v>4.6493950269817592</v>
      </c>
    </row>
    <row r="4660" spans="37:38" s="4" customFormat="1">
      <c r="AK4660" s="3">
        <v>4654</v>
      </c>
      <c r="AL4660" s="163">
        <v>4.650373322923838</v>
      </c>
    </row>
    <row r="4661" spans="37:38" s="4" customFormat="1">
      <c r="AK4661" s="3">
        <v>4655</v>
      </c>
      <c r="AL4661" s="163">
        <v>4.6513517143727086</v>
      </c>
    </row>
    <row r="4662" spans="37:38" s="4" customFormat="1">
      <c r="AK4662" s="3">
        <v>4656</v>
      </c>
      <c r="AL4662" s="163">
        <v>4.6523302011058805</v>
      </c>
    </row>
    <row r="4663" spans="37:38" s="4" customFormat="1">
      <c r="AK4663" s="3">
        <v>4657</v>
      </c>
      <c r="AL4663" s="163">
        <v>4.653308782900794</v>
      </c>
    </row>
    <row r="4664" spans="37:38" s="4" customFormat="1">
      <c r="AK4664" s="3">
        <v>4658</v>
      </c>
      <c r="AL4664" s="163">
        <v>4.6542874595348049</v>
      </c>
    </row>
    <row r="4665" spans="37:38" s="4" customFormat="1">
      <c r="AK4665" s="3">
        <v>4659</v>
      </c>
      <c r="AL4665" s="163">
        <v>4.6552662307852035</v>
      </c>
    </row>
    <row r="4666" spans="37:38" s="4" customFormat="1">
      <c r="AK4666" s="3">
        <v>4660</v>
      </c>
      <c r="AL4666" s="163">
        <v>4.6562450964292061</v>
      </c>
    </row>
    <row r="4667" spans="37:38" s="4" customFormat="1">
      <c r="AK4667" s="3">
        <v>4661</v>
      </c>
      <c r="AL4667" s="163">
        <v>4.65722405624396</v>
      </c>
    </row>
    <row r="4668" spans="37:38" s="4" customFormat="1">
      <c r="AK4668" s="3">
        <v>4662</v>
      </c>
      <c r="AL4668" s="163">
        <v>4.6582031100065251</v>
      </c>
    </row>
    <row r="4669" spans="37:38" s="4" customFormat="1">
      <c r="AK4669" s="3">
        <v>4663</v>
      </c>
      <c r="AL4669" s="163">
        <v>4.6591822574939155</v>
      </c>
    </row>
    <row r="4670" spans="37:38" s="4" customFormat="1">
      <c r="AK4670" s="3">
        <v>4664</v>
      </c>
      <c r="AL4670" s="163">
        <v>4.6601614984830526</v>
      </c>
    </row>
    <row r="4671" spans="37:38" s="4" customFormat="1">
      <c r="AK4671" s="3">
        <v>4665</v>
      </c>
      <c r="AL4671" s="163">
        <v>4.6611408327507853</v>
      </c>
    </row>
    <row r="4672" spans="37:38" s="4" customFormat="1">
      <c r="AK4672" s="3">
        <v>4666</v>
      </c>
      <c r="AL4672" s="163">
        <v>4.6621202600738911</v>
      </c>
    </row>
    <row r="4673" spans="37:38" s="4" customFormat="1">
      <c r="AK4673" s="3">
        <v>4667</v>
      </c>
      <c r="AL4673" s="163">
        <v>4.6630997802290963</v>
      </c>
    </row>
    <row r="4674" spans="37:38" s="4" customFormat="1">
      <c r="AK4674" s="3">
        <v>4668</v>
      </c>
      <c r="AL4674" s="163">
        <v>4.6640793929930338</v>
      </c>
    </row>
    <row r="4675" spans="37:38" s="4" customFormat="1">
      <c r="AK4675" s="3">
        <v>4669</v>
      </c>
      <c r="AL4675" s="163">
        <v>4.6650590981422857</v>
      </c>
    </row>
    <row r="4676" spans="37:38" s="4" customFormat="1">
      <c r="AK4676" s="3">
        <v>4670</v>
      </c>
      <c r="AL4676" s="163">
        <v>4.6660388954533172</v>
      </c>
    </row>
    <row r="4677" spans="37:38" s="4" customFormat="1">
      <c r="AK4677" s="3">
        <v>4671</v>
      </c>
      <c r="AL4677" s="163">
        <v>4.6670187847025755</v>
      </c>
    </row>
    <row r="4678" spans="37:38" s="4" customFormat="1">
      <c r="AK4678" s="3">
        <v>4672</v>
      </c>
      <c r="AL4678" s="163">
        <v>4.6679987656664323</v>
      </c>
    </row>
    <row r="4679" spans="37:38" s="4" customFormat="1">
      <c r="AK4679" s="3">
        <v>4673</v>
      </c>
      <c r="AL4679" s="163">
        <v>4.6689788381211486</v>
      </c>
    </row>
    <row r="4680" spans="37:38" s="4" customFormat="1">
      <c r="AK4680" s="3">
        <v>4674</v>
      </c>
      <c r="AL4680" s="163">
        <v>4.6699590018429511</v>
      </c>
    </row>
    <row r="4681" spans="37:38" s="4" customFormat="1">
      <c r="AK4681" s="3">
        <v>4675</v>
      </c>
      <c r="AL4681" s="163">
        <v>4.670939256607971</v>
      </c>
    </row>
    <row r="4682" spans="37:38" s="4" customFormat="1">
      <c r="AK4682" s="3">
        <v>4676</v>
      </c>
      <c r="AL4682" s="163">
        <v>4.6719196021923004</v>
      </c>
    </row>
    <row r="4683" spans="37:38" s="4" customFormat="1">
      <c r="AK4683" s="3">
        <v>4677</v>
      </c>
      <c r="AL4683" s="163">
        <v>4.6729000383719432</v>
      </c>
    </row>
    <row r="4684" spans="37:38" s="4" customFormat="1">
      <c r="AK4684" s="3">
        <v>4678</v>
      </c>
      <c r="AL4684" s="163">
        <v>4.6738805649228317</v>
      </c>
    </row>
    <row r="4685" spans="37:38" s="4" customFormat="1">
      <c r="AK4685" s="3">
        <v>4679</v>
      </c>
      <c r="AL4685" s="163">
        <v>4.6748611816208268</v>
      </c>
    </row>
    <row r="4686" spans="37:38" s="4" customFormat="1">
      <c r="AK4686" s="3">
        <v>4680</v>
      </c>
      <c r="AL4686" s="163">
        <v>4.6758418882417407</v>
      </c>
    </row>
    <row r="4687" spans="37:38" s="4" customFormat="1">
      <c r="AK4687" s="3">
        <v>4681</v>
      </c>
      <c r="AL4687" s="163">
        <v>4.6768226845612961</v>
      </c>
    </row>
    <row r="4688" spans="37:38" s="4" customFormat="1">
      <c r="AK4688" s="3">
        <v>4682</v>
      </c>
      <c r="AL4688" s="163">
        <v>4.6778035703551453</v>
      </c>
    </row>
    <row r="4689" spans="37:38" s="4" customFormat="1">
      <c r="AK4689" s="3">
        <v>4683</v>
      </c>
      <c r="AL4689" s="163">
        <v>4.6787845453988908</v>
      </c>
    </row>
    <row r="4690" spans="37:38" s="4" customFormat="1">
      <c r="AK4690" s="3">
        <v>4684</v>
      </c>
      <c r="AL4690" s="163">
        <v>4.6797656094680331</v>
      </c>
    </row>
    <row r="4691" spans="37:38" s="4" customFormat="1">
      <c r="AK4691" s="3">
        <v>4685</v>
      </c>
      <c r="AL4691" s="163">
        <v>4.680746762338055</v>
      </c>
    </row>
    <row r="4692" spans="37:38" s="4" customFormat="1">
      <c r="AK4692" s="3">
        <v>4686</v>
      </c>
      <c r="AL4692" s="163">
        <v>4.681728003784329</v>
      </c>
    </row>
    <row r="4693" spans="37:38" s="4" customFormat="1">
      <c r="AK4693" s="3">
        <v>4687</v>
      </c>
      <c r="AL4693" s="163">
        <v>4.6827093335821743</v>
      </c>
    </row>
    <row r="4694" spans="37:38" s="4" customFormat="1">
      <c r="AK4694" s="3">
        <v>4688</v>
      </c>
      <c r="AL4694" s="163">
        <v>4.6836907515068464</v>
      </c>
    </row>
    <row r="4695" spans="37:38" s="4" customFormat="1">
      <c r="AK4695" s="3">
        <v>4689</v>
      </c>
      <c r="AL4695" s="163">
        <v>4.6846722573335198</v>
      </c>
    </row>
    <row r="4696" spans="37:38" s="4" customFormat="1">
      <c r="AK4696" s="3">
        <v>4690</v>
      </c>
      <c r="AL4696" s="163">
        <v>4.6856538508373085</v>
      </c>
    </row>
    <row r="4697" spans="37:38" s="4" customFormat="1">
      <c r="AK4697" s="3">
        <v>4691</v>
      </c>
      <c r="AL4697" s="163">
        <v>4.686635531793284</v>
      </c>
    </row>
    <row r="4698" spans="37:38" s="4" customFormat="1">
      <c r="AK4698" s="3">
        <v>4692</v>
      </c>
      <c r="AL4698" s="163">
        <v>4.6876172999764041</v>
      </c>
    </row>
    <row r="4699" spans="37:38" s="4" customFormat="1">
      <c r="AK4699" s="3">
        <v>4693</v>
      </c>
      <c r="AL4699" s="163">
        <v>4.6885991551615929</v>
      </c>
    </row>
    <row r="4700" spans="37:38" s="4" customFormat="1">
      <c r="AK4700" s="3">
        <v>4694</v>
      </c>
      <c r="AL4700" s="163">
        <v>4.6895810971236926</v>
      </c>
    </row>
    <row r="4701" spans="37:38" s="4" customFormat="1">
      <c r="AK4701" s="3">
        <v>4695</v>
      </c>
      <c r="AL4701" s="163">
        <v>4.690563125637496</v>
      </c>
    </row>
    <row r="4702" spans="37:38" s="4" customFormat="1">
      <c r="AK4702" s="3">
        <v>4696</v>
      </c>
      <c r="AL4702" s="163">
        <v>4.6915452404777085</v>
      </c>
    </row>
    <row r="4703" spans="37:38" s="4" customFormat="1">
      <c r="AK4703" s="3">
        <v>4697</v>
      </c>
      <c r="AL4703" s="163">
        <v>4.692527441419001</v>
      </c>
    </row>
    <row r="4704" spans="37:38" s="4" customFormat="1">
      <c r="AK4704" s="3">
        <v>4698</v>
      </c>
      <c r="AL4704" s="163">
        <v>4.6935097282359184</v>
      </c>
    </row>
    <row r="4705" spans="37:38" s="4" customFormat="1">
      <c r="AK4705" s="3">
        <v>4699</v>
      </c>
      <c r="AL4705" s="163">
        <v>4.6944921007030143</v>
      </c>
    </row>
    <row r="4706" spans="37:38" s="4" customFormat="1">
      <c r="AK4706" s="3">
        <v>4700</v>
      </c>
      <c r="AL4706" s="163">
        <v>4.6954745585947206</v>
      </c>
    </row>
    <row r="4707" spans="37:38" s="4" customFormat="1">
      <c r="AK4707" s="3">
        <v>4701</v>
      </c>
      <c r="AL4707" s="163">
        <v>4.6964571016854464</v>
      </c>
    </row>
    <row r="4708" spans="37:38" s="4" customFormat="1">
      <c r="AK4708" s="3">
        <v>4702</v>
      </c>
      <c r="AL4708" s="163">
        <v>4.6974397297494823</v>
      </c>
    </row>
    <row r="4709" spans="37:38" s="4" customFormat="1">
      <c r="AK4709" s="3">
        <v>4703</v>
      </c>
      <c r="AL4709" s="163">
        <v>4.6984224425611014</v>
      </c>
    </row>
    <row r="4710" spans="37:38" s="4" customFormat="1">
      <c r="AK4710" s="3">
        <v>4704</v>
      </c>
      <c r="AL4710" s="163">
        <v>4.699405239894511</v>
      </c>
    </row>
    <row r="4711" spans="37:38" s="4" customFormat="1">
      <c r="AK4711" s="3">
        <v>4705</v>
      </c>
      <c r="AL4711" s="163">
        <v>4.7003881215238188</v>
      </c>
    </row>
    <row r="4712" spans="37:38" s="4" customFormat="1">
      <c r="AK4712" s="3">
        <v>4706</v>
      </c>
      <c r="AL4712" s="163">
        <v>4.7013710872230874</v>
      </c>
    </row>
    <row r="4713" spans="37:38" s="4" customFormat="1">
      <c r="AK4713" s="3">
        <v>4707</v>
      </c>
      <c r="AL4713" s="163">
        <v>4.7023541367663313</v>
      </c>
    </row>
    <row r="4714" spans="37:38" s="4" customFormat="1">
      <c r="AK4714" s="3">
        <v>4708</v>
      </c>
      <c r="AL4714" s="163">
        <v>4.7033372699274754</v>
      </c>
    </row>
    <row r="4715" spans="37:38" s="4" customFormat="1">
      <c r="AK4715" s="3">
        <v>4709</v>
      </c>
      <c r="AL4715" s="163">
        <v>4.7043204864803929</v>
      </c>
    </row>
    <row r="4716" spans="37:38" s="4" customFormat="1">
      <c r="AK4716" s="3">
        <v>4710</v>
      </c>
      <c r="AL4716" s="163">
        <v>4.7053037861988916</v>
      </c>
    </row>
    <row r="4717" spans="37:38" s="4" customFormat="1">
      <c r="AK4717" s="3">
        <v>4711</v>
      </c>
      <c r="AL4717" s="163">
        <v>4.7062871688567149</v>
      </c>
    </row>
    <row r="4718" spans="37:38" s="4" customFormat="1">
      <c r="AK4718" s="3">
        <v>4712</v>
      </c>
      <c r="AL4718" s="163">
        <v>4.7072706342275357</v>
      </c>
    </row>
    <row r="4719" spans="37:38" s="4" customFormat="1">
      <c r="AK4719" s="3">
        <v>4713</v>
      </c>
      <c r="AL4719" s="163">
        <v>4.7082541820849837</v>
      </c>
    </row>
    <row r="4720" spans="37:38" s="4" customFormat="1">
      <c r="AK4720" s="3">
        <v>4714</v>
      </c>
      <c r="AL4720" s="163">
        <v>4.7092378122026162</v>
      </c>
    </row>
    <row r="4721" spans="37:38" s="4" customFormat="1">
      <c r="AK4721" s="3">
        <v>4715</v>
      </c>
      <c r="AL4721" s="163">
        <v>4.7102215243539192</v>
      </c>
    </row>
    <row r="4722" spans="37:38" s="4" customFormat="1">
      <c r="AK4722" s="3">
        <v>4716</v>
      </c>
      <c r="AL4722" s="163">
        <v>4.711205318312313</v>
      </c>
    </row>
    <row r="4723" spans="37:38" s="4" customFormat="1">
      <c r="AK4723" s="3">
        <v>4717</v>
      </c>
      <c r="AL4723" s="163">
        <v>4.7121891938511808</v>
      </c>
    </row>
    <row r="4724" spans="37:38" s="4" customFormat="1">
      <c r="AK4724" s="3">
        <v>4718</v>
      </c>
      <c r="AL4724" s="163">
        <v>4.7131731507438115</v>
      </c>
    </row>
    <row r="4725" spans="37:38" s="4" customFormat="1">
      <c r="AK4725" s="3">
        <v>4719</v>
      </c>
      <c r="AL4725" s="163">
        <v>4.7141571887634584</v>
      </c>
    </row>
    <row r="4726" spans="37:38" s="4" customFormat="1">
      <c r="AK4726" s="3">
        <v>4720</v>
      </c>
      <c r="AL4726" s="163">
        <v>4.7151413076833038</v>
      </c>
    </row>
    <row r="4727" spans="37:38" s="4" customFormat="1">
      <c r="AK4727" s="3">
        <v>4721</v>
      </c>
      <c r="AL4727" s="163">
        <v>4.7161255072764581</v>
      </c>
    </row>
    <row r="4728" spans="37:38" s="4" customFormat="1">
      <c r="AK4728" s="3">
        <v>4722</v>
      </c>
      <c r="AL4728" s="163">
        <v>4.7171097873159837</v>
      </c>
    </row>
    <row r="4729" spans="37:38" s="4" customFormat="1">
      <c r="AK4729" s="3">
        <v>4723</v>
      </c>
      <c r="AL4729" s="163">
        <v>4.7180941475748828</v>
      </c>
    </row>
    <row r="4730" spans="37:38" s="4" customFormat="1">
      <c r="AK4730" s="3">
        <v>4724</v>
      </c>
      <c r="AL4730" s="163">
        <v>4.7190785878260826</v>
      </c>
    </row>
    <row r="4731" spans="37:38" s="4" customFormat="1">
      <c r="AK4731" s="3">
        <v>4725</v>
      </c>
      <c r="AL4731" s="163">
        <v>4.7200631078424626</v>
      </c>
    </row>
    <row r="4732" spans="37:38" s="4" customFormat="1">
      <c r="AK4732" s="3">
        <v>4726</v>
      </c>
      <c r="AL4732" s="163">
        <v>4.7210477073968278</v>
      </c>
    </row>
    <row r="4733" spans="37:38" s="4" customFormat="1">
      <c r="AK4733" s="3">
        <v>4727</v>
      </c>
      <c r="AL4733" s="163">
        <v>4.7220323862619455</v>
      </c>
    </row>
    <row r="4734" spans="37:38" s="4" customFormat="1">
      <c r="AK4734" s="3">
        <v>4728</v>
      </c>
      <c r="AL4734" s="163">
        <v>4.7230171442105018</v>
      </c>
    </row>
    <row r="4735" spans="37:38" s="4" customFormat="1">
      <c r="AK4735" s="3">
        <v>4729</v>
      </c>
      <c r="AL4735" s="163">
        <v>4.7240019810151201</v>
      </c>
    </row>
    <row r="4736" spans="37:38" s="4" customFormat="1">
      <c r="AK4736" s="3">
        <v>4730</v>
      </c>
      <c r="AL4736" s="163">
        <v>4.7249868964483834</v>
      </c>
    </row>
    <row r="4737" spans="37:38" s="4" customFormat="1">
      <c r="AK4737" s="3">
        <v>4731</v>
      </c>
      <c r="AL4737" s="163">
        <v>4.7259718902828123</v>
      </c>
    </row>
    <row r="4738" spans="37:38" s="4" customFormat="1">
      <c r="AK4738" s="3">
        <v>4732</v>
      </c>
      <c r="AL4738" s="163">
        <v>4.7269569622908447</v>
      </c>
    </row>
    <row r="4739" spans="37:38" s="4" customFormat="1">
      <c r="AK4739" s="3">
        <v>4733</v>
      </c>
      <c r="AL4739" s="163">
        <v>4.727942112244877</v>
      </c>
    </row>
    <row r="4740" spans="37:38" s="4" customFormat="1">
      <c r="AK4740" s="3">
        <v>4734</v>
      </c>
      <c r="AL4740" s="163">
        <v>4.7289273399172487</v>
      </c>
    </row>
    <row r="4741" spans="37:38" s="4" customFormat="1">
      <c r="AK4741" s="3">
        <v>4735</v>
      </c>
      <c r="AL4741" s="163">
        <v>4.7299126450802298</v>
      </c>
    </row>
    <row r="4742" spans="37:38" s="4" customFormat="1">
      <c r="AK4742" s="3">
        <v>4736</v>
      </c>
      <c r="AL4742" s="163">
        <v>4.7308980275060488</v>
      </c>
    </row>
    <row r="4743" spans="37:38" s="4" customFormat="1">
      <c r="AK4743" s="3">
        <v>4737</v>
      </c>
      <c r="AL4743" s="163">
        <v>4.7318834869668471</v>
      </c>
    </row>
    <row r="4744" spans="37:38" s="4" customFormat="1">
      <c r="AK4744" s="3">
        <v>4738</v>
      </c>
      <c r="AL4744" s="163">
        <v>4.7328690232347288</v>
      </c>
    </row>
    <row r="4745" spans="37:38" s="4" customFormat="1">
      <c r="AK4745" s="3">
        <v>4739</v>
      </c>
      <c r="AL4745" s="163">
        <v>4.7338546360817437</v>
      </c>
    </row>
    <row r="4746" spans="37:38" s="4" customFormat="1">
      <c r="AK4746" s="3">
        <v>4740</v>
      </c>
      <c r="AL4746" s="163">
        <v>4.734840325279869</v>
      </c>
    </row>
    <row r="4747" spans="37:38" s="4" customFormat="1">
      <c r="AK4747" s="3">
        <v>4741</v>
      </c>
      <c r="AL4747" s="163">
        <v>4.7358260906010248</v>
      </c>
    </row>
    <row r="4748" spans="37:38" s="4" customFormat="1">
      <c r="AK4748" s="3">
        <v>4742</v>
      </c>
      <c r="AL4748" s="163">
        <v>4.7368119318170789</v>
      </c>
    </row>
    <row r="4749" spans="37:38" s="4" customFormat="1">
      <c r="AK4749" s="3">
        <v>4743</v>
      </c>
      <c r="AL4749" s="163">
        <v>4.7377978486998487</v>
      </c>
    </row>
    <row r="4750" spans="37:38" s="4" customFormat="1">
      <c r="AK4750" s="3">
        <v>4744</v>
      </c>
      <c r="AL4750" s="163">
        <v>4.738783841021089</v>
      </c>
    </row>
    <row r="4751" spans="37:38" s="4" customFormat="1">
      <c r="AK4751" s="3">
        <v>4745</v>
      </c>
      <c r="AL4751" s="163">
        <v>4.739769908552474</v>
      </c>
    </row>
    <row r="4752" spans="37:38" s="4" customFormat="1">
      <c r="AK4752" s="3">
        <v>4746</v>
      </c>
      <c r="AL4752" s="163">
        <v>4.7407560510656577</v>
      </c>
    </row>
    <row r="4753" spans="37:38" s="4" customFormat="1">
      <c r="AK4753" s="3">
        <v>4747</v>
      </c>
      <c r="AL4753" s="163">
        <v>4.7417422683322226</v>
      </c>
    </row>
    <row r="4754" spans="37:38" s="4" customFormat="1">
      <c r="AK4754" s="3">
        <v>4748</v>
      </c>
      <c r="AL4754" s="163">
        <v>4.7427285601236786</v>
      </c>
    </row>
    <row r="4755" spans="37:38" s="4" customFormat="1">
      <c r="AK4755" s="3">
        <v>4749</v>
      </c>
      <c r="AL4755" s="163">
        <v>4.7437149262114957</v>
      </c>
    </row>
    <row r="4756" spans="37:38" s="4" customFormat="1">
      <c r="AK4756" s="3">
        <v>4750</v>
      </c>
      <c r="AL4756" s="163">
        <v>4.7447013663670976</v>
      </c>
    </row>
    <row r="4757" spans="37:38" s="4" customFormat="1">
      <c r="AK4757" s="3">
        <v>4751</v>
      </c>
      <c r="AL4757" s="163">
        <v>4.745687880361837</v>
      </c>
    </row>
    <row r="4758" spans="37:38" s="4" customFormat="1">
      <c r="AK4758" s="3">
        <v>4752</v>
      </c>
      <c r="AL4758" s="163">
        <v>4.7466744679670123</v>
      </c>
    </row>
    <row r="4759" spans="37:38" s="4" customFormat="1">
      <c r="AK4759" s="3">
        <v>4753</v>
      </c>
      <c r="AL4759" s="163">
        <v>4.7476611289538431</v>
      </c>
    </row>
    <row r="4760" spans="37:38" s="4" customFormat="1">
      <c r="AK4760" s="3">
        <v>4754</v>
      </c>
      <c r="AL4760" s="163">
        <v>4.7486478630935514</v>
      </c>
    </row>
    <row r="4761" spans="37:38" s="4" customFormat="1">
      <c r="AK4761" s="3">
        <v>4755</v>
      </c>
      <c r="AL4761" s="163">
        <v>4.7496346701572421</v>
      </c>
    </row>
    <row r="4762" spans="37:38" s="4" customFormat="1">
      <c r="AK4762" s="3">
        <v>4756</v>
      </c>
      <c r="AL4762" s="163">
        <v>4.7506215499160209</v>
      </c>
    </row>
    <row r="4763" spans="37:38" s="4" customFormat="1">
      <c r="AK4763" s="3">
        <v>4757</v>
      </c>
      <c r="AL4763" s="163">
        <v>4.7516085021408827</v>
      </c>
    </row>
    <row r="4764" spans="37:38" s="4" customFormat="1">
      <c r="AK4764" s="3">
        <v>4758</v>
      </c>
      <c r="AL4764" s="163">
        <v>4.7525955266028177</v>
      </c>
    </row>
    <row r="4765" spans="37:38" s="4" customFormat="1">
      <c r="AK4765" s="3">
        <v>4759</v>
      </c>
      <c r="AL4765" s="163">
        <v>4.7535826230727132</v>
      </c>
    </row>
    <row r="4766" spans="37:38" s="4" customFormat="1">
      <c r="AK4766" s="3">
        <v>4760</v>
      </c>
      <c r="AL4766" s="163">
        <v>4.754569791321444</v>
      </c>
    </row>
    <row r="4767" spans="37:38" s="4" customFormat="1">
      <c r="AK4767" s="3">
        <v>4761</v>
      </c>
      <c r="AL4767" s="163">
        <v>4.7555570311198068</v>
      </c>
    </row>
    <row r="4768" spans="37:38" s="4" customFormat="1">
      <c r="AK4768" s="3">
        <v>4762</v>
      </c>
      <c r="AL4768" s="163">
        <v>4.756544342238568</v>
      </c>
    </row>
    <row r="4769" spans="37:38" s="4" customFormat="1">
      <c r="AK4769" s="3">
        <v>4763</v>
      </c>
      <c r="AL4769" s="163">
        <v>4.7575317244483939</v>
      </c>
    </row>
    <row r="4770" spans="37:38" s="4" customFormat="1">
      <c r="AK4770" s="3">
        <v>4764</v>
      </c>
      <c r="AL4770" s="163">
        <v>4.7585191775199434</v>
      </c>
    </row>
    <row r="4771" spans="37:38" s="4" customFormat="1">
      <c r="AK4771" s="3">
        <v>4765</v>
      </c>
      <c r="AL4771" s="163">
        <v>4.7595067012238115</v>
      </c>
    </row>
    <row r="4772" spans="37:38" s="4" customFormat="1">
      <c r="AK4772" s="3">
        <v>4766</v>
      </c>
      <c r="AL4772" s="163">
        <v>4.7604942953305169</v>
      </c>
    </row>
    <row r="4773" spans="37:38" s="4" customFormat="1">
      <c r="AK4773" s="3">
        <v>4767</v>
      </c>
      <c r="AL4773" s="163">
        <v>4.7614819596105473</v>
      </c>
    </row>
    <row r="4774" spans="37:38" s="4" customFormat="1">
      <c r="AK4774" s="3">
        <v>4768</v>
      </c>
      <c r="AL4774" s="163">
        <v>4.7624696938343281</v>
      </c>
    </row>
    <row r="4775" spans="37:38" s="4" customFormat="1">
      <c r="AK4775" s="3">
        <v>4769</v>
      </c>
      <c r="AL4775" s="163">
        <v>4.7634574977722544</v>
      </c>
    </row>
    <row r="4776" spans="37:38" s="4" customFormat="1">
      <c r="AK4776" s="3">
        <v>4770</v>
      </c>
      <c r="AL4776" s="163">
        <v>4.7644453711946202</v>
      </c>
    </row>
    <row r="4777" spans="37:38" s="4" customFormat="1">
      <c r="AK4777" s="3">
        <v>4771</v>
      </c>
      <c r="AL4777" s="163">
        <v>4.765433313871716</v>
      </c>
    </row>
    <row r="4778" spans="37:38" s="4" customFormat="1">
      <c r="AK4778" s="3">
        <v>4772</v>
      </c>
      <c r="AL4778" s="163">
        <v>4.7664213255737558</v>
      </c>
    </row>
    <row r="4779" spans="37:38" s="4" customFormat="1">
      <c r="AK4779" s="3">
        <v>4773</v>
      </c>
      <c r="AL4779" s="163">
        <v>4.7674094060709056</v>
      </c>
    </row>
    <row r="4780" spans="37:38" s="4" customFormat="1">
      <c r="AK4780" s="3">
        <v>4774</v>
      </c>
      <c r="AL4780" s="163">
        <v>4.768397555133264</v>
      </c>
    </row>
    <row r="4781" spans="37:38" s="4" customFormat="1">
      <c r="AK4781" s="3">
        <v>4775</v>
      </c>
      <c r="AL4781" s="163">
        <v>4.7693857725309163</v>
      </c>
    </row>
    <row r="4782" spans="37:38" s="4" customFormat="1">
      <c r="AK4782" s="3">
        <v>4776</v>
      </c>
      <c r="AL4782" s="163">
        <v>4.7703740580338732</v>
      </c>
    </row>
    <row r="4783" spans="37:38" s="4" customFormat="1">
      <c r="AK4783" s="3">
        <v>4777</v>
      </c>
      <c r="AL4783" s="163">
        <v>4.7713624114120741</v>
      </c>
    </row>
    <row r="4784" spans="37:38" s="4" customFormat="1">
      <c r="AK4784" s="3">
        <v>4778</v>
      </c>
      <c r="AL4784" s="163">
        <v>4.7723508324354391</v>
      </c>
    </row>
    <row r="4785" spans="37:38" s="4" customFormat="1">
      <c r="AK4785" s="3">
        <v>4779</v>
      </c>
      <c r="AL4785" s="163">
        <v>4.7733393208738324</v>
      </c>
    </row>
    <row r="4786" spans="37:38" s="4" customFormat="1">
      <c r="AK4786" s="3">
        <v>4780</v>
      </c>
      <c r="AL4786" s="163">
        <v>4.7743278764970549</v>
      </c>
    </row>
    <row r="4787" spans="37:38" s="4" customFormat="1">
      <c r="AK4787" s="3">
        <v>4781</v>
      </c>
      <c r="AL4787" s="163">
        <v>4.7753164990748527</v>
      </c>
    </row>
    <row r="4788" spans="37:38" s="4" customFormat="1">
      <c r="AK4788" s="3">
        <v>4782</v>
      </c>
      <c r="AL4788" s="163">
        <v>4.7763051883769458</v>
      </c>
    </row>
    <row r="4789" spans="37:38" s="4" customFormat="1">
      <c r="AK4789" s="3">
        <v>4783</v>
      </c>
      <c r="AL4789" s="163">
        <v>4.7772939441729827</v>
      </c>
    </row>
    <row r="4790" spans="37:38" s="4" customFormat="1">
      <c r="AK4790" s="3">
        <v>4784</v>
      </c>
      <c r="AL4790" s="163">
        <v>4.7782827662325644</v>
      </c>
    </row>
    <row r="4791" spans="37:38" s="4" customFormat="1">
      <c r="AK4791" s="3">
        <v>4785</v>
      </c>
      <c r="AL4791" s="163">
        <v>4.7792716543252576</v>
      </c>
    </row>
    <row r="4792" spans="37:38" s="4" customFormat="1">
      <c r="AK4792" s="3">
        <v>4786</v>
      </c>
      <c r="AL4792" s="163">
        <v>4.7802606082205639</v>
      </c>
    </row>
    <row r="4793" spans="37:38" s="4" customFormat="1">
      <c r="AK4793" s="3">
        <v>4787</v>
      </c>
      <c r="AL4793" s="163">
        <v>4.7812496276879255</v>
      </c>
    </row>
    <row r="4794" spans="37:38" s="4" customFormat="1">
      <c r="AK4794" s="3">
        <v>4788</v>
      </c>
      <c r="AL4794" s="163">
        <v>4.7822387124967669</v>
      </c>
    </row>
    <row r="4795" spans="37:38" s="4" customFormat="1">
      <c r="AK4795" s="3">
        <v>4789</v>
      </c>
      <c r="AL4795" s="163">
        <v>4.7832278624164335</v>
      </c>
    </row>
    <row r="4796" spans="37:38" s="4" customFormat="1">
      <c r="AK4796" s="3">
        <v>4790</v>
      </c>
      <c r="AL4796" s="163">
        <v>4.7842170772162476</v>
      </c>
    </row>
    <row r="4797" spans="37:38" s="4" customFormat="1">
      <c r="AK4797" s="3">
        <v>4791</v>
      </c>
      <c r="AL4797" s="163">
        <v>4.7852063566654444</v>
      </c>
    </row>
    <row r="4798" spans="37:38" s="4" customFormat="1">
      <c r="AK4798" s="3">
        <v>4792</v>
      </c>
      <c r="AL4798" s="163">
        <v>4.7861957005332618</v>
      </c>
    </row>
    <row r="4799" spans="37:38" s="4" customFormat="1">
      <c r="AK4799" s="3">
        <v>4793</v>
      </c>
      <c r="AL4799" s="163">
        <v>4.7871851085888455</v>
      </c>
    </row>
    <row r="4800" spans="37:38" s="4" customFormat="1">
      <c r="AK4800" s="3">
        <v>4794</v>
      </c>
      <c r="AL4800" s="163">
        <v>4.7881745806013178</v>
      </c>
    </row>
    <row r="4801" spans="37:38" s="4" customFormat="1">
      <c r="AK4801" s="3">
        <v>4795</v>
      </c>
      <c r="AL4801" s="163">
        <v>4.7891641163397338</v>
      </c>
    </row>
    <row r="4802" spans="37:38" s="4" customFormat="1">
      <c r="AK4802" s="3">
        <v>4796</v>
      </c>
      <c r="AL4802" s="163">
        <v>4.7901537155731315</v>
      </c>
    </row>
    <row r="4803" spans="37:38" s="4" customFormat="1">
      <c r="AK4803" s="3">
        <v>4797</v>
      </c>
      <c r="AL4803" s="163">
        <v>4.7911433780704638</v>
      </c>
    </row>
    <row r="4804" spans="37:38" s="4" customFormat="1">
      <c r="AK4804" s="3">
        <v>4798</v>
      </c>
      <c r="AL4804" s="163">
        <v>4.7921331036006638</v>
      </c>
    </row>
    <row r="4805" spans="37:38" s="4" customFormat="1">
      <c r="AK4805" s="3">
        <v>4799</v>
      </c>
      <c r="AL4805" s="163">
        <v>4.7931228919325948</v>
      </c>
    </row>
    <row r="4806" spans="37:38" s="4" customFormat="1">
      <c r="AK4806" s="3">
        <v>4800</v>
      </c>
      <c r="AL4806" s="163">
        <v>4.7941127428350994</v>
      </c>
    </row>
    <row r="4807" spans="37:38" s="4" customFormat="1">
      <c r="AK4807" s="3">
        <v>4801</v>
      </c>
      <c r="AL4807" s="163">
        <v>4.7951026560769598</v>
      </c>
    </row>
    <row r="4808" spans="37:38" s="4" customFormat="1">
      <c r="AK4808" s="3">
        <v>4802</v>
      </c>
      <c r="AL4808" s="163">
        <v>4.7960926314268981</v>
      </c>
    </row>
    <row r="4809" spans="37:38" s="4" customFormat="1">
      <c r="AK4809" s="3">
        <v>4803</v>
      </c>
      <c r="AL4809" s="163">
        <v>4.7970826686536174</v>
      </c>
    </row>
    <row r="4810" spans="37:38" s="4" customFormat="1">
      <c r="AK4810" s="3">
        <v>4804</v>
      </c>
      <c r="AL4810" s="163">
        <v>4.7980727675257331</v>
      </c>
    </row>
    <row r="4811" spans="37:38" s="4" customFormat="1">
      <c r="AK4811" s="3">
        <v>4805</v>
      </c>
      <c r="AL4811" s="163">
        <v>4.7990629278118728</v>
      </c>
    </row>
    <row r="4812" spans="37:38" s="4" customFormat="1">
      <c r="AK4812" s="3">
        <v>4806</v>
      </c>
      <c r="AL4812" s="163">
        <v>4.8000531492805667</v>
      </c>
    </row>
    <row r="4813" spans="37:38" s="4" customFormat="1">
      <c r="AK4813" s="3">
        <v>4807</v>
      </c>
      <c r="AL4813" s="163">
        <v>4.8010434317003234</v>
      </c>
    </row>
    <row r="4814" spans="37:38" s="4" customFormat="1">
      <c r="AK4814" s="3">
        <v>4808</v>
      </c>
      <c r="AL4814" s="163">
        <v>4.8020337748396038</v>
      </c>
    </row>
    <row r="4815" spans="37:38" s="4" customFormat="1">
      <c r="AK4815" s="3">
        <v>4809</v>
      </c>
      <c r="AL4815" s="163">
        <v>4.8030241784668171</v>
      </c>
    </row>
    <row r="4816" spans="37:38" s="4" customFormat="1">
      <c r="AK4816" s="3">
        <v>4810</v>
      </c>
      <c r="AL4816" s="163">
        <v>4.8040146423503343</v>
      </c>
    </row>
    <row r="4817" spans="37:38" s="4" customFormat="1">
      <c r="AK4817" s="3">
        <v>4811</v>
      </c>
      <c r="AL4817" s="163">
        <v>4.8050051662584732</v>
      </c>
    </row>
    <row r="4818" spans="37:38" s="4" customFormat="1">
      <c r="AK4818" s="3">
        <v>4812</v>
      </c>
      <c r="AL4818" s="163">
        <v>4.8059957499595143</v>
      </c>
    </row>
    <row r="4819" spans="37:38" s="4" customFormat="1">
      <c r="AK4819" s="3">
        <v>4813</v>
      </c>
      <c r="AL4819" s="163">
        <v>4.8069863932216839</v>
      </c>
    </row>
    <row r="4820" spans="37:38" s="4" customFormat="1">
      <c r="AK4820" s="3">
        <v>4814</v>
      </c>
      <c r="AL4820" s="163">
        <v>4.8079770958131718</v>
      </c>
    </row>
    <row r="4821" spans="37:38" s="4" customFormat="1">
      <c r="AK4821" s="3">
        <v>4815</v>
      </c>
      <c r="AL4821" s="163">
        <v>4.8089678575021235</v>
      </c>
    </row>
    <row r="4822" spans="37:38" s="4" customFormat="1">
      <c r="AK4822" s="3">
        <v>4816</v>
      </c>
      <c r="AL4822" s="163">
        <v>4.8099586780566517</v>
      </c>
    </row>
    <row r="4823" spans="37:38" s="4" customFormat="1">
      <c r="AK4823" s="3">
        <v>4817</v>
      </c>
      <c r="AL4823" s="163">
        <v>4.8109495572447756</v>
      </c>
    </row>
    <row r="4824" spans="37:38" s="4" customFormat="1">
      <c r="AK4824" s="3">
        <v>4818</v>
      </c>
      <c r="AL4824" s="163">
        <v>4.8119404948345421</v>
      </c>
    </row>
    <row r="4825" spans="37:38" s="4" customFormat="1">
      <c r="AK4825" s="3">
        <v>4819</v>
      </c>
      <c r="AL4825" s="163">
        <v>4.8129314905938987</v>
      </c>
    </row>
    <row r="4826" spans="37:38" s="4" customFormat="1">
      <c r="AK4826" s="3">
        <v>4820</v>
      </c>
      <c r="AL4826" s="163">
        <v>4.8139225442907723</v>
      </c>
    </row>
    <row r="4827" spans="37:38" s="4" customFormat="1">
      <c r="AK4827" s="3">
        <v>4821</v>
      </c>
      <c r="AL4827" s="163">
        <v>4.8149136556930578</v>
      </c>
    </row>
    <row r="4828" spans="37:38" s="4" customFormat="1">
      <c r="AK4828" s="3">
        <v>4822</v>
      </c>
      <c r="AL4828" s="163">
        <v>4.8159048245685687</v>
      </c>
    </row>
    <row r="4829" spans="37:38" s="4" customFormat="1">
      <c r="AK4829" s="3">
        <v>4823</v>
      </c>
      <c r="AL4829" s="163">
        <v>4.8168960506851199</v>
      </c>
    </row>
    <row r="4830" spans="37:38" s="4" customFormat="1">
      <c r="AK4830" s="3">
        <v>4824</v>
      </c>
      <c r="AL4830" s="163">
        <v>4.8178873338104538</v>
      </c>
    </row>
    <row r="4831" spans="37:38" s="4" customFormat="1">
      <c r="AK4831" s="3">
        <v>4825</v>
      </c>
      <c r="AL4831" s="163">
        <v>4.8188786737122902</v>
      </c>
    </row>
    <row r="4832" spans="37:38" s="4" customFormat="1">
      <c r="AK4832" s="3">
        <v>4826</v>
      </c>
      <c r="AL4832" s="163">
        <v>4.8198700701582817</v>
      </c>
    </row>
    <row r="4833" spans="37:38" s="4" customFormat="1">
      <c r="AK4833" s="3">
        <v>4827</v>
      </c>
      <c r="AL4833" s="163">
        <v>4.8208615229160543</v>
      </c>
    </row>
    <row r="4834" spans="37:38" s="4" customFormat="1">
      <c r="AK4834" s="3">
        <v>4828</v>
      </c>
      <c r="AL4834" s="163">
        <v>4.8218530317531982</v>
      </c>
    </row>
    <row r="4835" spans="37:38" s="4" customFormat="1">
      <c r="AK4835" s="3">
        <v>4829</v>
      </c>
      <c r="AL4835" s="163">
        <v>4.8228445964372684</v>
      </c>
    </row>
    <row r="4836" spans="37:38" s="4" customFormat="1">
      <c r="AK4836" s="3">
        <v>4830</v>
      </c>
      <c r="AL4836" s="163">
        <v>4.8238362167357351</v>
      </c>
    </row>
    <row r="4837" spans="37:38" s="4" customFormat="1">
      <c r="AK4837" s="3">
        <v>4831</v>
      </c>
      <c r="AL4837" s="163">
        <v>4.8248278924160655</v>
      </c>
    </row>
    <row r="4838" spans="37:38" s="4" customFormat="1">
      <c r="AK4838" s="3">
        <v>4832</v>
      </c>
      <c r="AL4838" s="163">
        <v>4.8258196232456907</v>
      </c>
    </row>
    <row r="4839" spans="37:38" s="4" customFormat="1">
      <c r="AK4839" s="3">
        <v>4833</v>
      </c>
      <c r="AL4839" s="163">
        <v>4.8268114089919623</v>
      </c>
    </row>
    <row r="4840" spans="37:38" s="4" customFormat="1">
      <c r="AK4840" s="3">
        <v>4834</v>
      </c>
      <c r="AL4840" s="163">
        <v>4.8278032494222387</v>
      </c>
    </row>
    <row r="4841" spans="37:38" s="4" customFormat="1">
      <c r="AK4841" s="3">
        <v>4835</v>
      </c>
      <c r="AL4841" s="163">
        <v>4.8287951443038031</v>
      </c>
    </row>
    <row r="4842" spans="37:38" s="4" customFormat="1">
      <c r="AK4842" s="3">
        <v>4836</v>
      </c>
      <c r="AL4842" s="163">
        <v>4.8297870934039082</v>
      </c>
    </row>
    <row r="4843" spans="37:38" s="4" customFormat="1">
      <c r="AK4843" s="3">
        <v>4837</v>
      </c>
      <c r="AL4843" s="163">
        <v>4.8307790964897652</v>
      </c>
    </row>
    <row r="4844" spans="37:38" s="4" customFormat="1">
      <c r="AK4844" s="3">
        <v>4838</v>
      </c>
      <c r="AL4844" s="163">
        <v>4.8317711533285577</v>
      </c>
    </row>
    <row r="4845" spans="37:38" s="4" customFormat="1">
      <c r="AK4845" s="3">
        <v>4839</v>
      </c>
      <c r="AL4845" s="163">
        <v>4.8327632636873901</v>
      </c>
    </row>
    <row r="4846" spans="37:38" s="4" customFormat="1">
      <c r="AK4846" s="3">
        <v>4840</v>
      </c>
      <c r="AL4846" s="163">
        <v>4.8337554273333918</v>
      </c>
    </row>
    <row r="4847" spans="37:38" s="4" customFormat="1">
      <c r="AK4847" s="3">
        <v>4841</v>
      </c>
      <c r="AL4847" s="163">
        <v>4.8347476440335893</v>
      </c>
    </row>
    <row r="4848" spans="37:38" s="4" customFormat="1">
      <c r="AK4848" s="3">
        <v>4842</v>
      </c>
      <c r="AL4848" s="163">
        <v>4.8357399135550168</v>
      </c>
    </row>
    <row r="4849" spans="37:38" s="4" customFormat="1">
      <c r="AK4849" s="3">
        <v>4843</v>
      </c>
      <c r="AL4849" s="163">
        <v>4.8367322356646296</v>
      </c>
    </row>
    <row r="4850" spans="37:38" s="4" customFormat="1">
      <c r="AK4850" s="3">
        <v>4844</v>
      </c>
      <c r="AL4850" s="163">
        <v>4.8377246101293743</v>
      </c>
    </row>
    <row r="4851" spans="37:38" s="4" customFormat="1">
      <c r="AK4851" s="3">
        <v>4845</v>
      </c>
      <c r="AL4851" s="163">
        <v>4.8387170367161465</v>
      </c>
    </row>
    <row r="4852" spans="37:38" s="4" customFormat="1">
      <c r="AK4852" s="3">
        <v>4846</v>
      </c>
      <c r="AL4852" s="163">
        <v>4.8397095151918057</v>
      </c>
    </row>
    <row r="4853" spans="37:38" s="4" customFormat="1">
      <c r="AK4853" s="3">
        <v>4847</v>
      </c>
      <c r="AL4853" s="163">
        <v>4.8407020453231642</v>
      </c>
    </row>
    <row r="4854" spans="37:38" s="4" customFormat="1">
      <c r="AK4854" s="3">
        <v>4848</v>
      </c>
      <c r="AL4854" s="163">
        <v>4.8416946268770262</v>
      </c>
    </row>
    <row r="4855" spans="37:38" s="4" customFormat="1">
      <c r="AK4855" s="3">
        <v>4849</v>
      </c>
      <c r="AL4855" s="163">
        <v>4.8426872596200976</v>
      </c>
    </row>
    <row r="4856" spans="37:38" s="4" customFormat="1">
      <c r="AK4856" s="3">
        <v>4850</v>
      </c>
      <c r="AL4856" s="163">
        <v>4.8436799433191018</v>
      </c>
    </row>
    <row r="4857" spans="37:38" s="4" customFormat="1">
      <c r="AK4857" s="3">
        <v>4851</v>
      </c>
      <c r="AL4857" s="163">
        <v>4.8446726777407205</v>
      </c>
    </row>
    <row r="4858" spans="37:38" s="4" customFormat="1">
      <c r="AK4858" s="3">
        <v>4852</v>
      </c>
      <c r="AL4858" s="163">
        <v>4.8456654626515432</v>
      </c>
    </row>
    <row r="4859" spans="37:38" s="4" customFormat="1">
      <c r="AK4859" s="3">
        <v>4853</v>
      </c>
      <c r="AL4859" s="163">
        <v>4.846658297818216</v>
      </c>
    </row>
    <row r="4860" spans="37:38" s="4" customFormat="1">
      <c r="AK4860" s="3">
        <v>4854</v>
      </c>
      <c r="AL4860" s="163">
        <v>4.8476511830072502</v>
      </c>
    </row>
    <row r="4861" spans="37:38" s="4" customFormat="1">
      <c r="AK4861" s="3">
        <v>4855</v>
      </c>
      <c r="AL4861" s="163">
        <v>4.8486441179851827</v>
      </c>
    </row>
    <row r="4862" spans="37:38" s="4" customFormat="1">
      <c r="AK4862" s="3">
        <v>4856</v>
      </c>
      <c r="AL4862" s="163">
        <v>4.8496371025184937</v>
      </c>
    </row>
    <row r="4863" spans="37:38" s="4" customFormat="1">
      <c r="AK4863" s="3">
        <v>4857</v>
      </c>
      <c r="AL4863" s="163">
        <v>4.8506301363736126</v>
      </c>
    </row>
    <row r="4864" spans="37:38" s="4" customFormat="1">
      <c r="AK4864" s="3">
        <v>4858</v>
      </c>
      <c r="AL4864" s="163">
        <v>4.851623219316969</v>
      </c>
    </row>
    <row r="4865" spans="37:38" s="4" customFormat="1">
      <c r="AK4865" s="3">
        <v>4859</v>
      </c>
      <c r="AL4865" s="163">
        <v>4.8526163511149267</v>
      </c>
    </row>
    <row r="4866" spans="37:38" s="4" customFormat="1">
      <c r="AK4866" s="3">
        <v>4860</v>
      </c>
      <c r="AL4866" s="163">
        <v>4.8536095315338086</v>
      </c>
    </row>
    <row r="4867" spans="37:38" s="4" customFormat="1">
      <c r="AK4867" s="3">
        <v>4861</v>
      </c>
      <c r="AL4867" s="163">
        <v>4.8546027603399446</v>
      </c>
    </row>
    <row r="4868" spans="37:38" s="4" customFormat="1">
      <c r="AK4868" s="3">
        <v>4862</v>
      </c>
      <c r="AL4868" s="163">
        <v>4.8555960372995486</v>
      </c>
    </row>
    <row r="4869" spans="37:38" s="4" customFormat="1">
      <c r="AK4869" s="3">
        <v>4863</v>
      </c>
      <c r="AL4869" s="163">
        <v>4.8565893621788909</v>
      </c>
    </row>
    <row r="4870" spans="37:38" s="4" customFormat="1">
      <c r="AK4870" s="3">
        <v>4864</v>
      </c>
      <c r="AL4870" s="163">
        <v>4.8575827347441569</v>
      </c>
    </row>
    <row r="4871" spans="37:38" s="4" customFormat="1">
      <c r="AK4871" s="3">
        <v>4865</v>
      </c>
      <c r="AL4871" s="163">
        <v>4.8585761547614803</v>
      </c>
    </row>
    <row r="4872" spans="37:38" s="4" customFormat="1">
      <c r="AK4872" s="3">
        <v>4866</v>
      </c>
      <c r="AL4872" s="163">
        <v>4.8595696219970295</v>
      </c>
    </row>
    <row r="4873" spans="37:38" s="4" customFormat="1">
      <c r="AK4873" s="3">
        <v>4867</v>
      </c>
      <c r="AL4873" s="163">
        <v>4.860563136216836</v>
      </c>
    </row>
    <row r="4874" spans="37:38" s="4" customFormat="1">
      <c r="AK4874" s="3">
        <v>4868</v>
      </c>
      <c r="AL4874" s="163">
        <v>4.8615566971869804</v>
      </c>
    </row>
    <row r="4875" spans="37:38" s="4" customFormat="1">
      <c r="AK4875" s="3">
        <v>4869</v>
      </c>
      <c r="AL4875" s="163">
        <v>4.8625503046735012</v>
      </c>
    </row>
    <row r="4876" spans="37:38" s="4" customFormat="1">
      <c r="AK4876" s="3">
        <v>4870</v>
      </c>
      <c r="AL4876" s="163">
        <v>4.8635439584423459</v>
      </c>
    </row>
    <row r="4877" spans="37:38" s="4" customFormat="1">
      <c r="AK4877" s="3">
        <v>4871</v>
      </c>
      <c r="AL4877" s="163">
        <v>4.864537658259489</v>
      </c>
    </row>
    <row r="4878" spans="37:38" s="4" customFormat="1">
      <c r="AK4878" s="3">
        <v>4872</v>
      </c>
      <c r="AL4878" s="163">
        <v>4.8655314038908326</v>
      </c>
    </row>
    <row r="4879" spans="37:38" s="4" customFormat="1">
      <c r="AK4879" s="3">
        <v>4873</v>
      </c>
      <c r="AL4879" s="163">
        <v>4.866525195102259</v>
      </c>
    </row>
    <row r="4880" spans="37:38" s="4" customFormat="1">
      <c r="AK4880" s="3">
        <v>4874</v>
      </c>
      <c r="AL4880" s="163">
        <v>4.8675190316596266</v>
      </c>
    </row>
    <row r="4881" spans="37:38" s="4" customFormat="1">
      <c r="AK4881" s="3">
        <v>4875</v>
      </c>
      <c r="AL4881" s="163">
        <v>4.8685129133287459</v>
      </c>
    </row>
    <row r="4882" spans="37:38" s="4" customFormat="1">
      <c r="AK4882" s="3">
        <v>4876</v>
      </c>
      <c r="AL4882" s="163">
        <v>4.8695068398753953</v>
      </c>
    </row>
    <row r="4883" spans="37:38" s="4" customFormat="1">
      <c r="AK4883" s="3">
        <v>4877</v>
      </c>
      <c r="AL4883" s="163">
        <v>4.8705008110653303</v>
      </c>
    </row>
    <row r="4884" spans="37:38" s="4" customFormat="1">
      <c r="AK4884" s="3">
        <v>4878</v>
      </c>
      <c r="AL4884" s="163">
        <v>4.8714948266642573</v>
      </c>
    </row>
    <row r="4885" spans="37:38" s="4" customFormat="1">
      <c r="AK4885" s="3">
        <v>4879</v>
      </c>
      <c r="AL4885" s="163">
        <v>4.8724888864378748</v>
      </c>
    </row>
    <row r="4886" spans="37:38" s="4" customFormat="1">
      <c r="AK4886" s="3">
        <v>4880</v>
      </c>
      <c r="AL4886" s="163">
        <v>4.8734829901518237</v>
      </c>
    </row>
    <row r="4887" spans="37:38" s="4" customFormat="1">
      <c r="AK4887" s="3">
        <v>4881</v>
      </c>
      <c r="AL4887" s="163">
        <v>4.8744771375717173</v>
      </c>
    </row>
    <row r="4888" spans="37:38" s="4" customFormat="1">
      <c r="AK4888" s="3">
        <v>4882</v>
      </c>
      <c r="AL4888" s="163">
        <v>4.8754713284631492</v>
      </c>
    </row>
    <row r="4889" spans="37:38" s="4" customFormat="1">
      <c r="AK4889" s="3">
        <v>4883</v>
      </c>
      <c r="AL4889" s="163">
        <v>4.8764655625916795</v>
      </c>
    </row>
    <row r="4890" spans="37:38" s="4" customFormat="1">
      <c r="AK4890" s="3">
        <v>4884</v>
      </c>
      <c r="AL4890" s="163">
        <v>4.8774598397228281</v>
      </c>
    </row>
    <row r="4891" spans="37:38" s="4" customFormat="1">
      <c r="AK4891" s="3">
        <v>4885</v>
      </c>
      <c r="AL4891" s="163">
        <v>4.8784541596220734</v>
      </c>
    </row>
    <row r="4892" spans="37:38" s="4" customFormat="1">
      <c r="AK4892" s="3">
        <v>4886</v>
      </c>
      <c r="AL4892" s="163">
        <v>4.8794485220549015</v>
      </c>
    </row>
    <row r="4893" spans="37:38" s="4" customFormat="1">
      <c r="AK4893" s="3">
        <v>4887</v>
      </c>
      <c r="AL4893" s="163">
        <v>4.8804429267867171</v>
      </c>
    </row>
    <row r="4894" spans="37:38" s="4" customFormat="1">
      <c r="AK4894" s="3">
        <v>4888</v>
      </c>
      <c r="AL4894" s="163">
        <v>4.881437373582922</v>
      </c>
    </row>
    <row r="4895" spans="37:38" s="4" customFormat="1">
      <c r="AK4895" s="3">
        <v>4889</v>
      </c>
      <c r="AL4895" s="163">
        <v>4.8824318622088887</v>
      </c>
    </row>
    <row r="4896" spans="37:38" s="4" customFormat="1">
      <c r="AK4896" s="3">
        <v>4890</v>
      </c>
      <c r="AL4896" s="163">
        <v>4.8834263924299668</v>
      </c>
    </row>
    <row r="4897" spans="37:38" s="4" customFormat="1">
      <c r="AK4897" s="3">
        <v>4891</v>
      </c>
      <c r="AL4897" s="163">
        <v>4.8844209640114329</v>
      </c>
    </row>
    <row r="4898" spans="37:38" s="4" customFormat="1">
      <c r="AK4898" s="3">
        <v>4892</v>
      </c>
      <c r="AL4898" s="163">
        <v>4.8854155767185778</v>
      </c>
    </row>
    <row r="4899" spans="37:38" s="4" customFormat="1">
      <c r="AK4899" s="3">
        <v>4893</v>
      </c>
      <c r="AL4899" s="163">
        <v>4.8864102303166588</v>
      </c>
    </row>
    <row r="4900" spans="37:38" s="4" customFormat="1">
      <c r="AK4900" s="3">
        <v>4894</v>
      </c>
      <c r="AL4900" s="163">
        <v>4.8874049245708706</v>
      </c>
    </row>
    <row r="4901" spans="37:38" s="4" customFormat="1">
      <c r="AK4901" s="3">
        <v>4895</v>
      </c>
      <c r="AL4901" s="163">
        <v>4.8883996592464181</v>
      </c>
    </row>
    <row r="4902" spans="37:38" s="4" customFormat="1">
      <c r="AK4902" s="3">
        <v>4896</v>
      </c>
      <c r="AL4902" s="163">
        <v>4.8893944341084365</v>
      </c>
    </row>
    <row r="4903" spans="37:38" s="4" customFormat="1">
      <c r="AK4903" s="3">
        <v>4897</v>
      </c>
      <c r="AL4903" s="163">
        <v>4.8903892489220828</v>
      </c>
    </row>
    <row r="4904" spans="37:38" s="4" customFormat="1">
      <c r="AK4904" s="3">
        <v>4898</v>
      </c>
      <c r="AL4904" s="163">
        <v>4.8913841034524221</v>
      </c>
    </row>
    <row r="4905" spans="37:38" s="4" customFormat="1">
      <c r="AK4905" s="3">
        <v>4899</v>
      </c>
      <c r="AL4905" s="163">
        <v>4.8923789974645411</v>
      </c>
    </row>
    <row r="4906" spans="37:38" s="4" customFormat="1">
      <c r="AK4906" s="3">
        <v>4900</v>
      </c>
      <c r="AL4906" s="163">
        <v>4.8933739307234863</v>
      </c>
    </row>
    <row r="4907" spans="37:38" s="4" customFormat="1">
      <c r="AK4907" s="3">
        <v>4901</v>
      </c>
      <c r="AL4907" s="163">
        <v>4.8943689029942545</v>
      </c>
    </row>
    <row r="4908" spans="37:38" s="4" customFormat="1">
      <c r="AK4908" s="3">
        <v>4902</v>
      </c>
      <c r="AL4908" s="163">
        <v>4.8953639140418295</v>
      </c>
    </row>
    <row r="4909" spans="37:38" s="4" customFormat="1">
      <c r="AK4909" s="3">
        <v>4903</v>
      </c>
      <c r="AL4909" s="163">
        <v>4.8963589636311742</v>
      </c>
    </row>
    <row r="4910" spans="37:38" s="4" customFormat="1">
      <c r="AK4910" s="3">
        <v>4904</v>
      </c>
      <c r="AL4910" s="163">
        <v>4.8973540515272056</v>
      </c>
    </row>
    <row r="4911" spans="37:38" s="4" customFormat="1">
      <c r="AK4911" s="3">
        <v>4905</v>
      </c>
      <c r="AL4911" s="163">
        <v>4.898349177494846</v>
      </c>
    </row>
    <row r="4912" spans="37:38" s="4" customFormat="1">
      <c r="AK4912" s="3">
        <v>4906</v>
      </c>
      <c r="AL4912" s="163">
        <v>4.899344341298935</v>
      </c>
    </row>
    <row r="4913" spans="37:38" s="4" customFormat="1">
      <c r="AK4913" s="3">
        <v>4907</v>
      </c>
      <c r="AL4913" s="163">
        <v>4.9003395427043479</v>
      </c>
    </row>
    <row r="4914" spans="37:38" s="4" customFormat="1">
      <c r="AK4914" s="3">
        <v>4908</v>
      </c>
      <c r="AL4914" s="163">
        <v>4.9013347814758772</v>
      </c>
    </row>
    <row r="4915" spans="37:38" s="4" customFormat="1">
      <c r="AK4915" s="3">
        <v>4909</v>
      </c>
      <c r="AL4915" s="163">
        <v>4.9023300573783146</v>
      </c>
    </row>
    <row r="4916" spans="37:38" s="4" customFormat="1">
      <c r="AK4916" s="3">
        <v>4910</v>
      </c>
      <c r="AL4916" s="163">
        <v>4.9033253701764385</v>
      </c>
    </row>
    <row r="4917" spans="37:38" s="4" customFormat="1">
      <c r="AK4917" s="3">
        <v>4911</v>
      </c>
      <c r="AL4917" s="163">
        <v>4.9043207196349572</v>
      </c>
    </row>
    <row r="4918" spans="37:38" s="4" customFormat="1">
      <c r="AK4918" s="3">
        <v>4912</v>
      </c>
      <c r="AL4918" s="163">
        <v>4.9053161055186054</v>
      </c>
    </row>
    <row r="4919" spans="37:38" s="4" customFormat="1">
      <c r="AK4919" s="3">
        <v>4913</v>
      </c>
      <c r="AL4919" s="163">
        <v>4.9063115275920586</v>
      </c>
    </row>
    <row r="4920" spans="37:38" s="4" customFormat="1">
      <c r="AK4920" s="3">
        <v>4914</v>
      </c>
      <c r="AL4920" s="163">
        <v>4.9073069856199751</v>
      </c>
    </row>
    <row r="4921" spans="37:38" s="4" customFormat="1">
      <c r="AK4921" s="3">
        <v>4915</v>
      </c>
      <c r="AL4921" s="163">
        <v>4.9083024793669594</v>
      </c>
    </row>
    <row r="4922" spans="37:38" s="4" customFormat="1">
      <c r="AK4922" s="3">
        <v>4916</v>
      </c>
      <c r="AL4922" s="163">
        <v>4.9092980085976539</v>
      </c>
    </row>
    <row r="4923" spans="37:38" s="4" customFormat="1">
      <c r="AK4923" s="3">
        <v>4917</v>
      </c>
      <c r="AL4923" s="163">
        <v>4.9102935730766166</v>
      </c>
    </row>
    <row r="4924" spans="37:38" s="4" customFormat="1">
      <c r="AK4924" s="3">
        <v>4918</v>
      </c>
      <c r="AL4924" s="163">
        <v>4.9112891725684147</v>
      </c>
    </row>
    <row r="4925" spans="37:38" s="4" customFormat="1">
      <c r="AK4925" s="3">
        <v>4919</v>
      </c>
      <c r="AL4925" s="163">
        <v>4.9122848068375493</v>
      </c>
    </row>
    <row r="4926" spans="37:38" s="4" customFormat="1">
      <c r="AK4926" s="3">
        <v>4920</v>
      </c>
      <c r="AL4926" s="163">
        <v>4.9132804756485395</v>
      </c>
    </row>
    <row r="4927" spans="37:38" s="4" customFormat="1">
      <c r="AK4927" s="3">
        <v>4921</v>
      </c>
      <c r="AL4927" s="163">
        <v>4.9142761787658777</v>
      </c>
    </row>
    <row r="4928" spans="37:38" s="4" customFormat="1">
      <c r="AK4928" s="3">
        <v>4922</v>
      </c>
      <c r="AL4928" s="163">
        <v>4.9152719159539915</v>
      </c>
    </row>
    <row r="4929" spans="37:38" s="4" customFormat="1">
      <c r="AK4929" s="3">
        <v>4923</v>
      </c>
      <c r="AL4929" s="163">
        <v>4.9162676869773358</v>
      </c>
    </row>
    <row r="4930" spans="37:38" s="4" customFormat="1">
      <c r="AK4930" s="3">
        <v>4924</v>
      </c>
      <c r="AL4930" s="163">
        <v>4.9172634916002886</v>
      </c>
    </row>
    <row r="4931" spans="37:38" s="4" customFormat="1">
      <c r="AK4931" s="3">
        <v>4925</v>
      </c>
      <c r="AL4931" s="163">
        <v>4.9182593295872348</v>
      </c>
    </row>
    <row r="4932" spans="37:38" s="4" customFormat="1">
      <c r="AK4932" s="3">
        <v>4926</v>
      </c>
      <c r="AL4932" s="163">
        <v>4.9192552007025432</v>
      </c>
    </row>
    <row r="4933" spans="37:38" s="4" customFormat="1">
      <c r="AK4933" s="3">
        <v>4927</v>
      </c>
      <c r="AL4933" s="163">
        <v>4.9202511047105411</v>
      </c>
    </row>
    <row r="4934" spans="37:38" s="4" customFormat="1">
      <c r="AK4934" s="3">
        <v>4928</v>
      </c>
      <c r="AL4934" s="163">
        <v>4.9212470413755325</v>
      </c>
    </row>
    <row r="4935" spans="37:38" s="4" customFormat="1">
      <c r="AK4935" s="3">
        <v>4929</v>
      </c>
      <c r="AL4935" s="163">
        <v>4.9222430104618073</v>
      </c>
    </row>
    <row r="4936" spans="37:38" s="4" customFormat="1">
      <c r="AK4936" s="3">
        <v>4930</v>
      </c>
      <c r="AL4936" s="163">
        <v>4.9232390117336111</v>
      </c>
    </row>
    <row r="4937" spans="37:38" s="4" customFormat="1">
      <c r="AK4937" s="3">
        <v>4931</v>
      </c>
      <c r="AL4937" s="163">
        <v>4.9242350449552035</v>
      </c>
    </row>
    <row r="4938" spans="37:38" s="4" customFormat="1">
      <c r="AK4938" s="3">
        <v>4932</v>
      </c>
      <c r="AL4938" s="163">
        <v>4.9252311098907926</v>
      </c>
    </row>
    <row r="4939" spans="37:38" s="4" customFormat="1">
      <c r="AK4939" s="3">
        <v>4933</v>
      </c>
      <c r="AL4939" s="163">
        <v>4.9262272063045716</v>
      </c>
    </row>
    <row r="4940" spans="37:38" s="4" customFormat="1">
      <c r="AK4940" s="3">
        <v>4934</v>
      </c>
      <c r="AL4940" s="163">
        <v>4.9272233339607165</v>
      </c>
    </row>
    <row r="4941" spans="37:38" s="4" customFormat="1">
      <c r="AK4941" s="3">
        <v>4935</v>
      </c>
      <c r="AL4941" s="163">
        <v>4.9282194926233496</v>
      </c>
    </row>
    <row r="4942" spans="37:38" s="4" customFormat="1">
      <c r="AK4942" s="3">
        <v>4936</v>
      </c>
      <c r="AL4942" s="163">
        <v>4.9292156820566353</v>
      </c>
    </row>
    <row r="4943" spans="37:38" s="4" customFormat="1">
      <c r="AK4943" s="3">
        <v>4937</v>
      </c>
      <c r="AL4943" s="163">
        <v>4.930211902024654</v>
      </c>
    </row>
    <row r="4944" spans="37:38" s="4" customFormat="1">
      <c r="AK4944" s="3">
        <v>4938</v>
      </c>
      <c r="AL4944" s="163">
        <v>4.9312081522914806</v>
      </c>
    </row>
    <row r="4945" spans="37:38" s="4" customFormat="1">
      <c r="AK4945" s="3">
        <v>4939</v>
      </c>
      <c r="AL4945" s="163">
        <v>4.93220443262119</v>
      </c>
    </row>
    <row r="4946" spans="37:38" s="4" customFormat="1">
      <c r="AK4946" s="3">
        <v>4940</v>
      </c>
      <c r="AL4946" s="163">
        <v>4.9332007427778217</v>
      </c>
    </row>
    <row r="4947" spans="37:38" s="4" customFormat="1">
      <c r="AK4947" s="3">
        <v>4941</v>
      </c>
      <c r="AL4947" s="163">
        <v>4.9341970825253831</v>
      </c>
    </row>
    <row r="4948" spans="37:38" s="4" customFormat="1">
      <c r="AK4948" s="3">
        <v>4942</v>
      </c>
      <c r="AL4948" s="163">
        <v>4.9351934516278719</v>
      </c>
    </row>
    <row r="4949" spans="37:38" s="4" customFormat="1">
      <c r="AK4949" s="3">
        <v>4943</v>
      </c>
      <c r="AL4949" s="163">
        <v>4.9361898498492787</v>
      </c>
    </row>
    <row r="4950" spans="37:38" s="4" customFormat="1">
      <c r="AK4950" s="3">
        <v>4944</v>
      </c>
      <c r="AL4950" s="163">
        <v>4.9371862769535344</v>
      </c>
    </row>
    <row r="4951" spans="37:38" s="4" customFormat="1">
      <c r="AK4951" s="3">
        <v>4945</v>
      </c>
      <c r="AL4951" s="163">
        <v>4.9381827327046004</v>
      </c>
    </row>
    <row r="4952" spans="37:38" s="4" customFormat="1">
      <c r="AK4952" s="3">
        <v>4946</v>
      </c>
      <c r="AL4952" s="163">
        <v>4.9391792168663669</v>
      </c>
    </row>
    <row r="4953" spans="37:38" s="4" customFormat="1">
      <c r="AK4953" s="3">
        <v>4947</v>
      </c>
      <c r="AL4953" s="163">
        <v>4.9401757292027417</v>
      </c>
    </row>
    <row r="4954" spans="37:38" s="4" customFormat="1">
      <c r="AK4954" s="3">
        <v>4948</v>
      </c>
      <c r="AL4954" s="163">
        <v>4.9411722694775833</v>
      </c>
    </row>
    <row r="4955" spans="37:38" s="4" customFormat="1">
      <c r="AK4955" s="3">
        <v>4949</v>
      </c>
      <c r="AL4955" s="163">
        <v>4.942168837454771</v>
      </c>
    </row>
    <row r="4956" spans="37:38" s="4" customFormat="1">
      <c r="AK4956" s="3">
        <v>4950</v>
      </c>
      <c r="AL4956" s="163">
        <v>4.9431654328981116</v>
      </c>
    </row>
    <row r="4957" spans="37:38" s="4" customFormat="1">
      <c r="AK4957" s="3">
        <v>4951</v>
      </c>
      <c r="AL4957" s="163">
        <v>4.9441620555714376</v>
      </c>
    </row>
    <row r="4958" spans="37:38" s="4" customFormat="1">
      <c r="AK4958" s="3">
        <v>4952</v>
      </c>
      <c r="AL4958" s="163">
        <v>4.9451587052385353</v>
      </c>
    </row>
    <row r="4959" spans="37:38" s="4" customFormat="1">
      <c r="AK4959" s="3">
        <v>4953</v>
      </c>
      <c r="AL4959" s="163">
        <v>4.9461553816631874</v>
      </c>
    </row>
    <row r="4960" spans="37:38" s="4" customFormat="1">
      <c r="AK4960" s="3">
        <v>4954</v>
      </c>
      <c r="AL4960" s="163">
        <v>4.9471520846091517</v>
      </c>
    </row>
    <row r="4961" spans="37:38" s="4" customFormat="1">
      <c r="AK4961" s="3">
        <v>4955</v>
      </c>
      <c r="AL4961" s="163">
        <v>4.9481488138401657</v>
      </c>
    </row>
    <row r="4962" spans="37:38" s="4" customFormat="1">
      <c r="AK4962" s="3">
        <v>4956</v>
      </c>
      <c r="AL4962" s="163">
        <v>4.9491455691199571</v>
      </c>
    </row>
    <row r="4963" spans="37:38" s="4" customFormat="1">
      <c r="AK4963" s="3">
        <v>4957</v>
      </c>
      <c r="AL4963" s="163">
        <v>4.9501423502122108</v>
      </c>
    </row>
    <row r="4964" spans="37:38" s="4" customFormat="1">
      <c r="AK4964" s="3">
        <v>4958</v>
      </c>
      <c r="AL4964" s="163">
        <v>4.9511391568806191</v>
      </c>
    </row>
    <row r="4965" spans="37:38" s="4" customFormat="1">
      <c r="AK4965" s="3">
        <v>4959</v>
      </c>
      <c r="AL4965" s="163">
        <v>4.9521359888888474</v>
      </c>
    </row>
    <row r="4966" spans="37:38" s="4" customFormat="1">
      <c r="AK4966" s="3">
        <v>4960</v>
      </c>
      <c r="AL4966" s="163">
        <v>4.953132846000547</v>
      </c>
    </row>
    <row r="4967" spans="37:38" s="4" customFormat="1">
      <c r="AK4967" s="3">
        <v>4961</v>
      </c>
      <c r="AL4967" s="163">
        <v>4.9541297279793497</v>
      </c>
    </row>
    <row r="4968" spans="37:38" s="4" customFormat="1">
      <c r="AK4968" s="3">
        <v>4962</v>
      </c>
      <c r="AL4968" s="163">
        <v>4.9551266345888694</v>
      </c>
    </row>
    <row r="4969" spans="37:38" s="4" customFormat="1">
      <c r="AK4969" s="3">
        <v>4963</v>
      </c>
      <c r="AL4969" s="163">
        <v>4.9561235655926916</v>
      </c>
    </row>
    <row r="4970" spans="37:38" s="4" customFormat="1">
      <c r="AK4970" s="3">
        <v>4964</v>
      </c>
      <c r="AL4970" s="163">
        <v>4.957120520754402</v>
      </c>
    </row>
    <row r="4971" spans="37:38" s="4" customFormat="1">
      <c r="AK4971" s="3">
        <v>4965</v>
      </c>
      <c r="AL4971" s="163">
        <v>4.9581174998375719</v>
      </c>
    </row>
    <row r="4972" spans="37:38" s="4" customFormat="1">
      <c r="AK4972" s="3">
        <v>4966</v>
      </c>
      <c r="AL4972" s="163">
        <v>4.9591145026057326</v>
      </c>
    </row>
    <row r="4973" spans="37:38" s="4" customFormat="1">
      <c r="AK4973" s="3">
        <v>4967</v>
      </c>
      <c r="AL4973" s="163">
        <v>4.9601115288224147</v>
      </c>
    </row>
    <row r="4974" spans="37:38" s="4" customFormat="1">
      <c r="AK4974" s="3">
        <v>4968</v>
      </c>
      <c r="AL4974" s="163">
        <v>4.9611085782511397</v>
      </c>
    </row>
    <row r="4975" spans="37:38" s="4" customFormat="1">
      <c r="AK4975" s="3">
        <v>4969</v>
      </c>
      <c r="AL4975" s="163">
        <v>4.9621056506553867</v>
      </c>
    </row>
    <row r="4976" spans="37:38" s="4" customFormat="1">
      <c r="AK4976" s="3">
        <v>4970</v>
      </c>
      <c r="AL4976" s="163">
        <v>4.9631027457986647</v>
      </c>
    </row>
    <row r="4977" spans="37:38" s="4" customFormat="1">
      <c r="AK4977" s="3">
        <v>4971</v>
      </c>
      <c r="AL4977" s="163">
        <v>4.964099863444404</v>
      </c>
    </row>
    <row r="4978" spans="37:38" s="4" customFormat="1">
      <c r="AK4978" s="3">
        <v>4972</v>
      </c>
      <c r="AL4978" s="163">
        <v>4.9650970033560888</v>
      </c>
    </row>
    <row r="4979" spans="37:38" s="4" customFormat="1">
      <c r="AK4979" s="3">
        <v>4973</v>
      </c>
      <c r="AL4979" s="163">
        <v>4.9660941652971227</v>
      </c>
    </row>
    <row r="4980" spans="37:38" s="4" customFormat="1">
      <c r="AK4980" s="3">
        <v>4974</v>
      </c>
      <c r="AL4980" s="163">
        <v>4.9670913490309445</v>
      </c>
    </row>
    <row r="4981" spans="37:38" s="4" customFormat="1">
      <c r="AK4981" s="3">
        <v>4975</v>
      </c>
      <c r="AL4981" s="163">
        <v>4.9680885543209472</v>
      </c>
    </row>
    <row r="4982" spans="37:38" s="4" customFormat="1">
      <c r="AK4982" s="3">
        <v>4976</v>
      </c>
      <c r="AL4982" s="163">
        <v>4.9690857809305209</v>
      </c>
    </row>
    <row r="4983" spans="37:38" s="4" customFormat="1">
      <c r="AK4983" s="3">
        <v>4977</v>
      </c>
      <c r="AL4983" s="163">
        <v>4.9700830286230424</v>
      </c>
    </row>
    <row r="4984" spans="37:38" s="4" customFormat="1">
      <c r="AK4984" s="3">
        <v>4978</v>
      </c>
      <c r="AL4984" s="163">
        <v>4.9710802971618646</v>
      </c>
    </row>
    <row r="4985" spans="37:38" s="4" customFormat="1">
      <c r="AK4985" s="3">
        <v>4979</v>
      </c>
      <c r="AL4985" s="163">
        <v>4.9720775863103412</v>
      </c>
    </row>
    <row r="4986" spans="37:38" s="4" customFormat="1">
      <c r="AK4986" s="3">
        <v>4980</v>
      </c>
      <c r="AL4986" s="163">
        <v>4.9730748958318056</v>
      </c>
    </row>
    <row r="4987" spans="37:38" s="4" customFormat="1">
      <c r="AK4987" s="3">
        <v>4981</v>
      </c>
      <c r="AL4987" s="163">
        <v>4.9740722254895609</v>
      </c>
    </row>
    <row r="4988" spans="37:38" s="4" customFormat="1">
      <c r="AK4988" s="3">
        <v>4982</v>
      </c>
      <c r="AL4988" s="163">
        <v>4.9750695750469243</v>
      </c>
    </row>
    <row r="4989" spans="37:38" s="4" customFormat="1">
      <c r="AK4989" s="3">
        <v>4983</v>
      </c>
      <c r="AL4989" s="163">
        <v>4.9760669442671768</v>
      </c>
    </row>
    <row r="4990" spans="37:38" s="4" customFormat="1">
      <c r="AK4990" s="3">
        <v>4984</v>
      </c>
      <c r="AL4990" s="163">
        <v>4.9770643329135957</v>
      </c>
    </row>
    <row r="4991" spans="37:38" s="4" customFormat="1">
      <c r="AK4991" s="3">
        <v>4985</v>
      </c>
      <c r="AL4991" s="163">
        <v>4.9780617407494532</v>
      </c>
    </row>
    <row r="4992" spans="37:38" s="4" customFormat="1">
      <c r="AK4992" s="3">
        <v>4986</v>
      </c>
      <c r="AL4992" s="163">
        <v>4.9790591675379909</v>
      </c>
    </row>
    <row r="4993" spans="37:38" s="4" customFormat="1">
      <c r="AK4993" s="3">
        <v>4987</v>
      </c>
      <c r="AL4993" s="163">
        <v>4.9800566130424428</v>
      </c>
    </row>
    <row r="4994" spans="37:38" s="4" customFormat="1">
      <c r="AK4994" s="3">
        <v>4988</v>
      </c>
      <c r="AL4994" s="163">
        <v>4.9810540770260427</v>
      </c>
    </row>
    <row r="4995" spans="37:38" s="4" customFormat="1">
      <c r="AK4995" s="3">
        <v>4989</v>
      </c>
      <c r="AL4995" s="163">
        <v>4.9820515592519996</v>
      </c>
    </row>
    <row r="4996" spans="37:38" s="4" customFormat="1">
      <c r="AK4996" s="3">
        <v>4990</v>
      </c>
      <c r="AL4996" s="163">
        <v>4.9830490594835108</v>
      </c>
    </row>
    <row r="4997" spans="37:38" s="4" customFormat="1">
      <c r="AK4997" s="3">
        <v>4991</v>
      </c>
      <c r="AL4997" s="163">
        <v>4.9840465774837703</v>
      </c>
    </row>
    <row r="4998" spans="37:38" s="4" customFormat="1">
      <c r="AK4998" s="3">
        <v>4992</v>
      </c>
      <c r="AL4998" s="163">
        <v>4.9850441130159551</v>
      </c>
    </row>
    <row r="4999" spans="37:38" s="4" customFormat="1">
      <c r="AK4999" s="3">
        <v>4993</v>
      </c>
      <c r="AL4999" s="163">
        <v>4.986041665843211</v>
      </c>
    </row>
    <row r="5000" spans="37:38" s="4" customFormat="1">
      <c r="AK5000" s="3">
        <v>4994</v>
      </c>
      <c r="AL5000" s="163">
        <v>4.9870392357287203</v>
      </c>
    </row>
    <row r="5001" spans="37:38" s="4" customFormat="1">
      <c r="AK5001" s="3">
        <v>4995</v>
      </c>
      <c r="AL5001" s="163">
        <v>4.9880368224355909</v>
      </c>
    </row>
    <row r="5002" spans="37:38" s="4" customFormat="1">
      <c r="AK5002" s="3">
        <v>4996</v>
      </c>
      <c r="AL5002" s="163">
        <v>4.9890344257269881</v>
      </c>
    </row>
    <row r="5003" spans="37:38" s="4" customFormat="1">
      <c r="AK5003" s="3">
        <v>4997</v>
      </c>
      <c r="AL5003" s="163">
        <v>4.9900320453660099</v>
      </c>
    </row>
    <row r="5004" spans="37:38" s="4" customFormat="1">
      <c r="AK5004" s="3">
        <v>4998</v>
      </c>
      <c r="AL5004" s="163">
        <v>4.9910296811157551</v>
      </c>
    </row>
    <row r="5005" spans="37:38" s="4" customFormat="1">
      <c r="AK5005" s="3">
        <v>4999</v>
      </c>
      <c r="AL5005" s="163">
        <v>4.9920273327393492</v>
      </c>
    </row>
    <row r="5006" spans="37:38" s="4" customFormat="1">
      <c r="AK5006" s="3">
        <v>5000</v>
      </c>
      <c r="AL5006" s="163">
        <v>4.9930249999998635</v>
      </c>
    </row>
    <row r="5007" spans="37:38" s="4" customFormat="1">
      <c r="AK5007" s="3">
        <v>5001</v>
      </c>
      <c r="AL5007" s="163">
        <v>4.9940226826603729</v>
      </c>
    </row>
    <row r="5008" spans="37:38" s="4" customFormat="1">
      <c r="AK5008" s="3">
        <v>5002</v>
      </c>
      <c r="AL5008" s="163">
        <v>4.9950203804839575</v>
      </c>
    </row>
    <row r="5009" spans="37:38" s="4" customFormat="1">
      <c r="AK5009" s="3">
        <v>5003</v>
      </c>
      <c r="AL5009" s="163">
        <v>4.9960180932336558</v>
      </c>
    </row>
    <row r="5010" spans="37:38" s="4" customFormat="1">
      <c r="AK5010" s="3">
        <v>5004</v>
      </c>
      <c r="AL5010" s="163">
        <v>4.9970158206725195</v>
      </c>
    </row>
    <row r="5011" spans="37:38" s="4" customFormat="1">
      <c r="AK5011" s="3">
        <v>5005</v>
      </c>
      <c r="AL5011" s="163">
        <v>4.9980135625636057</v>
      </c>
    </row>
    <row r="5012" spans="37:38" s="4" customFormat="1">
      <c r="AK5012" s="3">
        <v>5006</v>
      </c>
      <c r="AL5012" s="163">
        <v>4.999011318669921</v>
      </c>
    </row>
    <row r="5013" spans="37:38" s="4" customFormat="1">
      <c r="AK5013" s="3">
        <v>5007</v>
      </c>
      <c r="AL5013" s="163">
        <v>5.0000090887544903</v>
      </c>
    </row>
    <row r="5014" spans="37:38" s="4" customFormat="1">
      <c r="AK5014" s="3">
        <v>5008</v>
      </c>
      <c r="AL5014" s="163">
        <v>5.0010068725803363</v>
      </c>
    </row>
    <row r="5015" spans="37:38" s="4" customFormat="1">
      <c r="AK5015" s="3">
        <v>5009</v>
      </c>
      <c r="AL5015" s="163">
        <v>5.0020046699104483</v>
      </c>
    </row>
    <row r="5016" spans="37:38" s="4" customFormat="1">
      <c r="AK5016" s="3">
        <v>5010</v>
      </c>
      <c r="AL5016" s="163">
        <v>5.0030024805078197</v>
      </c>
    </row>
    <row r="5017" spans="37:38" s="4" customFormat="1">
      <c r="AK5017" s="3">
        <v>5011</v>
      </c>
      <c r="AL5017" s="163">
        <v>5.0040003041354328</v>
      </c>
    </row>
    <row r="5018" spans="37:38" s="4" customFormat="1">
      <c r="AK5018" s="3">
        <v>5012</v>
      </c>
      <c r="AL5018" s="163">
        <v>5.0049981405562702</v>
      </c>
    </row>
    <row r="5019" spans="37:38" s="4" customFormat="1">
      <c r="AK5019" s="3">
        <v>5013</v>
      </c>
      <c r="AL5019" s="163">
        <v>5.0059959895332948</v>
      </c>
    </row>
    <row r="5020" spans="37:38" s="4" customFormat="1">
      <c r="AK5020" s="3">
        <v>5014</v>
      </c>
      <c r="AL5020" s="163">
        <v>5.0069938508294829</v>
      </c>
    </row>
    <row r="5021" spans="37:38" s="4" customFormat="1">
      <c r="AK5021" s="3">
        <v>5015</v>
      </c>
      <c r="AL5021" s="163">
        <v>5.0079917242077645</v>
      </c>
    </row>
    <row r="5022" spans="37:38" s="4" customFormat="1">
      <c r="AK5022" s="3">
        <v>5016</v>
      </c>
      <c r="AL5022" s="163">
        <v>5.0089896094311035</v>
      </c>
    </row>
    <row r="5023" spans="37:38" s="4" customFormat="1">
      <c r="AK5023" s="3">
        <v>5017</v>
      </c>
      <c r="AL5023" s="163">
        <v>5.0099875062624237</v>
      </c>
    </row>
    <row r="5024" spans="37:38" s="4" customFormat="1">
      <c r="AK5024" s="3">
        <v>5018</v>
      </c>
      <c r="AL5024" s="163">
        <v>5.0109854144646606</v>
      </c>
    </row>
    <row r="5025" spans="37:38" s="4" customFormat="1">
      <c r="AK5025" s="3">
        <v>5019</v>
      </c>
      <c r="AL5025" s="163">
        <v>5.0119833338007416</v>
      </c>
    </row>
    <row r="5026" spans="37:38" s="4" customFormat="1">
      <c r="AK5026" s="3">
        <v>5020</v>
      </c>
      <c r="AL5026" s="163">
        <v>5.0129812640335878</v>
      </c>
    </row>
    <row r="5027" spans="37:38" s="4" customFormat="1">
      <c r="AK5027" s="3">
        <v>5021</v>
      </c>
      <c r="AL5027" s="163">
        <v>5.0139792049260912</v>
      </c>
    </row>
    <row r="5028" spans="37:38" s="4" customFormat="1">
      <c r="AK5028" s="3">
        <v>5022</v>
      </c>
      <c r="AL5028" s="163">
        <v>5.0149771562411747</v>
      </c>
    </row>
    <row r="5029" spans="37:38" s="4" customFormat="1">
      <c r="AK5029" s="3">
        <v>5023</v>
      </c>
      <c r="AL5029" s="163">
        <v>5.0159751177417347</v>
      </c>
    </row>
    <row r="5030" spans="37:38" s="4" customFormat="1">
      <c r="AK5030" s="3">
        <v>5024</v>
      </c>
      <c r="AL5030" s="163">
        <v>5.0169730891906452</v>
      </c>
    </row>
    <row r="5031" spans="37:38" s="4" customFormat="1">
      <c r="AK5031" s="3">
        <v>5025</v>
      </c>
      <c r="AL5031" s="163">
        <v>5.017971070350816</v>
      </c>
    </row>
    <row r="5032" spans="37:38" s="4" customFormat="1">
      <c r="AK5032" s="3">
        <v>5026</v>
      </c>
      <c r="AL5032" s="163">
        <v>5.0189690609850999</v>
      </c>
    </row>
    <row r="5033" spans="37:38" s="4" customFormat="1">
      <c r="AK5033" s="3">
        <v>5027</v>
      </c>
      <c r="AL5033" s="163">
        <v>5.0199670608564002</v>
      </c>
    </row>
    <row r="5034" spans="37:38" s="4" customFormat="1">
      <c r="AK5034" s="3">
        <v>5028</v>
      </c>
      <c r="AL5034" s="163">
        <v>5.0209650697275769</v>
      </c>
    </row>
    <row r="5035" spans="37:38" s="4" customFormat="1">
      <c r="AK5035" s="3">
        <v>5029</v>
      </c>
      <c r="AL5035" s="163">
        <v>5.0219630873614864</v>
      </c>
    </row>
    <row r="5036" spans="37:38" s="4" customFormat="1">
      <c r="AK5036" s="3">
        <v>5030</v>
      </c>
      <c r="AL5036" s="163">
        <v>5.0229611135209833</v>
      </c>
    </row>
    <row r="5037" spans="37:38" s="4" customFormat="1">
      <c r="AK5037" s="3">
        <v>5031</v>
      </c>
      <c r="AL5037" s="163">
        <v>5.023959147968946</v>
      </c>
    </row>
    <row r="5038" spans="37:38" s="4" customFormat="1">
      <c r="AK5038" s="3">
        <v>5032</v>
      </c>
      <c r="AL5038" s="163">
        <v>5.0249571904682089</v>
      </c>
    </row>
    <row r="5039" spans="37:38" s="4" customFormat="1">
      <c r="AK5039" s="3">
        <v>5033</v>
      </c>
      <c r="AL5039" s="163">
        <v>5.0259552407816157</v>
      </c>
    </row>
    <row r="5040" spans="37:38" s="4" customFormat="1">
      <c r="AK5040" s="3">
        <v>5034</v>
      </c>
      <c r="AL5040" s="163">
        <v>5.026953298672006</v>
      </c>
    </row>
    <row r="5041" spans="37:38" s="4" customFormat="1">
      <c r="AK5041" s="3">
        <v>5035</v>
      </c>
      <c r="AL5041" s="163">
        <v>5.0279513639022335</v>
      </c>
    </row>
    <row r="5042" spans="37:38" s="4" customFormat="1">
      <c r="AK5042" s="3">
        <v>5036</v>
      </c>
      <c r="AL5042" s="163">
        <v>5.0289494362351181</v>
      </c>
    </row>
    <row r="5043" spans="37:38" s="4" customFormat="1">
      <c r="AK5043" s="3">
        <v>5037</v>
      </c>
      <c r="AL5043" s="163">
        <v>5.0299475154334923</v>
      </c>
    </row>
    <row r="5044" spans="37:38" s="4" customFormat="1">
      <c r="AK5044" s="3">
        <v>5038</v>
      </c>
      <c r="AL5044" s="163">
        <v>5.0309456012601839</v>
      </c>
    </row>
    <row r="5045" spans="37:38" s="4" customFormat="1">
      <c r="AK5045" s="3">
        <v>5039</v>
      </c>
      <c r="AL5045" s="163">
        <v>5.0319436934780111</v>
      </c>
    </row>
    <row r="5046" spans="37:38" s="4" customFormat="1">
      <c r="AK5046" s="3">
        <v>5040</v>
      </c>
      <c r="AL5046" s="163">
        <v>5.0329417918498001</v>
      </c>
    </row>
    <row r="5047" spans="37:38" s="4" customFormat="1">
      <c r="AK5047" s="3">
        <v>5041</v>
      </c>
      <c r="AL5047" s="163">
        <v>5.0339398961383681</v>
      </c>
    </row>
    <row r="5048" spans="37:38" s="4" customFormat="1">
      <c r="AK5048" s="3">
        <v>5042</v>
      </c>
      <c r="AL5048" s="163">
        <v>5.0349380061065308</v>
      </c>
    </row>
    <row r="5049" spans="37:38" s="4" customFormat="1">
      <c r="AK5049" s="3">
        <v>5043</v>
      </c>
      <c r="AL5049" s="163">
        <v>5.0359361215170955</v>
      </c>
    </row>
    <row r="5050" spans="37:38" s="4" customFormat="1">
      <c r="AK5050" s="3">
        <v>5044</v>
      </c>
      <c r="AL5050" s="163">
        <v>5.0369342421328733</v>
      </c>
    </row>
    <row r="5051" spans="37:38" s="4" customFormat="1">
      <c r="AK5051" s="3">
        <v>5045</v>
      </c>
      <c r="AL5051" s="163">
        <v>5.0379323677166754</v>
      </c>
    </row>
    <row r="5052" spans="37:38" s="4" customFormat="1">
      <c r="AK5052" s="3">
        <v>5046</v>
      </c>
      <c r="AL5052" s="163">
        <v>5.0389304980312932</v>
      </c>
    </row>
    <row r="5053" spans="37:38" s="4" customFormat="1">
      <c r="AK5053" s="3">
        <v>5047</v>
      </c>
      <c r="AL5053" s="163">
        <v>5.0399286328395512</v>
      </c>
    </row>
    <row r="5054" spans="37:38" s="4" customFormat="1">
      <c r="AK5054" s="3">
        <v>5048</v>
      </c>
      <c r="AL5054" s="163">
        <v>5.0409267719042443</v>
      </c>
    </row>
    <row r="5055" spans="37:38" s="4" customFormat="1">
      <c r="AK5055" s="3">
        <v>5049</v>
      </c>
      <c r="AL5055" s="163">
        <v>5.0419249149881606</v>
      </c>
    </row>
    <row r="5056" spans="37:38" s="4" customFormat="1">
      <c r="AK5056" s="3">
        <v>5050</v>
      </c>
      <c r="AL5056" s="163">
        <v>5.042923061854113</v>
      </c>
    </row>
    <row r="5057" spans="37:38" s="4" customFormat="1">
      <c r="AK5057" s="3">
        <v>5051</v>
      </c>
      <c r="AL5057" s="163">
        <v>5.0439212122649</v>
      </c>
    </row>
    <row r="5058" spans="37:38" s="4" customFormat="1">
      <c r="AK5058" s="3">
        <v>5052</v>
      </c>
      <c r="AL5058" s="163">
        <v>5.0449193659833069</v>
      </c>
    </row>
    <row r="5059" spans="37:38" s="4" customFormat="1">
      <c r="AK5059" s="3">
        <v>5053</v>
      </c>
      <c r="AL5059" s="163">
        <v>5.0459175227721396</v>
      </c>
    </row>
    <row r="5060" spans="37:38" s="4" customFormat="1">
      <c r="AK5060" s="3">
        <v>5054</v>
      </c>
      <c r="AL5060" s="163">
        <v>5.046915682394193</v>
      </c>
    </row>
    <row r="5061" spans="37:38" s="4" customFormat="1">
      <c r="AK5061" s="3">
        <v>5055</v>
      </c>
      <c r="AL5061" s="163">
        <v>5.0479138446122587</v>
      </c>
    </row>
    <row r="5062" spans="37:38" s="4" customFormat="1">
      <c r="AK5062" s="3">
        <v>5056</v>
      </c>
      <c r="AL5062" s="163">
        <v>5.0489120091891424</v>
      </c>
    </row>
    <row r="5063" spans="37:38" s="4" customFormat="1">
      <c r="AK5063" s="3">
        <v>5057</v>
      </c>
      <c r="AL5063" s="163">
        <v>5.0499101758876312</v>
      </c>
    </row>
    <row r="5064" spans="37:38" s="4" customFormat="1">
      <c r="AK5064" s="3">
        <v>5058</v>
      </c>
      <c r="AL5064" s="163">
        <v>5.0509083444705176</v>
      </c>
    </row>
    <row r="5065" spans="37:38" s="4" customFormat="1">
      <c r="AK5065" s="3">
        <v>5059</v>
      </c>
      <c r="AL5065" s="163">
        <v>5.0519065147006108</v>
      </c>
    </row>
    <row r="5066" spans="37:38" s="4" customFormat="1">
      <c r="AK5066" s="3">
        <v>5060</v>
      </c>
      <c r="AL5066" s="163">
        <v>5.0529046863406935</v>
      </c>
    </row>
    <row r="5067" spans="37:38" s="4" customFormat="1">
      <c r="AK5067" s="3">
        <v>5061</v>
      </c>
      <c r="AL5067" s="163">
        <v>5.0539028591535651</v>
      </c>
    </row>
    <row r="5068" spans="37:38" s="4" customFormat="1">
      <c r="AK5068" s="3">
        <v>5062</v>
      </c>
      <c r="AL5068" s="163">
        <v>5.0549010329020385</v>
      </c>
    </row>
    <row r="5069" spans="37:38" s="4" customFormat="1">
      <c r="AK5069" s="3">
        <v>5063</v>
      </c>
      <c r="AL5069" s="163">
        <v>5.0558992073488929</v>
      </c>
    </row>
    <row r="5070" spans="37:38" s="4" customFormat="1">
      <c r="AK5070" s="3">
        <v>5064</v>
      </c>
      <c r="AL5070" s="163">
        <v>5.0568973822569427</v>
      </c>
    </row>
    <row r="5071" spans="37:38" s="4" customFormat="1">
      <c r="AK5071" s="3">
        <v>5065</v>
      </c>
      <c r="AL5071" s="163">
        <v>5.0578955573889806</v>
      </c>
    </row>
    <row r="5072" spans="37:38" s="4" customFormat="1">
      <c r="AK5072" s="3">
        <v>5066</v>
      </c>
      <c r="AL5072" s="163">
        <v>5.0588937325078307</v>
      </c>
    </row>
    <row r="5073" spans="37:38" s="4" customFormat="1">
      <c r="AK5073" s="3">
        <v>5067</v>
      </c>
      <c r="AL5073" s="163">
        <v>5.0598919073762758</v>
      </c>
    </row>
    <row r="5074" spans="37:38" s="4" customFormat="1">
      <c r="AK5074" s="3">
        <v>5068</v>
      </c>
      <c r="AL5074" s="163">
        <v>5.0608900817571278</v>
      </c>
    </row>
    <row r="5075" spans="37:38" s="4" customFormat="1">
      <c r="AK5075" s="3">
        <v>5069</v>
      </c>
      <c r="AL5075" s="163">
        <v>5.0618882554132085</v>
      </c>
    </row>
    <row r="5076" spans="37:38" s="4" customFormat="1">
      <c r="AK5076" s="3">
        <v>5070</v>
      </c>
      <c r="AL5076" s="163">
        <v>5.0628864281073191</v>
      </c>
    </row>
    <row r="5077" spans="37:38" s="4" customFormat="1">
      <c r="AK5077" s="3">
        <v>5071</v>
      </c>
      <c r="AL5077" s="163">
        <v>5.0638845996022743</v>
      </c>
    </row>
    <row r="5078" spans="37:38" s="4" customFormat="1">
      <c r="AK5078" s="3">
        <v>5072</v>
      </c>
      <c r="AL5078" s="163">
        <v>5.0648827696609118</v>
      </c>
    </row>
    <row r="5079" spans="37:38" s="4" customFormat="1">
      <c r="AK5079" s="3">
        <v>5073</v>
      </c>
      <c r="AL5079" s="163">
        <v>5.0658809380460239</v>
      </c>
    </row>
    <row r="5080" spans="37:38" s="4" customFormat="1">
      <c r="AK5080" s="3">
        <v>5074</v>
      </c>
      <c r="AL5080" s="163">
        <v>5.066879104520452</v>
      </c>
    </row>
    <row r="5081" spans="37:38" s="4" customFormat="1">
      <c r="AK5081" s="3">
        <v>5075</v>
      </c>
      <c r="AL5081" s="163">
        <v>5.0678772688470257</v>
      </c>
    </row>
    <row r="5082" spans="37:38" s="4" customFormat="1">
      <c r="AK5082" s="3">
        <v>5076</v>
      </c>
      <c r="AL5082" s="163">
        <v>5.0688754307885597</v>
      </c>
    </row>
    <row r="5083" spans="37:38" s="4" customFormat="1">
      <c r="AK5083" s="3">
        <v>5077</v>
      </c>
      <c r="AL5083" s="163">
        <v>5.0698735901078988</v>
      </c>
    </row>
    <row r="5084" spans="37:38" s="4" customFormat="1">
      <c r="AK5084" s="3">
        <v>5078</v>
      </c>
      <c r="AL5084" s="163">
        <v>5.0708717465678879</v>
      </c>
    </row>
    <row r="5085" spans="37:38" s="4" customFormat="1">
      <c r="AK5085" s="3">
        <v>5079</v>
      </c>
      <c r="AL5085" s="163">
        <v>5.0718698999313601</v>
      </c>
    </row>
    <row r="5086" spans="37:38" s="4" customFormat="1">
      <c r="AK5086" s="3">
        <v>5080</v>
      </c>
      <c r="AL5086" s="163">
        <v>5.072868049961162</v>
      </c>
    </row>
    <row r="5087" spans="37:38" s="4" customFormat="1">
      <c r="AK5087" s="3">
        <v>5081</v>
      </c>
      <c r="AL5087" s="163">
        <v>5.0738661964201439</v>
      </c>
    </row>
    <row r="5088" spans="37:38" s="4" customFormat="1">
      <c r="AK5088" s="3">
        <v>5082</v>
      </c>
      <c r="AL5088" s="163">
        <v>5.074864339071179</v>
      </c>
    </row>
    <row r="5089" spans="37:38" s="4" customFormat="1">
      <c r="AK5089" s="3">
        <v>5083</v>
      </c>
      <c r="AL5089" s="163">
        <v>5.075862477677096</v>
      </c>
    </row>
    <row r="5090" spans="37:38" s="4" customFormat="1">
      <c r="AK5090" s="3">
        <v>5084</v>
      </c>
      <c r="AL5090" s="163">
        <v>5.0768606120007886</v>
      </c>
    </row>
    <row r="5091" spans="37:38" s="4" customFormat="1">
      <c r="AK5091" s="3">
        <v>5085</v>
      </c>
      <c r="AL5091" s="163">
        <v>5.0778587418051231</v>
      </c>
    </row>
    <row r="5092" spans="37:38" s="4" customFormat="1">
      <c r="AK5092" s="3">
        <v>5086</v>
      </c>
      <c r="AL5092" s="163">
        <v>5.0788568668529477</v>
      </c>
    </row>
    <row r="5093" spans="37:38" s="4" customFormat="1">
      <c r="AK5093" s="3">
        <v>5087</v>
      </c>
      <c r="AL5093" s="163">
        <v>5.0798549869071801</v>
      </c>
    </row>
    <row r="5094" spans="37:38" s="4" customFormat="1">
      <c r="AK5094" s="3">
        <v>5088</v>
      </c>
      <c r="AL5094" s="163">
        <v>5.080853101730697</v>
      </c>
    </row>
    <row r="5095" spans="37:38" s="4" customFormat="1">
      <c r="AK5095" s="3">
        <v>5089</v>
      </c>
      <c r="AL5095" s="163">
        <v>5.0818512110863843</v>
      </c>
    </row>
    <row r="5096" spans="37:38" s="4" customFormat="1">
      <c r="AK5096" s="3">
        <v>5090</v>
      </c>
      <c r="AL5096" s="163">
        <v>5.0828493147371443</v>
      </c>
    </row>
    <row r="5097" spans="37:38" s="4" customFormat="1">
      <c r="AK5097" s="3">
        <v>5091</v>
      </c>
      <c r="AL5097" s="163">
        <v>5.0838474124458752</v>
      </c>
    </row>
    <row r="5098" spans="37:38" s="4" customFormat="1">
      <c r="AK5098" s="3">
        <v>5092</v>
      </c>
      <c r="AL5098" s="163">
        <v>5.0848455039755018</v>
      </c>
    </row>
    <row r="5099" spans="37:38" s="4" customFormat="1">
      <c r="AK5099" s="3">
        <v>5093</v>
      </c>
      <c r="AL5099" s="163">
        <v>5.0858435890889346</v>
      </c>
    </row>
    <row r="5100" spans="37:38" s="4" customFormat="1">
      <c r="AK5100" s="3">
        <v>5094</v>
      </c>
      <c r="AL5100" s="163">
        <v>5.0868416675491037</v>
      </c>
    </row>
    <row r="5101" spans="37:38" s="4" customFormat="1">
      <c r="AK5101" s="3">
        <v>5095</v>
      </c>
      <c r="AL5101" s="163">
        <v>5.0878397391189365</v>
      </c>
    </row>
    <row r="5102" spans="37:38" s="4" customFormat="1">
      <c r="AK5102" s="3">
        <v>5096</v>
      </c>
      <c r="AL5102" s="163">
        <v>5.0888378035613746</v>
      </c>
    </row>
    <row r="5103" spans="37:38" s="4" customFormat="1">
      <c r="AK5103" s="3">
        <v>5097</v>
      </c>
      <c r="AL5103" s="163">
        <v>5.0898358606393703</v>
      </c>
    </row>
    <row r="5104" spans="37:38" s="4" customFormat="1">
      <c r="AK5104" s="3">
        <v>5098</v>
      </c>
      <c r="AL5104" s="163">
        <v>5.0908339101158724</v>
      </c>
    </row>
    <row r="5105" spans="37:38" s="4" customFormat="1">
      <c r="AK5105" s="3">
        <v>5099</v>
      </c>
      <c r="AL5105" s="163">
        <v>5.091831951753834</v>
      </c>
    </row>
    <row r="5106" spans="37:38" s="4" customFormat="1">
      <c r="AK5106" s="3">
        <v>5100</v>
      </c>
      <c r="AL5106" s="163">
        <v>5.0928299853162446</v>
      </c>
    </row>
    <row r="5107" spans="37:38" s="4" customFormat="1">
      <c r="AK5107" s="3">
        <v>5101</v>
      </c>
      <c r="AL5107" s="163">
        <v>5.0938280105660674</v>
      </c>
    </row>
    <row r="5108" spans="37:38" s="4" customFormat="1">
      <c r="AK5108" s="3">
        <v>5102</v>
      </c>
      <c r="AL5108" s="163">
        <v>5.0948260272662953</v>
      </c>
    </row>
    <row r="5109" spans="37:38" s="4" customFormat="1">
      <c r="AK5109" s="3">
        <v>5103</v>
      </c>
      <c r="AL5109" s="163">
        <v>5.095824035179934</v>
      </c>
    </row>
    <row r="5110" spans="37:38" s="4" customFormat="1">
      <c r="AK5110" s="3">
        <v>5104</v>
      </c>
      <c r="AL5110" s="163">
        <v>5.096822034069957</v>
      </c>
    </row>
    <row r="5111" spans="37:38" s="4" customFormat="1">
      <c r="AK5111" s="3">
        <v>5105</v>
      </c>
      <c r="AL5111" s="163">
        <v>5.097820023699402</v>
      </c>
    </row>
    <row r="5112" spans="37:38" s="4" customFormat="1">
      <c r="AK5112" s="3">
        <v>5106</v>
      </c>
      <c r="AL5112" s="163">
        <v>5.0988180038312816</v>
      </c>
    </row>
    <row r="5113" spans="37:38" s="4" customFormat="1">
      <c r="AK5113" s="3">
        <v>5107</v>
      </c>
      <c r="AL5113" s="163">
        <v>5.0998159742286289</v>
      </c>
    </row>
    <row r="5114" spans="37:38" s="4" customFormat="1">
      <c r="AK5114" s="3">
        <v>5108</v>
      </c>
      <c r="AL5114" s="163">
        <v>5.1008139346544876</v>
      </c>
    </row>
    <row r="5115" spans="37:38" s="4" customFormat="1">
      <c r="AK5115" s="3">
        <v>5109</v>
      </c>
      <c r="AL5115" s="163">
        <v>5.1018118848719043</v>
      </c>
    </row>
    <row r="5116" spans="37:38" s="4" customFormat="1">
      <c r="AK5116" s="3">
        <v>5110</v>
      </c>
      <c r="AL5116" s="163">
        <v>5.1028098246439262</v>
      </c>
    </row>
    <row r="5117" spans="37:38" s="4" customFormat="1">
      <c r="AK5117" s="3">
        <v>5111</v>
      </c>
      <c r="AL5117" s="163">
        <v>5.1038077537336379</v>
      </c>
    </row>
    <row r="5118" spans="37:38" s="4" customFormat="1">
      <c r="AK5118" s="3">
        <v>5112</v>
      </c>
      <c r="AL5118" s="163">
        <v>5.1048056719041108</v>
      </c>
    </row>
    <row r="5119" spans="37:38" s="4" customFormat="1">
      <c r="AK5119" s="3">
        <v>5113</v>
      </c>
      <c r="AL5119" s="163">
        <v>5.105803578918449</v>
      </c>
    </row>
    <row r="5120" spans="37:38" s="4" customFormat="1">
      <c r="AK5120" s="3">
        <v>5114</v>
      </c>
      <c r="AL5120" s="163">
        <v>5.1068014745397425</v>
      </c>
    </row>
    <row r="5121" spans="37:38" s="4" customFormat="1">
      <c r="AK5121" s="3">
        <v>5115</v>
      </c>
      <c r="AL5121" s="163">
        <v>5.1077993585310804</v>
      </c>
    </row>
    <row r="5122" spans="37:38" s="4" customFormat="1">
      <c r="AK5122" s="3">
        <v>5116</v>
      </c>
      <c r="AL5122" s="163">
        <v>5.1087972306556217</v>
      </c>
    </row>
    <row r="5123" spans="37:38" s="4" customFormat="1">
      <c r="AK5123" s="3">
        <v>5117</v>
      </c>
      <c r="AL5123" s="163">
        <v>5.1097950906764735</v>
      </c>
    </row>
    <row r="5124" spans="37:38" s="4" customFormat="1">
      <c r="AK5124" s="3">
        <v>5118</v>
      </c>
      <c r="AL5124" s="163">
        <v>5.1107929383567976</v>
      </c>
    </row>
    <row r="5125" spans="37:38" s="4" customFormat="1">
      <c r="AK5125" s="3">
        <v>5119</v>
      </c>
      <c r="AL5125" s="163">
        <v>5.1117907734597212</v>
      </c>
    </row>
    <row r="5126" spans="37:38" s="4" customFormat="1">
      <c r="AK5126" s="3">
        <v>5120</v>
      </c>
      <c r="AL5126" s="163">
        <v>5.1127885957484409</v>
      </c>
    </row>
    <row r="5127" spans="37:38" s="4" customFormat="1">
      <c r="AK5127" s="3">
        <v>5121</v>
      </c>
      <c r="AL5127" s="163">
        <v>5.1137864049861417</v>
      </c>
    </row>
    <row r="5128" spans="37:38" s="4" customFormat="1">
      <c r="AK5128" s="3">
        <v>5122</v>
      </c>
      <c r="AL5128" s="163">
        <v>5.1147842009359756</v>
      </c>
    </row>
    <row r="5129" spans="37:38" s="4" customFormat="1">
      <c r="AK5129" s="3">
        <v>5123</v>
      </c>
      <c r="AL5129" s="163">
        <v>5.1157819833611811</v>
      </c>
    </row>
    <row r="5130" spans="37:38" s="4" customFormat="1">
      <c r="AK5130" s="3">
        <v>5124</v>
      </c>
      <c r="AL5130" s="163">
        <v>5.1167797520249376</v>
      </c>
    </row>
    <row r="5131" spans="37:38" s="4" customFormat="1">
      <c r="AK5131" s="3">
        <v>5125</v>
      </c>
      <c r="AL5131" s="163">
        <v>5.1177775066905102</v>
      </c>
    </row>
    <row r="5132" spans="37:38" s="4" customFormat="1">
      <c r="AK5132" s="3">
        <v>5126</v>
      </c>
      <c r="AL5132" s="163">
        <v>5.1187752471211221</v>
      </c>
    </row>
    <row r="5133" spans="37:38" s="4" customFormat="1">
      <c r="AK5133" s="3">
        <v>5127</v>
      </c>
      <c r="AL5133" s="163">
        <v>5.1197729730800319</v>
      </c>
    </row>
    <row r="5134" spans="37:38" s="4" customFormat="1">
      <c r="AK5134" s="3">
        <v>5128</v>
      </c>
      <c r="AL5134" s="163">
        <v>5.1207706843304832</v>
      </c>
    </row>
    <row r="5135" spans="37:38" s="4" customFormat="1">
      <c r="AK5135" s="3">
        <v>5129</v>
      </c>
      <c r="AL5135" s="163">
        <v>5.1217683806357863</v>
      </c>
    </row>
    <row r="5136" spans="37:38" s="4" customFormat="1">
      <c r="AK5136" s="3">
        <v>5130</v>
      </c>
      <c r="AL5136" s="163">
        <v>5.1227660617592203</v>
      </c>
    </row>
    <row r="5137" spans="37:38" s="4" customFormat="1">
      <c r="AK5137" s="3">
        <v>5131</v>
      </c>
      <c r="AL5137" s="163">
        <v>5.1237637274640857</v>
      </c>
    </row>
    <row r="5138" spans="37:38" s="4" customFormat="1">
      <c r="AK5138" s="3">
        <v>5132</v>
      </c>
      <c r="AL5138" s="163">
        <v>5.1247613775137246</v>
      </c>
    </row>
    <row r="5139" spans="37:38" s="4" customFormat="1">
      <c r="AK5139" s="3">
        <v>5133</v>
      </c>
      <c r="AL5139" s="163">
        <v>5.1257590116714402</v>
      </c>
    </row>
    <row r="5140" spans="37:38" s="4" customFormat="1">
      <c r="AK5140" s="3">
        <v>5134</v>
      </c>
      <c r="AL5140" s="163">
        <v>5.1267566297006111</v>
      </c>
    </row>
    <row r="5141" spans="37:38" s="4" customFormat="1">
      <c r="AK5141" s="3">
        <v>5135</v>
      </c>
      <c r="AL5141" s="163">
        <v>5.1277542313645714</v>
      </c>
    </row>
    <row r="5142" spans="37:38" s="4" customFormat="1">
      <c r="AK5142" s="3">
        <v>5136</v>
      </c>
      <c r="AL5142" s="163">
        <v>5.128751816426723</v>
      </c>
    </row>
    <row r="5143" spans="37:38" s="4" customFormat="1">
      <c r="AK5143" s="3">
        <v>5137</v>
      </c>
      <c r="AL5143" s="163">
        <v>5.1297493846504478</v>
      </c>
    </row>
    <row r="5144" spans="37:38" s="4" customFormat="1">
      <c r="AK5144" s="3">
        <v>5138</v>
      </c>
      <c r="AL5144" s="163">
        <v>5.1307469357991398</v>
      </c>
    </row>
    <row r="5145" spans="37:38" s="4" customFormat="1">
      <c r="AK5145" s="3">
        <v>5139</v>
      </c>
      <c r="AL5145" s="163">
        <v>5.1317444696362458</v>
      </c>
    </row>
    <row r="5146" spans="37:38" s="4" customFormat="1">
      <c r="AK5146" s="3">
        <v>5140</v>
      </c>
      <c r="AL5146" s="163">
        <v>5.1327419859251773</v>
      </c>
    </row>
    <row r="5147" spans="37:38" s="4" customFormat="1">
      <c r="AK5147" s="3">
        <v>5141</v>
      </c>
      <c r="AL5147" s="163">
        <v>5.1337394844294026</v>
      </c>
    </row>
    <row r="5148" spans="37:38" s="4" customFormat="1">
      <c r="AK5148" s="3">
        <v>5142</v>
      </c>
      <c r="AL5148" s="163">
        <v>5.134736964912392</v>
      </c>
    </row>
    <row r="5149" spans="37:38" s="4" customFormat="1">
      <c r="AK5149" s="3">
        <v>5143</v>
      </c>
      <c r="AL5149" s="163">
        <v>5.1357344271376304</v>
      </c>
    </row>
    <row r="5150" spans="37:38" s="4" customFormat="1">
      <c r="AK5150" s="3">
        <v>5144</v>
      </c>
      <c r="AL5150" s="163">
        <v>5.136731870868612</v>
      </c>
    </row>
    <row r="5151" spans="37:38" s="4" customFormat="1">
      <c r="AK5151" s="3">
        <v>5145</v>
      </c>
      <c r="AL5151" s="163">
        <v>5.1377292958688292</v>
      </c>
    </row>
    <row r="5152" spans="37:38" s="4" customFormat="1">
      <c r="AK5152" s="3">
        <v>5146</v>
      </c>
      <c r="AL5152" s="163">
        <v>5.1387267019018603</v>
      </c>
    </row>
    <row r="5153" spans="37:38" s="4" customFormat="1">
      <c r="AK5153" s="3">
        <v>5147</v>
      </c>
      <c r="AL5153" s="163">
        <v>5.1397240887312305</v>
      </c>
    </row>
    <row r="5154" spans="37:38" s="4" customFormat="1">
      <c r="AK5154" s="3">
        <v>5148</v>
      </c>
      <c r="AL5154" s="163">
        <v>5.1407214561205032</v>
      </c>
    </row>
    <row r="5155" spans="37:38" s="4" customFormat="1">
      <c r="AK5155" s="3">
        <v>5149</v>
      </c>
      <c r="AL5155" s="163">
        <v>5.1417188038332693</v>
      </c>
    </row>
    <row r="5156" spans="37:38" s="4" customFormat="1">
      <c r="AK5156" s="3">
        <v>5150</v>
      </c>
      <c r="AL5156" s="163">
        <v>5.1427161316331143</v>
      </c>
    </row>
    <row r="5157" spans="37:38" s="4" customFormat="1">
      <c r="AK5157" s="3">
        <v>5151</v>
      </c>
      <c r="AL5157" s="163">
        <v>5.1437134392836761</v>
      </c>
    </row>
    <row r="5158" spans="37:38" s="4" customFormat="1">
      <c r="AK5158" s="3">
        <v>5152</v>
      </c>
      <c r="AL5158" s="163">
        <v>5.1447107265485794</v>
      </c>
    </row>
    <row r="5159" spans="37:38" s="4" customFormat="1">
      <c r="AK5159" s="3">
        <v>5153</v>
      </c>
      <c r="AL5159" s="163">
        <v>5.145707993191472</v>
      </c>
    </row>
    <row r="5160" spans="37:38" s="4" customFormat="1">
      <c r="AK5160" s="3">
        <v>5154</v>
      </c>
      <c r="AL5160" s="163">
        <v>5.1467052389760264</v>
      </c>
    </row>
    <row r="5161" spans="37:38" s="4" customFormat="1">
      <c r="AK5161" s="3">
        <v>5155</v>
      </c>
      <c r="AL5161" s="163">
        <v>5.147702463665933</v>
      </c>
    </row>
    <row r="5162" spans="37:38" s="4" customFormat="1">
      <c r="AK5162" s="3">
        <v>5156</v>
      </c>
      <c r="AL5162" s="163">
        <v>5.148699667024891</v>
      </c>
    </row>
    <row r="5163" spans="37:38" s="4" customFormat="1">
      <c r="AK5163" s="3">
        <v>5157</v>
      </c>
      <c r="AL5163" s="163">
        <v>5.1496968488166308</v>
      </c>
    </row>
    <row r="5164" spans="37:38" s="4" customFormat="1">
      <c r="AK5164" s="3">
        <v>5158</v>
      </c>
      <c r="AL5164" s="163">
        <v>5.1506940088049058</v>
      </c>
    </row>
    <row r="5165" spans="37:38" s="4" customFormat="1">
      <c r="AK5165" s="3">
        <v>5159</v>
      </c>
      <c r="AL5165" s="163">
        <v>5.1516911467534623</v>
      </c>
    </row>
    <row r="5166" spans="37:38" s="4" customFormat="1">
      <c r="AK5166" s="3">
        <v>5160</v>
      </c>
      <c r="AL5166" s="163">
        <v>5.152688262426091</v>
      </c>
    </row>
    <row r="5167" spans="37:38" s="4" customFormat="1">
      <c r="AK5167" s="3">
        <v>5161</v>
      </c>
      <c r="AL5167" s="163">
        <v>5.1536853555865694</v>
      </c>
    </row>
    <row r="5168" spans="37:38" s="4" customFormat="1">
      <c r="AK5168" s="3">
        <v>5162</v>
      </c>
      <c r="AL5168" s="163">
        <v>5.1546824259987396</v>
      </c>
    </row>
    <row r="5169" spans="37:38" s="4" customFormat="1">
      <c r="AK5169" s="3">
        <v>5163</v>
      </c>
      <c r="AL5169" s="163">
        <v>5.1556794734264608</v>
      </c>
    </row>
    <row r="5170" spans="37:38" s="4" customFormat="1">
      <c r="AK5170" s="3">
        <v>5164</v>
      </c>
      <c r="AL5170" s="163">
        <v>5.1566764976335326</v>
      </c>
    </row>
    <row r="5171" spans="37:38" s="4" customFormat="1">
      <c r="AK5171" s="3">
        <v>5165</v>
      </c>
      <c r="AL5171" s="163">
        <v>5.1576734983838746</v>
      </c>
    </row>
    <row r="5172" spans="37:38" s="4" customFormat="1">
      <c r="AK5172" s="3">
        <v>5166</v>
      </c>
      <c r="AL5172" s="163">
        <v>5.1586704754413804</v>
      </c>
    </row>
    <row r="5173" spans="37:38" s="4" customFormat="1">
      <c r="AK5173" s="3">
        <v>5167</v>
      </c>
      <c r="AL5173" s="163">
        <v>5.1596674285699651</v>
      </c>
    </row>
    <row r="5174" spans="37:38" s="4" customFormat="1">
      <c r="AK5174" s="3">
        <v>5168</v>
      </c>
      <c r="AL5174" s="163">
        <v>5.1606643575335713</v>
      </c>
    </row>
    <row r="5175" spans="37:38" s="4" customFormat="1">
      <c r="AK5175" s="3">
        <v>5169</v>
      </c>
      <c r="AL5175" s="163">
        <v>5.1616612620961488</v>
      </c>
    </row>
    <row r="5176" spans="37:38" s="4" customFormat="1">
      <c r="AK5176" s="3">
        <v>5170</v>
      </c>
      <c r="AL5176" s="163">
        <v>5.1626581420216757</v>
      </c>
    </row>
    <row r="5177" spans="37:38" s="4" customFormat="1">
      <c r="AK5177" s="3">
        <v>5171</v>
      </c>
      <c r="AL5177" s="163">
        <v>5.1636549970741665</v>
      </c>
    </row>
    <row r="5178" spans="37:38" s="4" customFormat="1">
      <c r="AK5178" s="3">
        <v>5172</v>
      </c>
      <c r="AL5178" s="163">
        <v>5.1646518270176331</v>
      </c>
    </row>
    <row r="5179" spans="37:38" s="4" customFormat="1">
      <c r="AK5179" s="3">
        <v>5173</v>
      </c>
      <c r="AL5179" s="163">
        <v>5.1656486316161319</v>
      </c>
    </row>
    <row r="5180" spans="37:38" s="4" customFormat="1">
      <c r="AK5180" s="3">
        <v>5174</v>
      </c>
      <c r="AL5180" s="163">
        <v>5.1666454106337145</v>
      </c>
    </row>
    <row r="5181" spans="37:38" s="4" customFormat="1">
      <c r="AK5181" s="3">
        <v>5175</v>
      </c>
      <c r="AL5181" s="163">
        <v>5.1676421638344712</v>
      </c>
    </row>
    <row r="5182" spans="37:38" s="4" customFormat="1">
      <c r="AK5182" s="3">
        <v>5176</v>
      </c>
      <c r="AL5182" s="163">
        <v>5.1686388909825274</v>
      </c>
    </row>
    <row r="5183" spans="37:38" s="4" customFormat="1">
      <c r="AK5183" s="3">
        <v>5177</v>
      </c>
      <c r="AL5183" s="163">
        <v>5.1696355918419625</v>
      </c>
    </row>
    <row r="5184" spans="37:38" s="4" customFormat="1">
      <c r="AK5184" s="3">
        <v>5178</v>
      </c>
      <c r="AL5184" s="163">
        <v>5.1706322661769937</v>
      </c>
    </row>
    <row r="5185" spans="37:38" s="4" customFormat="1">
      <c r="AK5185" s="3">
        <v>5179</v>
      </c>
      <c r="AL5185" s="163">
        <v>5.1716289137517499</v>
      </c>
    </row>
    <row r="5186" spans="37:38" s="4" customFormat="1">
      <c r="AK5186" s="3">
        <v>5180</v>
      </c>
      <c r="AL5186" s="163">
        <v>5.1726255343304564</v>
      </c>
    </row>
    <row r="5187" spans="37:38" s="4" customFormat="1">
      <c r="AK5187" s="3">
        <v>5181</v>
      </c>
      <c r="AL5187" s="163">
        <v>5.1736221276773318</v>
      </c>
    </row>
    <row r="5188" spans="37:38" s="4" customFormat="1">
      <c r="AK5188" s="3">
        <v>5182</v>
      </c>
      <c r="AL5188" s="163">
        <v>5.1746186935565914</v>
      </c>
    </row>
    <row r="5189" spans="37:38" s="4" customFormat="1">
      <c r="AK5189" s="3">
        <v>5183</v>
      </c>
      <c r="AL5189" s="163">
        <v>5.1756152317325368</v>
      </c>
    </row>
    <row r="5190" spans="37:38" s="4" customFormat="1">
      <c r="AK5190" s="3">
        <v>5184</v>
      </c>
      <c r="AL5190" s="163">
        <v>5.1766117419694408</v>
      </c>
    </row>
    <row r="5191" spans="37:38" s="4" customFormat="1">
      <c r="AK5191" s="3">
        <v>5185</v>
      </c>
      <c r="AL5191" s="163">
        <v>5.1776082240316219</v>
      </c>
    </row>
    <row r="5192" spans="37:38" s="4" customFormat="1">
      <c r="AK5192" s="3">
        <v>5186</v>
      </c>
      <c r="AL5192" s="163">
        <v>5.178604677683408</v>
      </c>
    </row>
    <row r="5193" spans="37:38" s="4" customFormat="1">
      <c r="AK5193" s="3">
        <v>5187</v>
      </c>
      <c r="AL5193" s="163">
        <v>5.1796011026891717</v>
      </c>
    </row>
    <row r="5194" spans="37:38" s="4" customFormat="1">
      <c r="AK5194" s="3">
        <v>5188</v>
      </c>
      <c r="AL5194" s="163">
        <v>5.180597498813297</v>
      </c>
    </row>
    <row r="5195" spans="37:38" s="4" customFormat="1">
      <c r="AK5195" s="3">
        <v>5189</v>
      </c>
      <c r="AL5195" s="163">
        <v>5.1815938658201866</v>
      </c>
    </row>
    <row r="5196" spans="37:38" s="4" customFormat="1">
      <c r="AK5196" s="3">
        <v>5190</v>
      </c>
      <c r="AL5196" s="163">
        <v>5.1825902034742803</v>
      </c>
    </row>
    <row r="5197" spans="37:38" s="4" customFormat="1">
      <c r="AK5197" s="3">
        <v>5191</v>
      </c>
      <c r="AL5197" s="163">
        <v>5.1835865115400246</v>
      </c>
    </row>
    <row r="5198" spans="37:38" s="4" customFormat="1">
      <c r="AK5198" s="3">
        <v>5192</v>
      </c>
      <c r="AL5198" s="163">
        <v>5.1845827897819268</v>
      </c>
    </row>
    <row r="5199" spans="37:38" s="4" customFormat="1">
      <c r="AK5199" s="3">
        <v>5193</v>
      </c>
      <c r="AL5199" s="163">
        <v>5.1855790379644766</v>
      </c>
    </row>
    <row r="5200" spans="37:38" s="4" customFormat="1">
      <c r="AK5200" s="3">
        <v>5194</v>
      </c>
      <c r="AL5200" s="163">
        <v>5.186575255852218</v>
      </c>
    </row>
    <row r="5201" spans="37:38" s="4" customFormat="1">
      <c r="AK5201" s="3">
        <v>5195</v>
      </c>
      <c r="AL5201" s="163">
        <v>5.1875714432096878</v>
      </c>
    </row>
    <row r="5202" spans="37:38" s="4" customFormat="1">
      <c r="AK5202" s="3">
        <v>5196</v>
      </c>
      <c r="AL5202" s="163">
        <v>5.1885675998015008</v>
      </c>
    </row>
    <row r="5203" spans="37:38" s="4" customFormat="1">
      <c r="AK5203" s="3">
        <v>5197</v>
      </c>
      <c r="AL5203" s="163">
        <v>5.1895637253922438</v>
      </c>
    </row>
    <row r="5204" spans="37:38" s="4" customFormat="1">
      <c r="AK5204" s="3">
        <v>5198</v>
      </c>
      <c r="AL5204" s="163">
        <v>5.1905598197465714</v>
      </c>
    </row>
    <row r="5205" spans="37:38" s="4" customFormat="1">
      <c r="AK5205" s="3">
        <v>5199</v>
      </c>
      <c r="AL5205" s="163">
        <v>5.1915558826291264</v>
      </c>
    </row>
    <row r="5206" spans="37:38" s="4" customFormat="1">
      <c r="AK5206" s="3">
        <v>5200</v>
      </c>
      <c r="AL5206" s="163">
        <v>5.1925519138046221</v>
      </c>
    </row>
    <row r="5207" spans="37:38" s="4" customFormat="1">
      <c r="AK5207" s="3">
        <v>5201</v>
      </c>
      <c r="AL5207" s="163">
        <v>5.1935479130377527</v>
      </c>
    </row>
    <row r="5208" spans="37:38" s="4" customFormat="1">
      <c r="AK5208" s="3">
        <v>5202</v>
      </c>
      <c r="AL5208" s="163">
        <v>5.1945438800932671</v>
      </c>
    </row>
    <row r="5209" spans="37:38" s="4" customFormat="1">
      <c r="AK5209" s="3">
        <v>5203</v>
      </c>
      <c r="AL5209" s="163">
        <v>5.1955398147359295</v>
      </c>
    </row>
    <row r="5210" spans="37:38" s="4" customFormat="1">
      <c r="AK5210" s="3">
        <v>5204</v>
      </c>
      <c r="AL5210" s="163">
        <v>5.1965357167305379</v>
      </c>
    </row>
    <row r="5211" spans="37:38" s="4" customFormat="1">
      <c r="AK5211" s="3">
        <v>5205</v>
      </c>
      <c r="AL5211" s="163">
        <v>5.1975315858419044</v>
      </c>
    </row>
    <row r="5212" spans="37:38" s="4" customFormat="1">
      <c r="AK5212" s="3">
        <v>5206</v>
      </c>
      <c r="AL5212" s="163">
        <v>5.1985274218348962</v>
      </c>
    </row>
    <row r="5213" spans="37:38" s="4" customFormat="1">
      <c r="AK5213" s="3">
        <v>5207</v>
      </c>
      <c r="AL5213" s="163">
        <v>5.1995232244743823</v>
      </c>
    </row>
    <row r="5214" spans="37:38" s="4" customFormat="1">
      <c r="AK5214" s="3">
        <v>5208</v>
      </c>
      <c r="AL5214" s="163">
        <v>5.2005189935252645</v>
      </c>
    </row>
    <row r="5215" spans="37:38" s="4" customFormat="1">
      <c r="AK5215" s="3">
        <v>5209</v>
      </c>
      <c r="AL5215" s="163">
        <v>5.2015147287524917</v>
      </c>
    </row>
    <row r="5216" spans="37:38" s="4" customFormat="1">
      <c r="AK5216" s="3">
        <v>5210</v>
      </c>
      <c r="AL5216" s="163">
        <v>5.2025104299210119</v>
      </c>
    </row>
    <row r="5217" spans="37:38" s="4" customFormat="1">
      <c r="AK5217" s="3">
        <v>5211</v>
      </c>
      <c r="AL5217" s="163">
        <v>5.2035060967958113</v>
      </c>
    </row>
    <row r="5218" spans="37:38" s="4" customFormat="1">
      <c r="AK5218" s="3">
        <v>5212</v>
      </c>
      <c r="AL5218" s="163">
        <v>5.2045017291419162</v>
      </c>
    </row>
    <row r="5219" spans="37:38" s="4" customFormat="1">
      <c r="AK5219" s="3">
        <v>5213</v>
      </c>
      <c r="AL5219" s="163">
        <v>5.2054973267243607</v>
      </c>
    </row>
    <row r="5220" spans="37:38" s="4" customFormat="1">
      <c r="AK5220" s="3">
        <v>5214</v>
      </c>
      <c r="AL5220" s="163">
        <v>5.2064928893082509</v>
      </c>
    </row>
    <row r="5221" spans="37:38" s="4" customFormat="1">
      <c r="AK5221" s="3">
        <v>5215</v>
      </c>
      <c r="AL5221" s="163">
        <v>5.207488416658645</v>
      </c>
    </row>
    <row r="5222" spans="37:38" s="4" customFormat="1">
      <c r="AK5222" s="3">
        <v>5216</v>
      </c>
      <c r="AL5222" s="163">
        <v>5.2084839085407042</v>
      </c>
    </row>
    <row r="5223" spans="37:38" s="4" customFormat="1">
      <c r="AK5223" s="3">
        <v>5217</v>
      </c>
      <c r="AL5223" s="163">
        <v>5.2094793647195932</v>
      </c>
    </row>
    <row r="5224" spans="37:38" s="4" customFormat="1">
      <c r="AK5224" s="3">
        <v>5218</v>
      </c>
      <c r="AL5224" s="163">
        <v>5.2104747849605078</v>
      </c>
    </row>
    <row r="5225" spans="37:38" s="4" customFormat="1">
      <c r="AK5225" s="3">
        <v>5219</v>
      </c>
      <c r="AL5225" s="163">
        <v>5.2114701690286545</v>
      </c>
    </row>
    <row r="5226" spans="37:38" s="4" customFormat="1">
      <c r="AK5226" s="3">
        <v>5220</v>
      </c>
      <c r="AL5226" s="163">
        <v>5.2124655166892992</v>
      </c>
    </row>
    <row r="5227" spans="37:38" s="4" customFormat="1">
      <c r="AK5227" s="3">
        <v>5221</v>
      </c>
      <c r="AL5227" s="163">
        <v>5.2134608277077126</v>
      </c>
    </row>
    <row r="5228" spans="37:38" s="4" customFormat="1">
      <c r="AK5228" s="3">
        <v>5222</v>
      </c>
      <c r="AL5228" s="163">
        <v>5.2144561018492208</v>
      </c>
    </row>
    <row r="5229" spans="37:38" s="4" customFormat="1">
      <c r="AK5229" s="3">
        <v>5223</v>
      </c>
      <c r="AL5229" s="163">
        <v>5.2154513388791486</v>
      </c>
    </row>
    <row r="5230" spans="37:38" s="4" customFormat="1">
      <c r="AK5230" s="3">
        <v>5224</v>
      </c>
      <c r="AL5230" s="163">
        <v>5.2164465385628871</v>
      </c>
    </row>
    <row r="5231" spans="37:38" s="4" customFormat="1">
      <c r="AK5231" s="3">
        <v>5225</v>
      </c>
      <c r="AL5231" s="163">
        <v>5.2174417006658418</v>
      </c>
    </row>
    <row r="5232" spans="37:38" s="4" customFormat="1">
      <c r="AK5232" s="3">
        <v>5226</v>
      </c>
      <c r="AL5232" s="163">
        <v>5.2184368249534323</v>
      </c>
    </row>
    <row r="5233" spans="37:38" s="4" customFormat="1">
      <c r="AK5233" s="3">
        <v>5227</v>
      </c>
      <c r="AL5233" s="163">
        <v>5.2194319111911369</v>
      </c>
    </row>
    <row r="5234" spans="37:38" s="4" customFormat="1">
      <c r="AK5234" s="3">
        <v>5228</v>
      </c>
      <c r="AL5234" s="163">
        <v>5.2204269591444525</v>
      </c>
    </row>
    <row r="5235" spans="37:38" s="4" customFormat="1">
      <c r="AK5235" s="3">
        <v>5229</v>
      </c>
      <c r="AL5235" s="163">
        <v>5.2214219685789054</v>
      </c>
    </row>
    <row r="5236" spans="37:38" s="4" customFormat="1">
      <c r="AK5236" s="3">
        <v>5230</v>
      </c>
      <c r="AL5236" s="163">
        <v>5.2224169392600759</v>
      </c>
    </row>
    <row r="5237" spans="37:38" s="4" customFormat="1">
      <c r="AK5237" s="3">
        <v>5231</v>
      </c>
      <c r="AL5237" s="163">
        <v>5.2234118709535284</v>
      </c>
    </row>
    <row r="5238" spans="37:38" s="4" customFormat="1">
      <c r="AK5238" s="3">
        <v>5232</v>
      </c>
      <c r="AL5238" s="163">
        <v>5.2244067634249101</v>
      </c>
    </row>
    <row r="5239" spans="37:38" s="4" customFormat="1">
      <c r="AK5239" s="3">
        <v>5233</v>
      </c>
      <c r="AL5239" s="163">
        <v>5.225401616439874</v>
      </c>
    </row>
    <row r="5240" spans="37:38" s="4" customFormat="1">
      <c r="AK5240" s="3">
        <v>5234</v>
      </c>
      <c r="AL5240" s="163">
        <v>5.226396429764093</v>
      </c>
    </row>
    <row r="5241" spans="37:38" s="4" customFormat="1">
      <c r="AK5241" s="3">
        <v>5235</v>
      </c>
      <c r="AL5241" s="163">
        <v>5.2273912031633198</v>
      </c>
    </row>
    <row r="5242" spans="37:38" s="4" customFormat="1">
      <c r="AK5242" s="3">
        <v>5236</v>
      </c>
      <c r="AL5242" s="163">
        <v>5.2283859364032921</v>
      </c>
    </row>
    <row r="5243" spans="37:38" s="4" customFormat="1">
      <c r="AK5243" s="3">
        <v>5237</v>
      </c>
      <c r="AL5243" s="163">
        <v>5.2293806292498042</v>
      </c>
    </row>
    <row r="5244" spans="37:38" s="4" customFormat="1">
      <c r="AK5244" s="3">
        <v>5238</v>
      </c>
      <c r="AL5244" s="163">
        <v>5.2303752814686879</v>
      </c>
    </row>
    <row r="5245" spans="37:38" s="4" customFormat="1">
      <c r="AK5245" s="3">
        <v>5239</v>
      </c>
      <c r="AL5245" s="163">
        <v>5.2313698928257866</v>
      </c>
    </row>
    <row r="5246" spans="37:38" s="4" customFormat="1">
      <c r="AK5246" s="3">
        <v>5240</v>
      </c>
      <c r="AL5246" s="163">
        <v>5.2323644630869834</v>
      </c>
    </row>
    <row r="5247" spans="37:38" s="4" customFormat="1">
      <c r="AK5247" s="3">
        <v>5241</v>
      </c>
      <c r="AL5247" s="163">
        <v>5.2333589920182186</v>
      </c>
    </row>
    <row r="5248" spans="37:38" s="4" customFormat="1">
      <c r="AK5248" s="3">
        <v>5242</v>
      </c>
      <c r="AL5248" s="163">
        <v>5.2343534793854429</v>
      </c>
    </row>
    <row r="5249" spans="37:38" s="4" customFormat="1">
      <c r="AK5249" s="3">
        <v>5243</v>
      </c>
      <c r="AL5249" s="163">
        <v>5.2353479249546568</v>
      </c>
    </row>
    <row r="5250" spans="37:38" s="4" customFormat="1">
      <c r="AK5250" s="3">
        <v>5244</v>
      </c>
      <c r="AL5250" s="163">
        <v>5.2363423284918689</v>
      </c>
    </row>
    <row r="5251" spans="37:38" s="4" customFormat="1">
      <c r="AK5251" s="3">
        <v>5245</v>
      </c>
      <c r="AL5251" s="163">
        <v>5.2373366897631568</v>
      </c>
    </row>
    <row r="5252" spans="37:38" s="4" customFormat="1">
      <c r="AK5252" s="3">
        <v>5246</v>
      </c>
      <c r="AL5252" s="163">
        <v>5.2383310085345913</v>
      </c>
    </row>
    <row r="5253" spans="37:38" s="4" customFormat="1">
      <c r="AK5253" s="3">
        <v>5247</v>
      </c>
      <c r="AL5253" s="163">
        <v>5.2393252845723293</v>
      </c>
    </row>
    <row r="5254" spans="37:38" s="4" customFormat="1">
      <c r="AK5254" s="3">
        <v>5248</v>
      </c>
      <c r="AL5254" s="163">
        <v>5.2403195176425248</v>
      </c>
    </row>
    <row r="5255" spans="37:38" s="4" customFormat="1">
      <c r="AK5255" s="3">
        <v>5249</v>
      </c>
      <c r="AL5255" s="163">
        <v>5.2413137075113827</v>
      </c>
    </row>
    <row r="5256" spans="37:38" s="4" customFormat="1">
      <c r="AK5256" s="3">
        <v>5250</v>
      </c>
      <c r="AL5256" s="163">
        <v>5.2423078539451211</v>
      </c>
    </row>
    <row r="5257" spans="37:38" s="4" customFormat="1">
      <c r="AK5257" s="3">
        <v>5251</v>
      </c>
      <c r="AL5257" s="163">
        <v>5.2433019567100443</v>
      </c>
    </row>
    <row r="5258" spans="37:38" s="4" customFormat="1">
      <c r="AK5258" s="3">
        <v>5252</v>
      </c>
      <c r="AL5258" s="163">
        <v>5.2442960155724183</v>
      </c>
    </row>
    <row r="5259" spans="37:38" s="4" customFormat="1">
      <c r="AK5259" s="3">
        <v>5253</v>
      </c>
      <c r="AL5259" s="163">
        <v>5.2452900302986203</v>
      </c>
    </row>
    <row r="5260" spans="37:38" s="4" customFormat="1">
      <c r="AK5260" s="3">
        <v>5254</v>
      </c>
      <c r="AL5260" s="163">
        <v>5.2462840006550229</v>
      </c>
    </row>
    <row r="5261" spans="37:38" s="4" customFormat="1">
      <c r="AK5261" s="3">
        <v>5255</v>
      </c>
      <c r="AL5261" s="163">
        <v>5.2472779264080289</v>
      </c>
    </row>
    <row r="5262" spans="37:38" s="4" customFormat="1">
      <c r="AK5262" s="3">
        <v>5256</v>
      </c>
      <c r="AL5262" s="163">
        <v>5.2482718073240955</v>
      </c>
    </row>
    <row r="5263" spans="37:38" s="4" customFormat="1">
      <c r="AK5263" s="3">
        <v>5257</v>
      </c>
      <c r="AL5263" s="163">
        <v>5.249265643169732</v>
      </c>
    </row>
    <row r="5264" spans="37:38" s="4" customFormat="1">
      <c r="AK5264" s="3">
        <v>5258</v>
      </c>
      <c r="AL5264" s="163">
        <v>5.2502594337114257</v>
      </c>
    </row>
    <row r="5265" spans="37:38" s="4" customFormat="1">
      <c r="AK5265" s="3">
        <v>5259</v>
      </c>
      <c r="AL5265" s="163">
        <v>5.2512531787157792</v>
      </c>
    </row>
    <row r="5266" spans="37:38" s="4" customFormat="1">
      <c r="AK5266" s="3">
        <v>5260</v>
      </c>
      <c r="AL5266" s="163">
        <v>5.2522468779493598</v>
      </c>
    </row>
    <row r="5267" spans="37:38" s="4" customFormat="1">
      <c r="AK5267" s="3">
        <v>5261</v>
      </c>
      <c r="AL5267" s="163">
        <v>5.2532405311788262</v>
      </c>
    </row>
    <row r="5268" spans="37:38" s="4" customFormat="1">
      <c r="AK5268" s="3">
        <v>5262</v>
      </c>
      <c r="AL5268" s="163">
        <v>5.2542341381708546</v>
      </c>
    </row>
    <row r="5269" spans="37:38" s="4" customFormat="1">
      <c r="AK5269" s="3">
        <v>5263</v>
      </c>
      <c r="AL5269" s="163">
        <v>5.2552276986921544</v>
      </c>
    </row>
    <row r="5270" spans="37:38" s="4" customFormat="1">
      <c r="AK5270" s="3">
        <v>5264</v>
      </c>
      <c r="AL5270" s="163">
        <v>5.2562212125094705</v>
      </c>
    </row>
    <row r="5271" spans="37:38" s="4" customFormat="1">
      <c r="AK5271" s="3">
        <v>5265</v>
      </c>
      <c r="AL5271" s="163">
        <v>5.2572146793895813</v>
      </c>
    </row>
    <row r="5272" spans="37:38" s="4" customFormat="1">
      <c r="AK5272" s="3">
        <v>5266</v>
      </c>
      <c r="AL5272" s="163">
        <v>5.2582080990993578</v>
      </c>
    </row>
    <row r="5273" spans="37:38" s="4" customFormat="1">
      <c r="AK5273" s="3">
        <v>5267</v>
      </c>
      <c r="AL5273" s="163">
        <v>5.2592014714056186</v>
      </c>
    </row>
    <row r="5274" spans="37:38" s="4" customFormat="1">
      <c r="AK5274" s="3">
        <v>5268</v>
      </c>
      <c r="AL5274" s="163">
        <v>5.2601947960752922</v>
      </c>
    </row>
    <row r="5275" spans="37:38" s="4" customFormat="1">
      <c r="AK5275" s="3">
        <v>5269</v>
      </c>
      <c r="AL5275" s="163">
        <v>5.2611880728753269</v>
      </c>
    </row>
    <row r="5276" spans="37:38" s="4" customFormat="1">
      <c r="AK5276" s="3">
        <v>5270</v>
      </c>
      <c r="AL5276" s="163">
        <v>5.2621813015727028</v>
      </c>
    </row>
    <row r="5277" spans="37:38" s="4" customFormat="1">
      <c r="AK5277" s="3">
        <v>5271</v>
      </c>
      <c r="AL5277" s="163">
        <v>5.2631744819344242</v>
      </c>
    </row>
    <row r="5278" spans="37:38" s="4" customFormat="1">
      <c r="AK5278" s="3">
        <v>5272</v>
      </c>
      <c r="AL5278" s="163">
        <v>5.2641676137275937</v>
      </c>
    </row>
    <row r="5279" spans="37:38" s="4" customFormat="1">
      <c r="AK5279" s="3">
        <v>5273</v>
      </c>
      <c r="AL5279" s="163">
        <v>5.2651606967192581</v>
      </c>
    </row>
    <row r="5280" spans="37:38" s="4" customFormat="1">
      <c r="AK5280" s="3">
        <v>5274</v>
      </c>
      <c r="AL5280" s="163">
        <v>5.2661537306766073</v>
      </c>
    </row>
    <row r="5281" spans="37:38" s="4" customFormat="1">
      <c r="AK5281" s="3">
        <v>5275</v>
      </c>
      <c r="AL5281" s="163">
        <v>5.2671467153667964</v>
      </c>
    </row>
    <row r="5282" spans="37:38" s="4" customFormat="1">
      <c r="AK5282" s="3">
        <v>5276</v>
      </c>
      <c r="AL5282" s="163">
        <v>5.268139650557055</v>
      </c>
    </row>
    <row r="5283" spans="37:38" s="4" customFormat="1">
      <c r="AK5283" s="3">
        <v>5277</v>
      </c>
      <c r="AL5283" s="163">
        <v>5.2691325360146575</v>
      </c>
    </row>
    <row r="5284" spans="37:38" s="4" customFormat="1">
      <c r="AK5284" s="3">
        <v>5278</v>
      </c>
      <c r="AL5284" s="163">
        <v>5.2701253715068699</v>
      </c>
    </row>
    <row r="5285" spans="37:38" s="4" customFormat="1">
      <c r="AK5285" s="3">
        <v>5279</v>
      </c>
      <c r="AL5285" s="163">
        <v>5.2711181568010792</v>
      </c>
    </row>
    <row r="5286" spans="37:38" s="4" customFormat="1">
      <c r="AK5286" s="3">
        <v>5280</v>
      </c>
      <c r="AL5286" s="163">
        <v>5.2721108916646555</v>
      </c>
    </row>
    <row r="5287" spans="37:38" s="4" customFormat="1">
      <c r="AK5287" s="3">
        <v>5281</v>
      </c>
      <c r="AL5287" s="163">
        <v>5.2731035758650027</v>
      </c>
    </row>
    <row r="5288" spans="37:38" s="4" customFormat="1">
      <c r="AK5288" s="3">
        <v>5282</v>
      </c>
      <c r="AL5288" s="163">
        <v>5.2740962091696257</v>
      </c>
    </row>
    <row r="5289" spans="37:38" s="4" customFormat="1">
      <c r="AK5289" s="3">
        <v>5283</v>
      </c>
      <c r="AL5289" s="163">
        <v>5.2750887913459978</v>
      </c>
    </row>
    <row r="5290" spans="37:38" s="4" customFormat="1">
      <c r="AK5290" s="3">
        <v>5284</v>
      </c>
      <c r="AL5290" s="163">
        <v>5.2760813221616916</v>
      </c>
    </row>
    <row r="5291" spans="37:38" s="4" customFormat="1">
      <c r="AK5291" s="3">
        <v>5285</v>
      </c>
      <c r="AL5291" s="163">
        <v>5.2770738013842911</v>
      </c>
    </row>
    <row r="5292" spans="37:38" s="4" customFormat="1">
      <c r="AK5292" s="3">
        <v>5286</v>
      </c>
      <c r="AL5292" s="163">
        <v>5.2780662287814364</v>
      </c>
    </row>
    <row r="5293" spans="37:38" s="4" customFormat="1">
      <c r="AK5293" s="3">
        <v>5287</v>
      </c>
      <c r="AL5293" s="163">
        <v>5.2790586041207845</v>
      </c>
    </row>
    <row r="5294" spans="37:38" s="4" customFormat="1">
      <c r="AK5294" s="3">
        <v>5288</v>
      </c>
      <c r="AL5294" s="163">
        <v>5.2800509271700795</v>
      </c>
    </row>
    <row r="5295" spans="37:38" s="4" customFormat="1">
      <c r="AK5295" s="3">
        <v>5289</v>
      </c>
      <c r="AL5295" s="163">
        <v>5.2810431976970742</v>
      </c>
    </row>
    <row r="5296" spans="37:38" s="4" customFormat="1">
      <c r="AK5296" s="3">
        <v>5290</v>
      </c>
      <c r="AL5296" s="163">
        <v>5.2820354154695712</v>
      </c>
    </row>
    <row r="5297" spans="37:38" s="4" customFormat="1">
      <c r="AK5297" s="3">
        <v>5291</v>
      </c>
      <c r="AL5297" s="163">
        <v>5.2830275802554052</v>
      </c>
    </row>
    <row r="5298" spans="37:38" s="4" customFormat="1">
      <c r="AK5298" s="3">
        <v>5292</v>
      </c>
      <c r="AL5298" s="163">
        <v>5.2840196918224862</v>
      </c>
    </row>
    <row r="5299" spans="37:38" s="4" customFormat="1">
      <c r="AK5299" s="3">
        <v>5293</v>
      </c>
      <c r="AL5299" s="163">
        <v>5.2850117499387403</v>
      </c>
    </row>
    <row r="5300" spans="37:38" s="4" customFormat="1">
      <c r="AK5300" s="3">
        <v>5294</v>
      </c>
      <c r="AL5300" s="163">
        <v>5.2860037543721488</v>
      </c>
    </row>
    <row r="5301" spans="37:38" s="4" customFormat="1">
      <c r="AK5301" s="3">
        <v>5295</v>
      </c>
      <c r="AL5301" s="163">
        <v>5.2869957048907308</v>
      </c>
    </row>
    <row r="5302" spans="37:38" s="4" customFormat="1">
      <c r="AK5302" s="3">
        <v>5296</v>
      </c>
      <c r="AL5302" s="163">
        <v>5.2879876012625431</v>
      </c>
    </row>
    <row r="5303" spans="37:38" s="4" customFormat="1">
      <c r="AK5303" s="3">
        <v>5297</v>
      </c>
      <c r="AL5303" s="163">
        <v>5.2889794432557</v>
      </c>
    </row>
    <row r="5304" spans="37:38" s="4" customFormat="1">
      <c r="AK5304" s="3">
        <v>5298</v>
      </c>
      <c r="AL5304" s="163">
        <v>5.2899712306383675</v>
      </c>
    </row>
    <row r="5305" spans="37:38" s="4" customFormat="1">
      <c r="AK5305" s="3">
        <v>5299</v>
      </c>
      <c r="AL5305" s="163">
        <v>5.2909629631787096</v>
      </c>
    </row>
    <row r="5306" spans="37:38" s="4" customFormat="1">
      <c r="AK5306" s="3">
        <v>5300</v>
      </c>
      <c r="AL5306" s="163">
        <v>5.2919546406449998</v>
      </c>
    </row>
    <row r="5307" spans="37:38" s="4" customFormat="1">
      <c r="AK5307" s="3">
        <v>5301</v>
      </c>
      <c r="AL5307" s="163">
        <v>5.2929462628055184</v>
      </c>
    </row>
    <row r="5308" spans="37:38" s="4" customFormat="1">
      <c r="AK5308" s="3">
        <v>5302</v>
      </c>
      <c r="AL5308" s="163">
        <v>5.2939378294285886</v>
      </c>
    </row>
    <row r="5309" spans="37:38" s="4" customFormat="1">
      <c r="AK5309" s="3">
        <v>5303</v>
      </c>
      <c r="AL5309" s="163">
        <v>5.2949293402826099</v>
      </c>
    </row>
    <row r="5310" spans="37:38" s="4" customFormat="1">
      <c r="AK5310" s="3">
        <v>5304</v>
      </c>
      <c r="AL5310" s="163">
        <v>5.295920795135979</v>
      </c>
    </row>
    <row r="5311" spans="37:38" s="4" customFormat="1">
      <c r="AK5311" s="3">
        <v>5305</v>
      </c>
      <c r="AL5311" s="163">
        <v>5.2969121937571622</v>
      </c>
    </row>
    <row r="5312" spans="37:38" s="4" customFormat="1">
      <c r="AK5312" s="3">
        <v>5306</v>
      </c>
      <c r="AL5312" s="163">
        <v>5.2979035359146955</v>
      </c>
    </row>
    <row r="5313" spans="37:38" s="4" customFormat="1">
      <c r="AK5313" s="3">
        <v>5307</v>
      </c>
      <c r="AL5313" s="163">
        <v>5.2988948213771261</v>
      </c>
    </row>
    <row r="5314" spans="37:38" s="4" customFormat="1">
      <c r="AK5314" s="3">
        <v>5308</v>
      </c>
      <c r="AL5314" s="163">
        <v>5.2998860499130549</v>
      </c>
    </row>
    <row r="5315" spans="37:38" s="4" customFormat="1">
      <c r="AK5315" s="3">
        <v>5309</v>
      </c>
      <c r="AL5315" s="163">
        <v>5.3008772212911515</v>
      </c>
    </row>
    <row r="5316" spans="37:38" s="4" customFormat="1">
      <c r="AK5316" s="3">
        <v>5310</v>
      </c>
      <c r="AL5316" s="163">
        <v>5.3018683352800888</v>
      </c>
    </row>
    <row r="5317" spans="37:38" s="4" customFormat="1">
      <c r="AK5317" s="3">
        <v>5311</v>
      </c>
      <c r="AL5317" s="163">
        <v>5.3028593916486457</v>
      </c>
    </row>
    <row r="5318" spans="37:38" s="4" customFormat="1">
      <c r="AK5318" s="3">
        <v>5312</v>
      </c>
      <c r="AL5318" s="163">
        <v>5.3038503901655867</v>
      </c>
    </row>
    <row r="5319" spans="37:38" s="4" customFormat="1">
      <c r="AK5319" s="3">
        <v>5313</v>
      </c>
      <c r="AL5319" s="163">
        <v>5.304841330599749</v>
      </c>
    </row>
    <row r="5320" spans="37:38" s="4" customFormat="1">
      <c r="AK5320" s="3">
        <v>5314</v>
      </c>
      <c r="AL5320" s="163">
        <v>5.3058322127200519</v>
      </c>
    </row>
    <row r="5321" spans="37:38" s="4" customFormat="1">
      <c r="AK5321" s="3">
        <v>5315</v>
      </c>
      <c r="AL5321" s="163">
        <v>5.3068230362953868</v>
      </c>
    </row>
    <row r="5322" spans="37:38" s="4" customFormat="1">
      <c r="AK5322" s="3">
        <v>5316</v>
      </c>
      <c r="AL5322" s="163">
        <v>5.3078138010947633</v>
      </c>
    </row>
    <row r="5323" spans="37:38" s="4" customFormat="1">
      <c r="AK5323" s="3">
        <v>5317</v>
      </c>
      <c r="AL5323" s="163">
        <v>5.3088045068871939</v>
      </c>
    </row>
    <row r="5324" spans="37:38" s="4" customFormat="1">
      <c r="AK5324" s="3">
        <v>5318</v>
      </c>
      <c r="AL5324" s="163">
        <v>5.309795153441768</v>
      </c>
    </row>
    <row r="5325" spans="37:38" s="4" customFormat="1">
      <c r="AK5325" s="3">
        <v>5319</v>
      </c>
      <c r="AL5325" s="163">
        <v>5.3107857405276144</v>
      </c>
    </row>
    <row r="5326" spans="37:38" s="4" customFormat="1">
      <c r="AK5326" s="3">
        <v>5320</v>
      </c>
      <c r="AL5326" s="163">
        <v>5.3117762679138902</v>
      </c>
    </row>
    <row r="5327" spans="37:38" s="4" customFormat="1">
      <c r="AK5327" s="3">
        <v>5321</v>
      </c>
      <c r="AL5327" s="163">
        <v>5.3127667353698245</v>
      </c>
    </row>
    <row r="5328" spans="37:38" s="4" customFormat="1">
      <c r="AK5328" s="3">
        <v>5322</v>
      </c>
      <c r="AL5328" s="163">
        <v>5.3137571426646923</v>
      </c>
    </row>
    <row r="5329" spans="37:38" s="4" customFormat="1">
      <c r="AK5329" s="3">
        <v>5323</v>
      </c>
      <c r="AL5329" s="163">
        <v>5.3147474895678037</v>
      </c>
    </row>
    <row r="5330" spans="37:38" s="4" customFormat="1">
      <c r="AK5330" s="3">
        <v>5324</v>
      </c>
      <c r="AL5330" s="163">
        <v>5.3157377758485298</v>
      </c>
    </row>
    <row r="5331" spans="37:38" s="4" customFormat="1">
      <c r="AK5331" s="3">
        <v>5325</v>
      </c>
      <c r="AL5331" s="163">
        <v>5.3167280012762799</v>
      </c>
    </row>
    <row r="5332" spans="37:38" s="4" customFormat="1">
      <c r="AK5332" s="3">
        <v>5326</v>
      </c>
      <c r="AL5332" s="163">
        <v>5.3177181656205494</v>
      </c>
    </row>
    <row r="5333" spans="37:38" s="4" customFormat="1">
      <c r="AK5333" s="3">
        <v>5327</v>
      </c>
      <c r="AL5333" s="163">
        <v>5.3187082686508296</v>
      </c>
    </row>
    <row r="5334" spans="37:38" s="4" customFormat="1">
      <c r="AK5334" s="3">
        <v>5328</v>
      </c>
      <c r="AL5334" s="163">
        <v>5.3196983101366957</v>
      </c>
    </row>
    <row r="5335" spans="37:38" s="4" customFormat="1">
      <c r="AK5335" s="3">
        <v>5329</v>
      </c>
      <c r="AL5335" s="163">
        <v>5.3206882898477756</v>
      </c>
    </row>
    <row r="5336" spans="37:38" s="4" customFormat="1">
      <c r="AK5336" s="3">
        <v>5330</v>
      </c>
      <c r="AL5336" s="163">
        <v>5.321678207553699</v>
      </c>
    </row>
    <row r="5337" spans="37:38" s="4" customFormat="1">
      <c r="AK5337" s="3">
        <v>5331</v>
      </c>
      <c r="AL5337" s="163">
        <v>5.3226680630242198</v>
      </c>
    </row>
    <row r="5338" spans="37:38" s="4" customFormat="1">
      <c r="AK5338" s="3">
        <v>5332</v>
      </c>
      <c r="AL5338" s="163">
        <v>5.3236578560290777</v>
      </c>
    </row>
    <row r="5339" spans="37:38" s="4" customFormat="1">
      <c r="AK5339" s="3">
        <v>5333</v>
      </c>
      <c r="AL5339" s="163">
        <v>5.3246475863381004</v>
      </c>
    </row>
    <row r="5340" spans="37:38" s="4" customFormat="1">
      <c r="AK5340" s="3">
        <v>5334</v>
      </c>
      <c r="AL5340" s="163">
        <v>5.3256372537211734</v>
      </c>
    </row>
    <row r="5341" spans="37:38" s="4" customFormat="1">
      <c r="AK5341" s="3">
        <v>5335</v>
      </c>
      <c r="AL5341" s="163">
        <v>5.3266268579481988</v>
      </c>
    </row>
    <row r="5342" spans="37:38" s="4" customFormat="1">
      <c r="AK5342" s="3">
        <v>5336</v>
      </c>
      <c r="AL5342" s="163">
        <v>5.3276163987891492</v>
      </c>
    </row>
    <row r="5343" spans="37:38" s="4" customFormat="1">
      <c r="AK5343" s="3">
        <v>5337</v>
      </c>
      <c r="AL5343" s="163">
        <v>5.3286058760140627</v>
      </c>
    </row>
    <row r="5344" spans="37:38" s="4" customFormat="1">
      <c r="AK5344" s="3">
        <v>5338</v>
      </c>
      <c r="AL5344" s="163">
        <v>5.3295952893929774</v>
      </c>
    </row>
    <row r="5345" spans="37:38" s="4" customFormat="1">
      <c r="AK5345" s="3">
        <v>5339</v>
      </c>
      <c r="AL5345" s="163">
        <v>5.3305846386960649</v>
      </c>
    </row>
    <row r="5346" spans="37:38" s="4" customFormat="1">
      <c r="AK5346" s="3">
        <v>5340</v>
      </c>
      <c r="AL5346" s="163">
        <v>5.3315739236934592</v>
      </c>
    </row>
    <row r="5347" spans="37:38" s="4" customFormat="1">
      <c r="AK5347" s="3">
        <v>5341</v>
      </c>
      <c r="AL5347" s="163">
        <v>5.3325631441554258</v>
      </c>
    </row>
    <row r="5348" spans="37:38" s="4" customFormat="1">
      <c r="AK5348" s="3">
        <v>5342</v>
      </c>
      <c r="AL5348" s="163">
        <v>5.3335522998522302</v>
      </c>
    </row>
    <row r="5349" spans="37:38" s="4" customFormat="1">
      <c r="AK5349" s="3">
        <v>5343</v>
      </c>
      <c r="AL5349" s="163">
        <v>5.3345413905542083</v>
      </c>
    </row>
    <row r="5350" spans="37:38" s="4" customFormat="1">
      <c r="AK5350" s="3">
        <v>5344</v>
      </c>
      <c r="AL5350" s="163">
        <v>5.3355304160317436</v>
      </c>
    </row>
    <row r="5351" spans="37:38" s="4" customFormat="1">
      <c r="AK5351" s="3">
        <v>5345</v>
      </c>
      <c r="AL5351" s="163">
        <v>5.336519376055274</v>
      </c>
    </row>
    <row r="5352" spans="37:38" s="4" customFormat="1">
      <c r="AK5352" s="3">
        <v>5346</v>
      </c>
      <c r="AL5352" s="163">
        <v>5.3375082703953094</v>
      </c>
    </row>
    <row r="5353" spans="37:38" s="4" customFormat="1">
      <c r="AK5353" s="3">
        <v>5347</v>
      </c>
      <c r="AL5353" s="163">
        <v>5.338497098822379</v>
      </c>
    </row>
    <row r="5354" spans="37:38" s="4" customFormat="1">
      <c r="AK5354" s="3">
        <v>5348</v>
      </c>
      <c r="AL5354" s="163">
        <v>5.3394858611070948</v>
      </c>
    </row>
    <row r="5355" spans="37:38" s="4" customFormat="1">
      <c r="AK5355" s="3">
        <v>5349</v>
      </c>
      <c r="AL5355" s="163">
        <v>5.3404745570201149</v>
      </c>
    </row>
    <row r="5356" spans="37:38" s="4" customFormat="1">
      <c r="AK5356" s="3">
        <v>5350</v>
      </c>
      <c r="AL5356" s="163">
        <v>5.3414631863321338</v>
      </c>
    </row>
    <row r="5357" spans="37:38" s="4" customFormat="1">
      <c r="AK5357" s="3">
        <v>5351</v>
      </c>
      <c r="AL5357" s="163">
        <v>5.3424517488139154</v>
      </c>
    </row>
    <row r="5358" spans="37:38" s="4" customFormat="1">
      <c r="AK5358" s="3">
        <v>5352</v>
      </c>
      <c r="AL5358" s="163">
        <v>5.3434402442362847</v>
      </c>
    </row>
    <row r="5359" spans="37:38" s="4" customFormat="1">
      <c r="AK5359" s="3">
        <v>5353</v>
      </c>
      <c r="AL5359" s="163">
        <v>5.3444286723700856</v>
      </c>
    </row>
    <row r="5360" spans="37:38" s="4" customFormat="1">
      <c r="AK5360" s="3">
        <v>5354</v>
      </c>
      <c r="AL5360" s="163">
        <v>5.3454170329862762</v>
      </c>
    </row>
    <row r="5361" spans="37:38" s="4" customFormat="1">
      <c r="AK5361" s="3">
        <v>5355</v>
      </c>
      <c r="AL5361" s="163">
        <v>5.3464053258558204</v>
      </c>
    </row>
    <row r="5362" spans="37:38" s="4" customFormat="1">
      <c r="AK5362" s="3">
        <v>5356</v>
      </c>
      <c r="AL5362" s="163">
        <v>5.347393550749751</v>
      </c>
    </row>
    <row r="5363" spans="37:38" s="4" customFormat="1">
      <c r="AK5363" s="3">
        <v>5357</v>
      </c>
      <c r="AL5363" s="163">
        <v>5.3483817074391613</v>
      </c>
    </row>
    <row r="5364" spans="37:38" s="4" customFormat="1">
      <c r="AK5364" s="3">
        <v>5358</v>
      </c>
      <c r="AL5364" s="163">
        <v>5.3493697956951909</v>
      </c>
    </row>
    <row r="5365" spans="37:38" s="4" customFormat="1">
      <c r="AK5365" s="3">
        <v>5359</v>
      </c>
      <c r="AL5365" s="163">
        <v>5.3503578152890467</v>
      </c>
    </row>
    <row r="5366" spans="37:38" s="4" customFormat="1">
      <c r="AK5366" s="3">
        <v>5360</v>
      </c>
      <c r="AL5366" s="163">
        <v>5.3513457659919732</v>
      </c>
    </row>
    <row r="5367" spans="37:38" s="4" customFormat="1">
      <c r="AK5367" s="3">
        <v>5361</v>
      </c>
      <c r="AL5367" s="163">
        <v>5.3523336475752892</v>
      </c>
    </row>
    <row r="5368" spans="37:38" s="4" customFormat="1">
      <c r="AK5368" s="3">
        <v>5362</v>
      </c>
      <c r="AL5368" s="163">
        <v>5.353321459810366</v>
      </c>
    </row>
    <row r="5369" spans="37:38" s="4" customFormat="1">
      <c r="AK5369" s="3">
        <v>5363</v>
      </c>
      <c r="AL5369" s="163">
        <v>5.3543092024686283</v>
      </c>
    </row>
    <row r="5370" spans="37:38" s="4" customFormat="1">
      <c r="AK5370" s="3">
        <v>5364</v>
      </c>
      <c r="AL5370" s="163">
        <v>5.355296875321538</v>
      </c>
    </row>
    <row r="5371" spans="37:38" s="4" customFormat="1">
      <c r="AK5371" s="3">
        <v>5365</v>
      </c>
      <c r="AL5371" s="163">
        <v>5.3562844781406618</v>
      </c>
    </row>
    <row r="5372" spans="37:38" s="4" customFormat="1">
      <c r="AK5372" s="3">
        <v>5366</v>
      </c>
      <c r="AL5372" s="163">
        <v>5.3572720106975646</v>
      </c>
    </row>
    <row r="5373" spans="37:38" s="4" customFormat="1">
      <c r="AK5373" s="3">
        <v>5367</v>
      </c>
      <c r="AL5373" s="163">
        <v>5.3582594727639128</v>
      </c>
    </row>
    <row r="5374" spans="37:38" s="4" customFormat="1">
      <c r="AK5374" s="3">
        <v>5368</v>
      </c>
      <c r="AL5374" s="163">
        <v>5.3592468641114115</v>
      </c>
    </row>
    <row r="5375" spans="37:38" s="4" customFormat="1">
      <c r="AK5375" s="3">
        <v>5369</v>
      </c>
      <c r="AL5375" s="163">
        <v>5.3602341845118096</v>
      </c>
    </row>
    <row r="5376" spans="37:38" s="4" customFormat="1">
      <c r="AK5376" s="3">
        <v>5370</v>
      </c>
      <c r="AL5376" s="163">
        <v>5.3612214337369508</v>
      </c>
    </row>
    <row r="5377" spans="37:38" s="4" customFormat="1">
      <c r="AK5377" s="3">
        <v>5371</v>
      </c>
      <c r="AL5377" s="163">
        <v>5.3622086115587058</v>
      </c>
    </row>
    <row r="5378" spans="37:38" s="4" customFormat="1">
      <c r="AK5378" s="3">
        <v>5372</v>
      </c>
      <c r="AL5378" s="163">
        <v>5.3631957177490213</v>
      </c>
    </row>
    <row r="5379" spans="37:38" s="4" customFormat="1">
      <c r="AK5379" s="3">
        <v>5373</v>
      </c>
      <c r="AL5379" s="163">
        <v>5.3641827520798824</v>
      </c>
    </row>
    <row r="5380" spans="37:38" s="4" customFormat="1">
      <c r="AK5380" s="3">
        <v>5374</v>
      </c>
      <c r="AL5380" s="163">
        <v>5.3651697143233399</v>
      </c>
    </row>
    <row r="5381" spans="37:38" s="4" customFormat="1">
      <c r="AK5381" s="3">
        <v>5375</v>
      </c>
      <c r="AL5381" s="163">
        <v>5.3661566042515085</v>
      </c>
    </row>
    <row r="5382" spans="37:38" s="4" customFormat="1">
      <c r="AK5382" s="3">
        <v>5376</v>
      </c>
      <c r="AL5382" s="163">
        <v>5.3671434216365608</v>
      </c>
    </row>
    <row r="5383" spans="37:38" s="4" customFormat="1">
      <c r="AK5383" s="3">
        <v>5377</v>
      </c>
      <c r="AL5383" s="163">
        <v>5.3681301662507233</v>
      </c>
    </row>
    <row r="5384" spans="37:38" s="4" customFormat="1">
      <c r="AK5384" s="3">
        <v>5378</v>
      </c>
      <c r="AL5384" s="163">
        <v>5.3691168378663034</v>
      </c>
    </row>
    <row r="5385" spans="37:38" s="4" customFormat="1">
      <c r="AK5385" s="3">
        <v>5379</v>
      </c>
      <c r="AL5385" s="163">
        <v>5.3701034362556204</v>
      </c>
    </row>
    <row r="5386" spans="37:38" s="4" customFormat="1">
      <c r="AK5386" s="3">
        <v>5380</v>
      </c>
      <c r="AL5386" s="163">
        <v>5.3710899611911005</v>
      </c>
    </row>
    <row r="5387" spans="37:38" s="4" customFormat="1">
      <c r="AK5387" s="3">
        <v>5381</v>
      </c>
      <c r="AL5387" s="163">
        <v>5.3720764124452067</v>
      </c>
    </row>
    <row r="5388" spans="37:38" s="4" customFormat="1">
      <c r="AK5388" s="3">
        <v>5382</v>
      </c>
      <c r="AL5388" s="163">
        <v>5.3730627897904579</v>
      </c>
    </row>
    <row r="5389" spans="37:38" s="4" customFormat="1">
      <c r="AK5389" s="3">
        <v>5383</v>
      </c>
      <c r="AL5389" s="163">
        <v>5.374049092999452</v>
      </c>
    </row>
    <row r="5390" spans="37:38" s="4" customFormat="1">
      <c r="AK5390" s="3">
        <v>5384</v>
      </c>
      <c r="AL5390" s="163">
        <v>5.3750353218448179</v>
      </c>
    </row>
    <row r="5391" spans="37:38" s="4" customFormat="1">
      <c r="AK5391" s="3">
        <v>5385</v>
      </c>
      <c r="AL5391" s="163">
        <v>5.3760214760992664</v>
      </c>
    </row>
    <row r="5392" spans="37:38" s="4" customFormat="1">
      <c r="AK5392" s="3">
        <v>5386</v>
      </c>
      <c r="AL5392" s="163">
        <v>5.377007555535589</v>
      </c>
    </row>
    <row r="5393" spans="37:38" s="4" customFormat="1">
      <c r="AK5393" s="3">
        <v>5387</v>
      </c>
      <c r="AL5393" s="163">
        <v>5.3779935599265833</v>
      </c>
    </row>
    <row r="5394" spans="37:38" s="4" customFormat="1">
      <c r="AK5394" s="3">
        <v>5388</v>
      </c>
      <c r="AL5394" s="163">
        <v>5.3789794890451459</v>
      </c>
    </row>
    <row r="5395" spans="37:38" s="4" customFormat="1">
      <c r="AK5395" s="3">
        <v>5389</v>
      </c>
      <c r="AL5395" s="163">
        <v>5.379965342664236</v>
      </c>
    </row>
    <row r="5396" spans="37:38" s="4" customFormat="1">
      <c r="AK5396" s="3">
        <v>5390</v>
      </c>
      <c r="AL5396" s="163">
        <v>5.3809511205568432</v>
      </c>
    </row>
    <row r="5397" spans="37:38" s="4" customFormat="1">
      <c r="AK5397" s="3">
        <v>5391</v>
      </c>
      <c r="AL5397" s="163">
        <v>5.3819368224960531</v>
      </c>
    </row>
    <row r="5398" spans="37:38" s="4" customFormat="1">
      <c r="AK5398" s="3">
        <v>5392</v>
      </c>
      <c r="AL5398" s="163">
        <v>5.3829224482550115</v>
      </c>
    </row>
    <row r="5399" spans="37:38" s="4" customFormat="1">
      <c r="AK5399" s="3">
        <v>5393</v>
      </c>
      <c r="AL5399" s="163">
        <v>5.3839079976068795</v>
      </c>
    </row>
    <row r="5400" spans="37:38" s="4" customFormat="1">
      <c r="AK5400" s="3">
        <v>5394</v>
      </c>
      <c r="AL5400" s="163">
        <v>5.3848934703249363</v>
      </c>
    </row>
    <row r="5401" spans="37:38" s="4" customFormat="1">
      <c r="AK5401" s="3">
        <v>5395</v>
      </c>
      <c r="AL5401" s="163">
        <v>5.3858788661824972</v>
      </c>
    </row>
    <row r="5402" spans="37:38" s="4" customFormat="1">
      <c r="AK5402" s="3">
        <v>5396</v>
      </c>
      <c r="AL5402" s="163">
        <v>5.3868641849529491</v>
      </c>
    </row>
    <row r="5403" spans="37:38" s="4" customFormat="1">
      <c r="AK5403" s="3">
        <v>5397</v>
      </c>
      <c r="AL5403" s="163">
        <v>5.3878494264097272</v>
      </c>
    </row>
    <row r="5404" spans="37:38" s="4" customFormat="1">
      <c r="AK5404" s="3">
        <v>5398</v>
      </c>
      <c r="AL5404" s="163">
        <v>5.3888345903263222</v>
      </c>
    </row>
    <row r="5405" spans="37:38" s="4" customFormat="1">
      <c r="AK5405" s="3">
        <v>5399</v>
      </c>
      <c r="AL5405" s="163">
        <v>5.389819676476332</v>
      </c>
    </row>
    <row r="5406" spans="37:38" s="4" customFormat="1">
      <c r="AK5406" s="3">
        <v>5400</v>
      </c>
      <c r="AL5406" s="163">
        <v>5.3908046846333884</v>
      </c>
    </row>
    <row r="5407" spans="37:38" s="4" customFormat="1">
      <c r="AK5407" s="3">
        <v>5401</v>
      </c>
      <c r="AL5407" s="163">
        <v>5.3917896145711568</v>
      </c>
    </row>
    <row r="5408" spans="37:38" s="4" customFormat="1">
      <c r="AK5408" s="3">
        <v>5402</v>
      </c>
      <c r="AL5408" s="163">
        <v>5.3927744660634165</v>
      </c>
    </row>
    <row r="5409" spans="37:38" s="4" customFormat="1">
      <c r="AK5409" s="3">
        <v>5403</v>
      </c>
      <c r="AL5409" s="163">
        <v>5.3937592388839883</v>
      </c>
    </row>
    <row r="5410" spans="37:38" s="4" customFormat="1">
      <c r="AK5410" s="3">
        <v>5404</v>
      </c>
      <c r="AL5410" s="163">
        <v>5.3947439328067457</v>
      </c>
    </row>
    <row r="5411" spans="37:38" s="4" customFormat="1">
      <c r="AK5411" s="3">
        <v>5405</v>
      </c>
      <c r="AL5411" s="163">
        <v>5.3957285476056462</v>
      </c>
    </row>
    <row r="5412" spans="37:38" s="4" customFormat="1">
      <c r="AK5412" s="3">
        <v>5406</v>
      </c>
      <c r="AL5412" s="163">
        <v>5.3967130830547125</v>
      </c>
    </row>
    <row r="5413" spans="37:38" s="4" customFormat="1">
      <c r="AK5413" s="3">
        <v>5407</v>
      </c>
      <c r="AL5413" s="163">
        <v>5.3976975389279973</v>
      </c>
    </row>
    <row r="5414" spans="37:38" s="4" customFormat="1">
      <c r="AK5414" s="3">
        <v>5408</v>
      </c>
      <c r="AL5414" s="163">
        <v>5.3986819149996714</v>
      </c>
    </row>
    <row r="5415" spans="37:38" s="4" customFormat="1">
      <c r="AK5415" s="3">
        <v>5409</v>
      </c>
      <c r="AL5415" s="163">
        <v>5.3996662110439244</v>
      </c>
    </row>
    <row r="5416" spans="37:38" s="4" customFormat="1">
      <c r="AK5416" s="3">
        <v>5410</v>
      </c>
      <c r="AL5416" s="163">
        <v>5.4006504268350382</v>
      </c>
    </row>
    <row r="5417" spans="37:38" s="4" customFormat="1">
      <c r="AK5417" s="3">
        <v>5411</v>
      </c>
      <c r="AL5417" s="163">
        <v>5.4016345621473398</v>
      </c>
    </row>
    <row r="5418" spans="37:38" s="4" customFormat="1">
      <c r="AK5418" s="3">
        <v>5412</v>
      </c>
      <c r="AL5418" s="163">
        <v>5.4026186167552286</v>
      </c>
    </row>
    <row r="5419" spans="37:38" s="4" customFormat="1">
      <c r="AK5419" s="3">
        <v>5413</v>
      </c>
      <c r="AL5419" s="163">
        <v>5.4036025904331844</v>
      </c>
    </row>
    <row r="5420" spans="37:38" s="4" customFormat="1">
      <c r="AK5420" s="3">
        <v>5414</v>
      </c>
      <c r="AL5420" s="163">
        <v>5.4045864829557297</v>
      </c>
    </row>
    <row r="5421" spans="37:38" s="4" customFormat="1">
      <c r="AK5421" s="3">
        <v>5415</v>
      </c>
      <c r="AL5421" s="163">
        <v>5.4055702940974699</v>
      </c>
    </row>
    <row r="5422" spans="37:38" s="4" customFormat="1">
      <c r="AK5422" s="3">
        <v>5416</v>
      </c>
      <c r="AL5422" s="163">
        <v>5.4065540236330492</v>
      </c>
    </row>
    <row r="5423" spans="37:38" s="4" customFormat="1">
      <c r="AK5423" s="3">
        <v>5417</v>
      </c>
      <c r="AL5423" s="163">
        <v>5.4075376713372361</v>
      </c>
    </row>
    <row r="5424" spans="37:38" s="4" customFormat="1">
      <c r="AK5424" s="3">
        <v>5418</v>
      </c>
      <c r="AL5424" s="163">
        <v>5.4085212369848019</v>
      </c>
    </row>
    <row r="5425" spans="37:38" s="4" customFormat="1">
      <c r="AK5425" s="3">
        <v>5419</v>
      </c>
      <c r="AL5425" s="163">
        <v>5.4095047203506077</v>
      </c>
    </row>
    <row r="5426" spans="37:38" s="4" customFormat="1">
      <c r="AK5426" s="3">
        <v>5420</v>
      </c>
      <c r="AL5426" s="163">
        <v>5.4104881212095721</v>
      </c>
    </row>
    <row r="5427" spans="37:38" s="4" customFormat="1">
      <c r="AK5427" s="3">
        <v>5421</v>
      </c>
      <c r="AL5427" s="163">
        <v>5.4114714393367391</v>
      </c>
    </row>
    <row r="5428" spans="37:38" s="4" customFormat="1">
      <c r="AK5428" s="3">
        <v>5422</v>
      </c>
      <c r="AL5428" s="163">
        <v>5.4124546745071278</v>
      </c>
    </row>
    <row r="5429" spans="37:38" s="4" customFormat="1">
      <c r="AK5429" s="3">
        <v>5423</v>
      </c>
      <c r="AL5429" s="163">
        <v>5.4134378264958904</v>
      </c>
    </row>
    <row r="5430" spans="37:38" s="4" customFormat="1">
      <c r="AK5430" s="3">
        <v>5424</v>
      </c>
      <c r="AL5430" s="163">
        <v>5.4144208950782202</v>
      </c>
    </row>
    <row r="5431" spans="37:38" s="4" customFormat="1">
      <c r="AK5431" s="3">
        <v>5425</v>
      </c>
      <c r="AL5431" s="163">
        <v>5.4154038800293653</v>
      </c>
    </row>
    <row r="5432" spans="37:38" s="4" customFormat="1">
      <c r="AK5432" s="3">
        <v>5426</v>
      </c>
      <c r="AL5432" s="163">
        <v>5.4163867811246851</v>
      </c>
    </row>
    <row r="5433" spans="37:38" s="4" customFormat="1">
      <c r="AK5433" s="3">
        <v>5427</v>
      </c>
      <c r="AL5433" s="163">
        <v>5.417369598139568</v>
      </c>
    </row>
    <row r="5434" spans="37:38" s="4" customFormat="1">
      <c r="AK5434" s="3">
        <v>5428</v>
      </c>
      <c r="AL5434" s="163">
        <v>5.418352330849487</v>
      </c>
    </row>
    <row r="5435" spans="37:38" s="4" customFormat="1">
      <c r="AK5435" s="3">
        <v>5429</v>
      </c>
      <c r="AL5435" s="163">
        <v>5.4193349790299923</v>
      </c>
    </row>
    <row r="5436" spans="37:38" s="4" customFormat="1">
      <c r="AK5436" s="3">
        <v>5430</v>
      </c>
      <c r="AL5436" s="163">
        <v>5.4203175424566679</v>
      </c>
    </row>
    <row r="5437" spans="37:38" s="4" customFormat="1">
      <c r="AK5437" s="3">
        <v>5431</v>
      </c>
      <c r="AL5437" s="163">
        <v>5.4213000209051856</v>
      </c>
    </row>
    <row r="5438" spans="37:38" s="4" customFormat="1">
      <c r="AK5438" s="3">
        <v>5432</v>
      </c>
      <c r="AL5438" s="163">
        <v>5.4222824141513151</v>
      </c>
    </row>
    <row r="5439" spans="37:38" s="4" customFormat="1">
      <c r="AK5439" s="3">
        <v>5433</v>
      </c>
      <c r="AL5439" s="163">
        <v>5.4232647219708534</v>
      </c>
    </row>
    <row r="5440" spans="37:38" s="4" customFormat="1">
      <c r="AK5440" s="3">
        <v>5434</v>
      </c>
      <c r="AL5440" s="163">
        <v>5.4242469441397017</v>
      </c>
    </row>
    <row r="5441" spans="37:38" s="4" customFormat="1">
      <c r="AK5441" s="3">
        <v>5435</v>
      </c>
      <c r="AL5441" s="163">
        <v>5.4252290804337715</v>
      </c>
    </row>
    <row r="5442" spans="37:38" s="4" customFormat="1">
      <c r="AK5442" s="3">
        <v>5436</v>
      </c>
      <c r="AL5442" s="163">
        <v>5.4262111306291239</v>
      </c>
    </row>
    <row r="5443" spans="37:38" s="4" customFormat="1">
      <c r="AK5443" s="3">
        <v>5437</v>
      </c>
      <c r="AL5443" s="163">
        <v>5.427193094501825</v>
      </c>
    </row>
    <row r="5444" spans="37:38" s="4" customFormat="1">
      <c r="AK5444" s="3">
        <v>5438</v>
      </c>
      <c r="AL5444" s="163">
        <v>5.4281749718280592</v>
      </c>
    </row>
    <row r="5445" spans="37:38" s="4" customFormat="1">
      <c r="AK5445" s="3">
        <v>5439</v>
      </c>
      <c r="AL5445" s="163">
        <v>5.4291567623840313</v>
      </c>
    </row>
    <row r="5446" spans="37:38" s="4" customFormat="1">
      <c r="AK5446" s="3">
        <v>5440</v>
      </c>
      <c r="AL5446" s="163">
        <v>5.430138465946059</v>
      </c>
    </row>
    <row r="5447" spans="37:38" s="4" customFormat="1">
      <c r="AK5447" s="3">
        <v>5441</v>
      </c>
      <c r="AL5447" s="163">
        <v>5.4311200822905059</v>
      </c>
    </row>
    <row r="5448" spans="37:38" s="4" customFormat="1">
      <c r="AK5448" s="3">
        <v>5442</v>
      </c>
      <c r="AL5448" s="163">
        <v>5.4321016111938292</v>
      </c>
    </row>
    <row r="5449" spans="37:38" s="4" customFormat="1">
      <c r="AK5449" s="3">
        <v>5443</v>
      </c>
      <c r="AL5449" s="163">
        <v>5.4330830524325284</v>
      </c>
    </row>
    <row r="5450" spans="37:38" s="4" customFormat="1">
      <c r="AK5450" s="3">
        <v>5444</v>
      </c>
      <c r="AL5450" s="163">
        <v>5.4340644057831904</v>
      </c>
    </row>
    <row r="5451" spans="37:38" s="4" customFormat="1">
      <c r="AK5451" s="3">
        <v>5445</v>
      </c>
      <c r="AL5451" s="163">
        <v>5.435045671022471</v>
      </c>
    </row>
    <row r="5452" spans="37:38" s="4" customFormat="1">
      <c r="AK5452" s="3">
        <v>5446</v>
      </c>
      <c r="AL5452" s="163">
        <v>5.4360268479271001</v>
      </c>
    </row>
    <row r="5453" spans="37:38" s="4" customFormat="1">
      <c r="AK5453" s="3">
        <v>5447</v>
      </c>
      <c r="AL5453" s="163">
        <v>5.4370079362738748</v>
      </c>
    </row>
    <row r="5454" spans="37:38" s="4" customFormat="1">
      <c r="AK5454" s="3">
        <v>5448</v>
      </c>
      <c r="AL5454" s="163">
        <v>5.4379889358396616</v>
      </c>
    </row>
    <row r="5455" spans="37:38" s="4" customFormat="1">
      <c r="AK5455" s="3">
        <v>5449</v>
      </c>
      <c r="AL5455" s="163">
        <v>5.4389698464014185</v>
      </c>
    </row>
    <row r="5456" spans="37:38" s="4" customFormat="1">
      <c r="AK5456" s="3">
        <v>5450</v>
      </c>
      <c r="AL5456" s="163">
        <v>5.439950667736138</v>
      </c>
    </row>
    <row r="5457" spans="37:38" s="4" customFormat="1">
      <c r="AK5457" s="3">
        <v>5451</v>
      </c>
      <c r="AL5457" s="163">
        <v>5.440931399620931</v>
      </c>
    </row>
    <row r="5458" spans="37:38" s="4" customFormat="1">
      <c r="AK5458" s="3">
        <v>5452</v>
      </c>
      <c r="AL5458" s="163">
        <v>5.4419120418329321</v>
      </c>
    </row>
    <row r="5459" spans="37:38" s="4" customFormat="1">
      <c r="AK5459" s="3">
        <v>5453</v>
      </c>
      <c r="AL5459" s="163">
        <v>5.4428925941493862</v>
      </c>
    </row>
    <row r="5460" spans="37:38" s="4" customFormat="1">
      <c r="AK5460" s="3">
        <v>5454</v>
      </c>
      <c r="AL5460" s="163">
        <v>5.4438730563476136</v>
      </c>
    </row>
    <row r="5461" spans="37:38" s="4" customFormat="1">
      <c r="AK5461" s="3">
        <v>5455</v>
      </c>
      <c r="AL5461" s="163">
        <v>5.4448534282049534</v>
      </c>
    </row>
    <row r="5462" spans="37:38" s="4" customFormat="1">
      <c r="AK5462" s="3">
        <v>5456</v>
      </c>
      <c r="AL5462" s="163">
        <v>5.4458337094988947</v>
      </c>
    </row>
    <row r="5463" spans="37:38" s="4" customFormat="1">
      <c r="AK5463" s="3">
        <v>5457</v>
      </c>
      <c r="AL5463" s="163">
        <v>5.4468139000069593</v>
      </c>
    </row>
    <row r="5464" spans="37:38" s="4" customFormat="1">
      <c r="AK5464" s="3">
        <v>5458</v>
      </c>
      <c r="AL5464" s="163">
        <v>5.4477939995067199</v>
      </c>
    </row>
    <row r="5465" spans="37:38" s="4" customFormat="1">
      <c r="AK5465" s="3">
        <v>5459</v>
      </c>
      <c r="AL5465" s="163">
        <v>5.4487740077758717</v>
      </c>
    </row>
    <row r="5466" spans="37:38" s="4" customFormat="1">
      <c r="AK5466" s="3">
        <v>5460</v>
      </c>
      <c r="AL5466" s="163">
        <v>5.4497539245921471</v>
      </c>
    </row>
    <row r="5467" spans="37:38" s="4" customFormat="1">
      <c r="AK5467" s="3">
        <v>5461</v>
      </c>
      <c r="AL5467" s="163">
        <v>5.4507337497333745</v>
      </c>
    </row>
    <row r="5468" spans="37:38" s="4" customFormat="1">
      <c r="AK5468" s="3">
        <v>5462</v>
      </c>
      <c r="AL5468" s="163">
        <v>5.4517134829774552</v>
      </c>
    </row>
    <row r="5469" spans="37:38" s="4" customFormat="1">
      <c r="AK5469" s="3">
        <v>5463</v>
      </c>
      <c r="AL5469" s="163">
        <v>5.4526931241023462</v>
      </c>
    </row>
    <row r="5470" spans="37:38" s="4" customFormat="1">
      <c r="AK5470" s="3">
        <v>5464</v>
      </c>
      <c r="AL5470" s="163">
        <v>5.4536726728860936</v>
      </c>
    </row>
    <row r="5471" spans="37:38" s="4" customFormat="1">
      <c r="AK5471" s="3">
        <v>5465</v>
      </c>
      <c r="AL5471" s="163">
        <v>5.4546521291068313</v>
      </c>
    </row>
    <row r="5472" spans="37:38" s="4" customFormat="1">
      <c r="AK5472" s="3">
        <v>5466</v>
      </c>
      <c r="AL5472" s="163">
        <v>5.4556314925427305</v>
      </c>
    </row>
    <row r="5473" spans="37:38" s="4" customFormat="1">
      <c r="AK5473" s="3">
        <v>5467</v>
      </c>
      <c r="AL5473" s="163">
        <v>5.456610762972077</v>
      </c>
    </row>
    <row r="5474" spans="37:38" s="4" customFormat="1">
      <c r="AK5474" s="3">
        <v>5468</v>
      </c>
      <c r="AL5474" s="163">
        <v>5.4575899401732011</v>
      </c>
    </row>
    <row r="5475" spans="37:38" s="4" customFormat="1">
      <c r="AK5475" s="3">
        <v>5469</v>
      </c>
      <c r="AL5475" s="163">
        <v>5.4585690239245332</v>
      </c>
    </row>
    <row r="5476" spans="37:38" s="4" customFormat="1">
      <c r="AK5476" s="3">
        <v>5470</v>
      </c>
      <c r="AL5476" s="163">
        <v>5.4595480140045867</v>
      </c>
    </row>
    <row r="5477" spans="37:38" s="4" customFormat="1">
      <c r="AK5477" s="3">
        <v>5471</v>
      </c>
      <c r="AL5477" s="163">
        <v>5.4605269101919074</v>
      </c>
    </row>
    <row r="5478" spans="37:38" s="4" customFormat="1">
      <c r="AK5478" s="3">
        <v>5472</v>
      </c>
      <c r="AL5478" s="163">
        <v>5.4615057122651613</v>
      </c>
    </row>
    <row r="5479" spans="37:38" s="4" customFormat="1">
      <c r="AK5479" s="3">
        <v>5473</v>
      </c>
      <c r="AL5479" s="163">
        <v>5.4624844200030571</v>
      </c>
    </row>
    <row r="5480" spans="37:38" s="4" customFormat="1">
      <c r="AK5480" s="3">
        <v>5474</v>
      </c>
      <c r="AL5480" s="163">
        <v>5.4634630331843939</v>
      </c>
    </row>
    <row r="5481" spans="37:38" s="4" customFormat="1">
      <c r="AK5481" s="3">
        <v>5475</v>
      </c>
      <c r="AL5481" s="163">
        <v>5.4644415515880702</v>
      </c>
    </row>
    <row r="5482" spans="37:38" s="4" customFormat="1">
      <c r="AK5482" s="3">
        <v>5476</v>
      </c>
      <c r="AL5482" s="163">
        <v>5.4654199749930443</v>
      </c>
    </row>
    <row r="5483" spans="37:38" s="4" customFormat="1">
      <c r="AK5483" s="3">
        <v>5477</v>
      </c>
      <c r="AL5483" s="163">
        <v>5.4663983031783339</v>
      </c>
    </row>
    <row r="5484" spans="37:38" s="4" customFormat="1">
      <c r="AK5484" s="3">
        <v>5478</v>
      </c>
      <c r="AL5484" s="163">
        <v>5.467376535923032</v>
      </c>
    </row>
    <row r="5485" spans="37:38" s="4" customFormat="1">
      <c r="AK5485" s="3">
        <v>5479</v>
      </c>
      <c r="AL5485" s="163">
        <v>5.4683546730063579</v>
      </c>
    </row>
    <row r="5486" spans="37:38" s="4" customFormat="1">
      <c r="AK5486" s="3">
        <v>5480</v>
      </c>
      <c r="AL5486" s="163">
        <v>5.4693327142075763</v>
      </c>
    </row>
    <row r="5487" spans="37:38" s="4" customFormat="1">
      <c r="AK5487" s="3">
        <v>5481</v>
      </c>
      <c r="AL5487" s="163">
        <v>5.4703106593059934</v>
      </c>
    </row>
    <row r="5488" spans="37:38" s="4" customFormat="1">
      <c r="AK5488" s="3">
        <v>5482</v>
      </c>
      <c r="AL5488" s="163">
        <v>5.4712885080810549</v>
      </c>
    </row>
    <row r="5489" spans="37:38" s="4" customFormat="1">
      <c r="AK5489" s="3">
        <v>5483</v>
      </c>
      <c r="AL5489" s="163">
        <v>5.4722662603122751</v>
      </c>
    </row>
    <row r="5490" spans="37:38" s="4" customFormat="1">
      <c r="AK5490" s="3">
        <v>5484</v>
      </c>
      <c r="AL5490" s="163">
        <v>5.4732439157791966</v>
      </c>
    </row>
    <row r="5491" spans="37:38" s="4" customFormat="1">
      <c r="AK5491" s="3">
        <v>5485</v>
      </c>
      <c r="AL5491" s="163">
        <v>5.474221474261503</v>
      </c>
    </row>
    <row r="5492" spans="37:38" s="4" customFormat="1">
      <c r="AK5492" s="3">
        <v>5486</v>
      </c>
      <c r="AL5492" s="163">
        <v>5.4751989355389359</v>
      </c>
    </row>
    <row r="5493" spans="37:38" s="4" customFormat="1">
      <c r="AK5493" s="3">
        <v>5487</v>
      </c>
      <c r="AL5493" s="163">
        <v>5.4761762993912777</v>
      </c>
    </row>
    <row r="5494" spans="37:38" s="4" customFormat="1">
      <c r="AK5494" s="3">
        <v>5488</v>
      </c>
      <c r="AL5494" s="163">
        <v>5.4771535655984316</v>
      </c>
    </row>
    <row r="5495" spans="37:38" s="4" customFormat="1">
      <c r="AK5495" s="3">
        <v>5489</v>
      </c>
      <c r="AL5495" s="163">
        <v>5.4781307339403726</v>
      </c>
    </row>
    <row r="5496" spans="37:38" s="4" customFormat="1">
      <c r="AK5496" s="3">
        <v>5490</v>
      </c>
      <c r="AL5496" s="163">
        <v>5.4791078041971577</v>
      </c>
    </row>
    <row r="5497" spans="37:38" s="4" customFormat="1">
      <c r="AK5497" s="3">
        <v>5491</v>
      </c>
      <c r="AL5497" s="163">
        <v>5.4800847761489093</v>
      </c>
    </row>
    <row r="5498" spans="37:38" s="4" customFormat="1">
      <c r="AK5498" s="3">
        <v>5492</v>
      </c>
      <c r="AL5498" s="163">
        <v>5.4810616495758504</v>
      </c>
    </row>
    <row r="5499" spans="37:38" s="4" customFormat="1">
      <c r="AK5499" s="3">
        <v>5493</v>
      </c>
      <c r="AL5499" s="163">
        <v>5.4820384242582731</v>
      </c>
    </row>
    <row r="5500" spans="37:38" s="4" customFormat="1">
      <c r="AK5500" s="3">
        <v>5494</v>
      </c>
      <c r="AL5500" s="163">
        <v>5.4830150999765284</v>
      </c>
    </row>
    <row r="5501" spans="37:38" s="4" customFormat="1">
      <c r="AK5501" s="3">
        <v>5495</v>
      </c>
      <c r="AL5501" s="163">
        <v>5.4839916765110743</v>
      </c>
    </row>
    <row r="5502" spans="37:38" s="4" customFormat="1">
      <c r="AK5502" s="3">
        <v>5496</v>
      </c>
      <c r="AL5502" s="163">
        <v>5.484968153642467</v>
      </c>
    </row>
    <row r="5503" spans="37:38" s="4" customFormat="1">
      <c r="AK5503" s="3">
        <v>5497</v>
      </c>
      <c r="AL5503" s="163">
        <v>5.4859445311512811</v>
      </c>
    </row>
    <row r="5504" spans="37:38" s="4" customFormat="1">
      <c r="AK5504" s="3">
        <v>5498</v>
      </c>
      <c r="AL5504" s="163">
        <v>5.4869208088182466</v>
      </c>
    </row>
    <row r="5505" spans="37:38" s="4" customFormat="1">
      <c r="AK5505" s="3">
        <v>5499</v>
      </c>
      <c r="AL5505" s="163">
        <v>5.4878969864241265</v>
      </c>
    </row>
    <row r="5506" spans="37:38" s="4" customFormat="1">
      <c r="AK5506" s="3">
        <v>5500</v>
      </c>
      <c r="AL5506" s="163">
        <v>5.4888730637497742</v>
      </c>
    </row>
    <row r="5507" spans="37:38" s="4" customFormat="1">
      <c r="AK5507" s="3">
        <v>5501</v>
      </c>
      <c r="AL5507" s="163">
        <v>5.4898490405761144</v>
      </c>
    </row>
    <row r="5508" spans="37:38" s="4" customFormat="1">
      <c r="AK5508" s="3">
        <v>5502</v>
      </c>
      <c r="AL5508" s="163">
        <v>5.4908249166841934</v>
      </c>
    </row>
    <row r="5509" spans="37:38" s="4" customFormat="1">
      <c r="AK5509" s="3">
        <v>5503</v>
      </c>
      <c r="AL5509" s="163">
        <v>5.4918006918550963</v>
      </c>
    </row>
    <row r="5510" spans="37:38" s="4" customFormat="1">
      <c r="AK5510" s="3">
        <v>5504</v>
      </c>
      <c r="AL5510" s="163">
        <v>5.492776365870033</v>
      </c>
    </row>
    <row r="5511" spans="37:38" s="4" customFormat="1">
      <c r="AK5511" s="3">
        <v>5505</v>
      </c>
      <c r="AL5511" s="163">
        <v>5.4937519385102185</v>
      </c>
    </row>
    <row r="5512" spans="37:38" s="4" customFormat="1">
      <c r="AK5512" s="3">
        <v>5506</v>
      </c>
      <c r="AL5512" s="163">
        <v>5.4947274095570338</v>
      </c>
    </row>
    <row r="5513" spans="37:38" s="4" customFormat="1">
      <c r="AK5513" s="3">
        <v>5507</v>
      </c>
      <c r="AL5513" s="163">
        <v>5.4957027787919239</v>
      </c>
    </row>
    <row r="5514" spans="37:38" s="4" customFormat="1">
      <c r="AK5514" s="3">
        <v>5508</v>
      </c>
      <c r="AL5514" s="163">
        <v>5.4966780459963722</v>
      </c>
    </row>
    <row r="5515" spans="37:38" s="4" customFormat="1">
      <c r="AK5515" s="3">
        <v>5509</v>
      </c>
      <c r="AL5515" s="163">
        <v>5.4976532109520049</v>
      </c>
    </row>
    <row r="5516" spans="37:38" s="4" customFormat="1">
      <c r="AK5516" s="3">
        <v>5510</v>
      </c>
      <c r="AL5516" s="163">
        <v>5.4986282734404632</v>
      </c>
    </row>
    <row r="5517" spans="37:38" s="4" customFormat="1">
      <c r="AK5517" s="3">
        <v>5511</v>
      </c>
      <c r="AL5517" s="163">
        <v>5.4996032332435449</v>
      </c>
    </row>
    <row r="5518" spans="37:38" s="4" customFormat="1">
      <c r="AK5518" s="3">
        <v>5512</v>
      </c>
      <c r="AL5518" s="163">
        <v>5.5005780901430823</v>
      </c>
    </row>
    <row r="5519" spans="37:38" s="4" customFormat="1">
      <c r="AK5519" s="3">
        <v>5513</v>
      </c>
      <c r="AL5519" s="163">
        <v>5.5015528439210275</v>
      </c>
    </row>
    <row r="5520" spans="37:38" s="4" customFormat="1">
      <c r="AK5520" s="3">
        <v>5514</v>
      </c>
      <c r="AL5520" s="163">
        <v>5.5025274943593629</v>
      </c>
    </row>
    <row r="5521" spans="37:38" s="4" customFormat="1">
      <c r="AK5521" s="3">
        <v>5515</v>
      </c>
      <c r="AL5521" s="163">
        <v>5.5035020412402123</v>
      </c>
    </row>
    <row r="5522" spans="37:38" s="4" customFormat="1">
      <c r="AK5522" s="3">
        <v>5516</v>
      </c>
      <c r="AL5522" s="163">
        <v>5.5044764843457425</v>
      </c>
    </row>
    <row r="5523" spans="37:38" s="4" customFormat="1">
      <c r="AK5523" s="3">
        <v>5517</v>
      </c>
      <c r="AL5523" s="163">
        <v>5.5054508234582213</v>
      </c>
    </row>
    <row r="5524" spans="37:38" s="4" customFormat="1">
      <c r="AK5524" s="3">
        <v>5518</v>
      </c>
      <c r="AL5524" s="163">
        <v>5.5064250583600183</v>
      </c>
    </row>
    <row r="5525" spans="37:38" s="4" customFormat="1">
      <c r="AK5525" s="3">
        <v>5519</v>
      </c>
      <c r="AL5525" s="163">
        <v>5.5073991888335465</v>
      </c>
    </row>
    <row r="5526" spans="37:38" s="4" customFormat="1">
      <c r="AK5526" s="3">
        <v>5520</v>
      </c>
      <c r="AL5526" s="163">
        <v>5.5083732146613587</v>
      </c>
    </row>
    <row r="5527" spans="37:38" s="4" customFormat="1">
      <c r="AK5527" s="3">
        <v>5521</v>
      </c>
      <c r="AL5527" s="163">
        <v>5.5093471356260126</v>
      </c>
    </row>
    <row r="5528" spans="37:38" s="4" customFormat="1">
      <c r="AK5528" s="3">
        <v>5522</v>
      </c>
      <c r="AL5528" s="163">
        <v>5.5103209515102627</v>
      </c>
    </row>
    <row r="5529" spans="37:38" s="4" customFormat="1">
      <c r="AK5529" s="3">
        <v>5523</v>
      </c>
      <c r="AL5529" s="163">
        <v>5.5112946620968382</v>
      </c>
    </row>
    <row r="5530" spans="37:38" s="4" customFormat="1">
      <c r="AK5530" s="3">
        <v>5524</v>
      </c>
      <c r="AL5530" s="163">
        <v>5.5122682671686283</v>
      </c>
    </row>
    <row r="5531" spans="37:38" s="4" customFormat="1">
      <c r="AK5531" s="3">
        <v>5525</v>
      </c>
      <c r="AL5531" s="163">
        <v>5.5132417665085693</v>
      </c>
    </row>
    <row r="5532" spans="37:38" s="4" customFormat="1">
      <c r="AK5532" s="3">
        <v>5526</v>
      </c>
      <c r="AL5532" s="163">
        <v>5.5142151598997131</v>
      </c>
    </row>
    <row r="5533" spans="37:38" s="4" customFormat="1">
      <c r="AK5533" s="3">
        <v>5527</v>
      </c>
      <c r="AL5533" s="163">
        <v>5.5151884471251575</v>
      </c>
    </row>
    <row r="5534" spans="37:38" s="4" customFormat="1">
      <c r="AK5534" s="3">
        <v>5528</v>
      </c>
      <c r="AL5534" s="163">
        <v>5.5161616279681329</v>
      </c>
    </row>
    <row r="5535" spans="37:38" s="4" customFormat="1">
      <c r="AK5535" s="3">
        <v>5529</v>
      </c>
      <c r="AL5535" s="163">
        <v>5.5171347022119184</v>
      </c>
    </row>
    <row r="5536" spans="37:38" s="4" customFormat="1">
      <c r="AK5536" s="3">
        <v>5530</v>
      </c>
      <c r="AL5536" s="163">
        <v>5.5181076696399254</v>
      </c>
    </row>
    <row r="5537" spans="37:38" s="4" customFormat="1">
      <c r="AK5537" s="3">
        <v>5531</v>
      </c>
      <c r="AL5537" s="163">
        <v>5.5190805300355841</v>
      </c>
    </row>
    <row r="5538" spans="37:38" s="4" customFormat="1">
      <c r="AK5538" s="3">
        <v>5532</v>
      </c>
      <c r="AL5538" s="163">
        <v>5.5200532831824694</v>
      </c>
    </row>
    <row r="5539" spans="37:38" s="4" customFormat="1">
      <c r="AK5539" s="3">
        <v>5533</v>
      </c>
      <c r="AL5539" s="163">
        <v>5.5210259288642352</v>
      </c>
    </row>
    <row r="5540" spans="37:38" s="4" customFormat="1">
      <c r="AK5540" s="3">
        <v>5534</v>
      </c>
      <c r="AL5540" s="163">
        <v>5.5219984668645807</v>
      </c>
    </row>
    <row r="5541" spans="37:38" s="4" customFormat="1">
      <c r="AK5541" s="3">
        <v>5535</v>
      </c>
      <c r="AL5541" s="163">
        <v>5.5229708969673723</v>
      </c>
    </row>
    <row r="5542" spans="37:38" s="4" customFormat="1">
      <c r="AK5542" s="3">
        <v>5536</v>
      </c>
      <c r="AL5542" s="163">
        <v>5.5239432189564788</v>
      </c>
    </row>
    <row r="5543" spans="37:38" s="4" customFormat="1">
      <c r="AK5543" s="3">
        <v>5537</v>
      </c>
      <c r="AL5543" s="163">
        <v>5.5249154326159067</v>
      </c>
    </row>
    <row r="5544" spans="37:38" s="4" customFormat="1">
      <c r="AK5544" s="3">
        <v>5538</v>
      </c>
      <c r="AL5544" s="163">
        <v>5.5258875377297452</v>
      </c>
    </row>
    <row r="5545" spans="37:38" s="4" customFormat="1">
      <c r="AK5545" s="3">
        <v>5539</v>
      </c>
      <c r="AL5545" s="163">
        <v>5.5268595340821483</v>
      </c>
    </row>
    <row r="5546" spans="37:38" s="4" customFormat="1">
      <c r="AK5546" s="3">
        <v>5540</v>
      </c>
      <c r="AL5546" s="163">
        <v>5.5278314214574005</v>
      </c>
    </row>
    <row r="5547" spans="37:38" s="4" customFormat="1">
      <c r="AK5547" s="3">
        <v>5541</v>
      </c>
      <c r="AL5547" s="163">
        <v>5.5288031996398495</v>
      </c>
    </row>
    <row r="5548" spans="37:38" s="4" customFormat="1">
      <c r="AK5548" s="3">
        <v>5542</v>
      </c>
      <c r="AL5548" s="163">
        <v>5.5297748684139059</v>
      </c>
    </row>
    <row r="5549" spans="37:38" s="4" customFormat="1">
      <c r="AK5549" s="3">
        <v>5543</v>
      </c>
      <c r="AL5549" s="163">
        <v>5.5307464275641198</v>
      </c>
    </row>
    <row r="5550" spans="37:38" s="4" customFormat="1">
      <c r="AK5550" s="3">
        <v>5544</v>
      </c>
      <c r="AL5550" s="163">
        <v>5.5317178768751187</v>
      </c>
    </row>
    <row r="5551" spans="37:38" s="4" customFormat="1">
      <c r="AK5551" s="3">
        <v>5545</v>
      </c>
      <c r="AL5551" s="163">
        <v>5.5326892161315939</v>
      </c>
    </row>
    <row r="5552" spans="37:38" s="4" customFormat="1">
      <c r="AK5552" s="3">
        <v>5546</v>
      </c>
      <c r="AL5552" s="163">
        <v>5.5336604451183415</v>
      </c>
    </row>
    <row r="5553" spans="37:38" s="4" customFormat="1">
      <c r="AK5553" s="3">
        <v>5547</v>
      </c>
      <c r="AL5553" s="163">
        <v>5.5346315636202483</v>
      </c>
    </row>
    <row r="5554" spans="37:38" s="4" customFormat="1">
      <c r="AK5554" s="3">
        <v>5548</v>
      </c>
      <c r="AL5554" s="163">
        <v>5.5356025714222969</v>
      </c>
    </row>
    <row r="5555" spans="37:38" s="4" customFormat="1">
      <c r="AK5555" s="3">
        <v>5549</v>
      </c>
      <c r="AL5555" s="163">
        <v>5.5365734683095393</v>
      </c>
    </row>
    <row r="5556" spans="37:38" s="4" customFormat="1">
      <c r="AK5556" s="3">
        <v>5550</v>
      </c>
      <c r="AL5556" s="163">
        <v>5.5375442540671518</v>
      </c>
    </row>
    <row r="5557" spans="37:38" s="4" customFormat="1">
      <c r="AK5557" s="3">
        <v>5551</v>
      </c>
      <c r="AL5557" s="163">
        <v>5.5385149284803621</v>
      </c>
    </row>
    <row r="5558" spans="37:38" s="4" customFormat="1">
      <c r="AK5558" s="3">
        <v>5552</v>
      </c>
      <c r="AL5558" s="163">
        <v>5.5394854913345348</v>
      </c>
    </row>
    <row r="5559" spans="37:38" s="4" customFormat="1">
      <c r="AK5559" s="3">
        <v>5553</v>
      </c>
      <c r="AL5559" s="163">
        <v>5.5404559424150968</v>
      </c>
    </row>
    <row r="5560" spans="37:38" s="4" customFormat="1">
      <c r="AK5560" s="3">
        <v>5554</v>
      </c>
      <c r="AL5560" s="163">
        <v>5.5414262815075404</v>
      </c>
    </row>
    <row r="5561" spans="37:38" s="4" customFormat="1">
      <c r="AK5561" s="3">
        <v>5555</v>
      </c>
      <c r="AL5561" s="163">
        <v>5.5423965083975109</v>
      </c>
    </row>
    <row r="5562" spans="37:38" s="4" customFormat="1">
      <c r="AK5562" s="3">
        <v>5556</v>
      </c>
      <c r="AL5562" s="163">
        <v>5.5433666228707033</v>
      </c>
    </row>
    <row r="5563" spans="37:38" s="4" customFormat="1">
      <c r="AK5563" s="3">
        <v>5557</v>
      </c>
      <c r="AL5563" s="163">
        <v>5.5443366247128996</v>
      </c>
    </row>
    <row r="5564" spans="37:38" s="4" customFormat="1">
      <c r="AK5564" s="3">
        <v>5558</v>
      </c>
      <c r="AL5564" s="163">
        <v>5.5453065137099902</v>
      </c>
    </row>
    <row r="5565" spans="37:38" s="4" customFormat="1">
      <c r="AK5565" s="3">
        <v>5559</v>
      </c>
      <c r="AL5565" s="163">
        <v>5.5462762896479916</v>
      </c>
    </row>
    <row r="5566" spans="37:38" s="4" customFormat="1">
      <c r="AK5566" s="3">
        <v>5560</v>
      </c>
      <c r="AL5566" s="163">
        <v>5.5472459523129309</v>
      </c>
    </row>
    <row r="5567" spans="37:38" s="4" customFormat="1">
      <c r="AK5567" s="3">
        <v>5561</v>
      </c>
      <c r="AL5567" s="163">
        <v>5.548215501491006</v>
      </c>
    </row>
    <row r="5568" spans="37:38" s="4" customFormat="1">
      <c r="AK5568" s="3">
        <v>5562</v>
      </c>
      <c r="AL5568" s="163">
        <v>5.5491849369684427</v>
      </c>
    </row>
    <row r="5569" spans="37:38" s="4" customFormat="1">
      <c r="AK5569" s="3">
        <v>5563</v>
      </c>
      <c r="AL5569" s="163">
        <v>5.5501542585316255</v>
      </c>
    </row>
    <row r="5570" spans="37:38" s="4" customFormat="1">
      <c r="AK5570" s="3">
        <v>5564</v>
      </c>
      <c r="AL5570" s="163">
        <v>5.5511234659669775</v>
      </c>
    </row>
    <row r="5571" spans="37:38" s="4" customFormat="1">
      <c r="AK5571" s="3">
        <v>5565</v>
      </c>
      <c r="AL5571" s="163">
        <v>5.5520925590610286</v>
      </c>
    </row>
    <row r="5572" spans="37:38" s="4" customFormat="1">
      <c r="AK5572" s="3">
        <v>5566</v>
      </c>
      <c r="AL5572" s="163">
        <v>5.553061537600426</v>
      </c>
    </row>
    <row r="5573" spans="37:38" s="4" customFormat="1">
      <c r="AK5573" s="3">
        <v>5567</v>
      </c>
      <c r="AL5573" s="163">
        <v>5.5540304013718984</v>
      </c>
    </row>
    <row r="5574" spans="37:38" s="4" customFormat="1">
      <c r="AK5574" s="3">
        <v>5568</v>
      </c>
      <c r="AL5574" s="163">
        <v>5.5549991501622564</v>
      </c>
    </row>
    <row r="5575" spans="37:38" s="4" customFormat="1">
      <c r="AK5575" s="3">
        <v>5569</v>
      </c>
      <c r="AL5575" s="163">
        <v>5.5559677837584154</v>
      </c>
    </row>
    <row r="5576" spans="37:38" s="4" customFormat="1">
      <c r="AK5576" s="3">
        <v>5570</v>
      </c>
      <c r="AL5576" s="163">
        <v>5.5569363019473705</v>
      </c>
    </row>
    <row r="5577" spans="37:38" s="4" customFormat="1">
      <c r="AK5577" s="3">
        <v>5571</v>
      </c>
      <c r="AL5577" s="163">
        <v>5.5579047045162184</v>
      </c>
    </row>
    <row r="5578" spans="37:38" s="4" customFormat="1">
      <c r="AK5578" s="3">
        <v>5572</v>
      </c>
      <c r="AL5578" s="163">
        <v>5.5588729912521888</v>
      </c>
    </row>
    <row r="5579" spans="37:38" s="4" customFormat="1">
      <c r="AK5579" s="3">
        <v>5573</v>
      </c>
      <c r="AL5579" s="163">
        <v>5.559841161942531</v>
      </c>
    </row>
    <row r="5580" spans="37:38" s="4" customFormat="1">
      <c r="AK5580" s="3">
        <v>5574</v>
      </c>
      <c r="AL5580" s="163">
        <v>5.560809216374663</v>
      </c>
    </row>
    <row r="5581" spans="37:38" s="4" customFormat="1">
      <c r="AK5581" s="3">
        <v>5575</v>
      </c>
      <c r="AL5581" s="163">
        <v>5.5617771543360295</v>
      </c>
    </row>
    <row r="5582" spans="37:38" s="4" customFormat="1">
      <c r="AK5582" s="3">
        <v>5576</v>
      </c>
      <c r="AL5582" s="163">
        <v>5.5627449756142422</v>
      </c>
    </row>
    <row r="5583" spans="37:38" s="4" customFormat="1">
      <c r="AK5583" s="3">
        <v>5577</v>
      </c>
      <c r="AL5583" s="163">
        <v>5.5637126799969394</v>
      </c>
    </row>
    <row r="5584" spans="37:38" s="4" customFormat="1">
      <c r="AK5584" s="3">
        <v>5578</v>
      </c>
      <c r="AL5584" s="163">
        <v>5.5646802672719176</v>
      </c>
    </row>
    <row r="5585" spans="37:38" s="4" customFormat="1">
      <c r="AK5585" s="3">
        <v>5579</v>
      </c>
      <c r="AL5585" s="163">
        <v>5.5656477372270245</v>
      </c>
    </row>
    <row r="5586" spans="37:38" s="4" customFormat="1">
      <c r="AK5586" s="3">
        <v>5580</v>
      </c>
      <c r="AL5586" s="163">
        <v>5.5666150896502042</v>
      </c>
    </row>
    <row r="5587" spans="37:38" s="4" customFormat="1">
      <c r="AK5587" s="3">
        <v>5581</v>
      </c>
      <c r="AL5587" s="163">
        <v>5.5675823243295355</v>
      </c>
    </row>
    <row r="5588" spans="37:38" s="4" customFormat="1">
      <c r="AK5588" s="3">
        <v>5582</v>
      </c>
      <c r="AL5588" s="163">
        <v>5.5685494410531611</v>
      </c>
    </row>
    <row r="5589" spans="37:38" s="4" customFormat="1">
      <c r="AK5589" s="3">
        <v>5583</v>
      </c>
      <c r="AL5589" s="163">
        <v>5.5695164396093393</v>
      </c>
    </row>
    <row r="5590" spans="37:38" s="4" customFormat="1">
      <c r="AK5590" s="3">
        <v>5584</v>
      </c>
      <c r="AL5590" s="163">
        <v>5.5704833197863852</v>
      </c>
    </row>
    <row r="5591" spans="37:38" s="4" customFormat="1">
      <c r="AK5591" s="3">
        <v>5585</v>
      </c>
      <c r="AL5591" s="163">
        <v>5.571450081372749</v>
      </c>
    </row>
    <row r="5592" spans="37:38" s="4" customFormat="1">
      <c r="AK5592" s="3">
        <v>5586</v>
      </c>
      <c r="AL5592" s="163">
        <v>5.5724167241569873</v>
      </c>
    </row>
    <row r="5593" spans="37:38" s="4" customFormat="1">
      <c r="AK5593" s="3">
        <v>5587</v>
      </c>
      <c r="AL5593" s="163">
        <v>5.573383247927719</v>
      </c>
    </row>
    <row r="5594" spans="37:38" s="4" customFormat="1">
      <c r="AK5594" s="3">
        <v>5588</v>
      </c>
      <c r="AL5594" s="163">
        <v>5.574349652473698</v>
      </c>
    </row>
    <row r="5595" spans="37:38" s="4" customFormat="1">
      <c r="AK5595" s="3">
        <v>5589</v>
      </c>
      <c r="AL5595" s="163">
        <v>5.5753159375837189</v>
      </c>
    </row>
    <row r="5596" spans="37:38" s="4" customFormat="1">
      <c r="AK5596" s="3">
        <v>5590</v>
      </c>
      <c r="AL5596" s="163">
        <v>5.5762821030467418</v>
      </c>
    </row>
    <row r="5597" spans="37:38" s="4" customFormat="1">
      <c r="AK5597" s="3">
        <v>5591</v>
      </c>
      <c r="AL5597" s="163">
        <v>5.5772481486517869</v>
      </c>
    </row>
    <row r="5598" spans="37:38" s="4" customFormat="1">
      <c r="AK5598" s="3">
        <v>5592</v>
      </c>
      <c r="AL5598" s="163">
        <v>5.578214074187974</v>
      </c>
    </row>
    <row r="5599" spans="37:38" s="4" customFormat="1">
      <c r="AK5599" s="3">
        <v>5593</v>
      </c>
      <c r="AL5599" s="163">
        <v>5.5791798794445295</v>
      </c>
    </row>
    <row r="5600" spans="37:38" s="4" customFormat="1">
      <c r="AK5600" s="3">
        <v>5594</v>
      </c>
      <c r="AL5600" s="163">
        <v>5.5801455642107651</v>
      </c>
    </row>
    <row r="5601" spans="37:38" s="4" customFormat="1">
      <c r="AK5601" s="3">
        <v>5595</v>
      </c>
      <c r="AL5601" s="163">
        <v>5.5811111282761168</v>
      </c>
    </row>
    <row r="5602" spans="37:38" s="4" customFormat="1">
      <c r="AK5602" s="3">
        <v>5596</v>
      </c>
      <c r="AL5602" s="163">
        <v>5.5820765714300933</v>
      </c>
    </row>
    <row r="5603" spans="37:38" s="4" customFormat="1">
      <c r="AK5603" s="3">
        <v>5597</v>
      </c>
      <c r="AL5603" s="163">
        <v>5.5830418934623189</v>
      </c>
    </row>
    <row r="5604" spans="37:38" s="4" customFormat="1">
      <c r="AK5604" s="3">
        <v>5598</v>
      </c>
      <c r="AL5604" s="163">
        <v>5.5840070941625086</v>
      </c>
    </row>
    <row r="5605" spans="37:38" s="4" customFormat="1">
      <c r="AK5605" s="3">
        <v>5599</v>
      </c>
      <c r="AL5605" s="163">
        <v>5.5849721733204909</v>
      </c>
    </row>
    <row r="5606" spans="37:38" s="4" customFormat="1">
      <c r="AK5606" s="3">
        <v>5600</v>
      </c>
      <c r="AL5606" s="163">
        <v>5.5859371307261618</v>
      </c>
    </row>
    <row r="5607" spans="37:38" s="4" customFormat="1">
      <c r="AK5607" s="3">
        <v>5601</v>
      </c>
      <c r="AL5607" s="163">
        <v>5.5869019661695507</v>
      </c>
    </row>
    <row r="5608" spans="37:38" s="4" customFormat="1">
      <c r="AK5608" s="3">
        <v>5602</v>
      </c>
      <c r="AL5608" s="163">
        <v>5.5878666794407685</v>
      </c>
    </row>
    <row r="5609" spans="37:38" s="4" customFormat="1">
      <c r="AK5609" s="3">
        <v>5603</v>
      </c>
      <c r="AL5609" s="163">
        <v>5.5888312703300436</v>
      </c>
    </row>
    <row r="5610" spans="37:38" s="4" customFormat="1">
      <c r="AK5610" s="3">
        <v>5604</v>
      </c>
      <c r="AL5610" s="163">
        <v>5.5897957386276875</v>
      </c>
    </row>
    <row r="5611" spans="37:38" s="4" customFormat="1">
      <c r="AK5611" s="3">
        <v>5605</v>
      </c>
      <c r="AL5611" s="163">
        <v>5.5907600841241187</v>
      </c>
    </row>
    <row r="5612" spans="37:38" s="4" customFormat="1">
      <c r="AK5612" s="3">
        <v>5606</v>
      </c>
      <c r="AL5612" s="163">
        <v>5.5917243066098639</v>
      </c>
    </row>
    <row r="5613" spans="37:38" s="4" customFormat="1">
      <c r="AK5613" s="3">
        <v>5607</v>
      </c>
      <c r="AL5613" s="163">
        <v>5.5926884058755384</v>
      </c>
    </row>
    <row r="5614" spans="37:38" s="4" customFormat="1">
      <c r="AK5614" s="3">
        <v>5608</v>
      </c>
      <c r="AL5614" s="163">
        <v>5.5936523817118502</v>
      </c>
    </row>
    <row r="5615" spans="37:38" s="4" customFormat="1">
      <c r="AK5615" s="3">
        <v>5609</v>
      </c>
      <c r="AL5615" s="163">
        <v>5.5946162339096404</v>
      </c>
    </row>
    <row r="5616" spans="37:38" s="4" customFormat="1">
      <c r="AK5616" s="3">
        <v>5610</v>
      </c>
      <c r="AL5616" s="163">
        <v>5.5955799622598192</v>
      </c>
    </row>
    <row r="5617" spans="37:38" s="4" customFormat="1">
      <c r="AK5617" s="3">
        <v>5611</v>
      </c>
      <c r="AL5617" s="163">
        <v>5.5965435665534304</v>
      </c>
    </row>
    <row r="5618" spans="37:38" s="4" customFormat="1">
      <c r="AK5618" s="3">
        <v>5612</v>
      </c>
      <c r="AL5618" s="163">
        <v>5.5975070465815904</v>
      </c>
    </row>
    <row r="5619" spans="37:38" s="4" customFormat="1">
      <c r="AK5619" s="3">
        <v>5613</v>
      </c>
      <c r="AL5619" s="163">
        <v>5.5984704021355114</v>
      </c>
    </row>
    <row r="5620" spans="37:38" s="4" customFormat="1">
      <c r="AK5620" s="3">
        <v>5614</v>
      </c>
      <c r="AL5620" s="163">
        <v>5.5994336330065675</v>
      </c>
    </row>
    <row r="5621" spans="37:38" s="4" customFormat="1">
      <c r="AK5621" s="3">
        <v>5615</v>
      </c>
      <c r="AL5621" s="163">
        <v>5.6003967389861486</v>
      </c>
    </row>
    <row r="5622" spans="37:38" s="4" customFormat="1">
      <c r="AK5622" s="3">
        <v>5616</v>
      </c>
      <c r="AL5622" s="163">
        <v>5.6013597198658438</v>
      </c>
    </row>
    <row r="5623" spans="37:38" s="4" customFormat="1">
      <c r="AK5623" s="3">
        <v>5617</v>
      </c>
      <c r="AL5623" s="163">
        <v>5.6023225754372348</v>
      </c>
    </row>
    <row r="5624" spans="37:38" s="4" customFormat="1">
      <c r="AK5624" s="3">
        <v>5618</v>
      </c>
      <c r="AL5624" s="163">
        <v>5.6032853054920917</v>
      </c>
    </row>
    <row r="5625" spans="37:38" s="4" customFormat="1">
      <c r="AK5625" s="3">
        <v>5619</v>
      </c>
      <c r="AL5625" s="163">
        <v>5.6042479098222913</v>
      </c>
    </row>
    <row r="5626" spans="37:38" s="4" customFormat="1">
      <c r="AK5626" s="3">
        <v>5620</v>
      </c>
      <c r="AL5626" s="163">
        <v>5.6052103882197422</v>
      </c>
    </row>
    <row r="5627" spans="37:38" s="4" customFormat="1">
      <c r="AK5627" s="3">
        <v>5621</v>
      </c>
      <c r="AL5627" s="163">
        <v>5.6061727404764916</v>
      </c>
    </row>
    <row r="5628" spans="37:38" s="4" customFormat="1">
      <c r="AK5628" s="3">
        <v>5622</v>
      </c>
      <c r="AL5628" s="163">
        <v>5.6071349663847183</v>
      </c>
    </row>
    <row r="5629" spans="37:38" s="4" customFormat="1">
      <c r="AK5629" s="3">
        <v>5623</v>
      </c>
      <c r="AL5629" s="163">
        <v>5.6080970657367057</v>
      </c>
    </row>
    <row r="5630" spans="37:38" s="4" customFormat="1">
      <c r="AK5630" s="3">
        <v>5624</v>
      </c>
      <c r="AL5630" s="163">
        <v>5.6090590383247534</v>
      </c>
    </row>
    <row r="5631" spans="37:38" s="4" customFormat="1">
      <c r="AK5631" s="3">
        <v>5625</v>
      </c>
      <c r="AL5631" s="163">
        <v>5.6100208839414094</v>
      </c>
    </row>
    <row r="5632" spans="37:38" s="4" customFormat="1">
      <c r="AK5632" s="3">
        <v>5626</v>
      </c>
      <c r="AL5632" s="163">
        <v>5.6109826023791705</v>
      </c>
    </row>
    <row r="5633" spans="37:38" s="4" customFormat="1">
      <c r="AK5633" s="3">
        <v>5627</v>
      </c>
      <c r="AL5633" s="163">
        <v>5.6119441934307677</v>
      </c>
    </row>
    <row r="5634" spans="37:38" s="4" customFormat="1">
      <c r="AK5634" s="3">
        <v>5628</v>
      </c>
      <c r="AL5634" s="163">
        <v>5.6129056568889677</v>
      </c>
    </row>
    <row r="5635" spans="37:38" s="4" customFormat="1">
      <c r="AK5635" s="3">
        <v>5629</v>
      </c>
      <c r="AL5635" s="163">
        <v>5.6138669925466651</v>
      </c>
    </row>
    <row r="5636" spans="37:38" s="4" customFormat="1">
      <c r="AK5636" s="3">
        <v>5630</v>
      </c>
      <c r="AL5636" s="163">
        <v>5.6148282001968326</v>
      </c>
    </row>
    <row r="5637" spans="37:38" s="4" customFormat="1">
      <c r="AK5637" s="3">
        <v>5631</v>
      </c>
      <c r="AL5637" s="163">
        <v>5.6157892796325886</v>
      </c>
    </row>
    <row r="5638" spans="37:38" s="4" customFormat="1">
      <c r="AK5638" s="3">
        <v>5632</v>
      </c>
      <c r="AL5638" s="163">
        <v>5.6167502306471313</v>
      </c>
    </row>
    <row r="5639" spans="37:38" s="4" customFormat="1">
      <c r="AK5639" s="3">
        <v>5633</v>
      </c>
      <c r="AL5639" s="163">
        <v>5.6177110530337799</v>
      </c>
    </row>
    <row r="5640" spans="37:38" s="4" customFormat="1">
      <c r="AK5640" s="3">
        <v>5634</v>
      </c>
      <c r="AL5640" s="163">
        <v>5.6186717465859246</v>
      </c>
    </row>
    <row r="5641" spans="37:38" s="4" customFormat="1">
      <c r="AK5641" s="3">
        <v>5635</v>
      </c>
      <c r="AL5641" s="163">
        <v>5.6196323110971242</v>
      </c>
    </row>
    <row r="5642" spans="37:38" s="4" customFormat="1">
      <c r="AK5642" s="3">
        <v>5636</v>
      </c>
      <c r="AL5642" s="163">
        <v>5.6205927463609697</v>
      </c>
    </row>
    <row r="5643" spans="37:38" s="4" customFormat="1">
      <c r="AK5643" s="3">
        <v>5637</v>
      </c>
      <c r="AL5643" s="163">
        <v>5.6215530521712491</v>
      </c>
    </row>
    <row r="5644" spans="37:38" s="4" customFormat="1">
      <c r="AK5644" s="3">
        <v>5638</v>
      </c>
      <c r="AL5644" s="163">
        <v>5.6225132283217416</v>
      </c>
    </row>
    <row r="5645" spans="37:38" s="4" customFormat="1">
      <c r="AK5645" s="3">
        <v>5639</v>
      </c>
      <c r="AL5645" s="163">
        <v>5.623473274606404</v>
      </c>
    </row>
    <row r="5646" spans="37:38" s="4" customFormat="1">
      <c r="AK5646" s="3">
        <v>5640</v>
      </c>
      <c r="AL5646" s="163">
        <v>5.6244331908193441</v>
      </c>
    </row>
    <row r="5647" spans="37:38" s="4" customFormat="1">
      <c r="AK5647" s="3">
        <v>5641</v>
      </c>
      <c r="AL5647" s="163">
        <v>5.6253929767546698</v>
      </c>
    </row>
    <row r="5648" spans="37:38" s="4" customFormat="1">
      <c r="AK5648" s="3">
        <v>5642</v>
      </c>
      <c r="AL5648" s="163">
        <v>5.6263526322067001</v>
      </c>
    </row>
    <row r="5649" spans="37:38" s="4" customFormat="1">
      <c r="AK5649" s="3">
        <v>5643</v>
      </c>
      <c r="AL5649" s="163">
        <v>5.6273121569697651</v>
      </c>
    </row>
    <row r="5650" spans="37:38" s="4" customFormat="1">
      <c r="AK5650" s="3">
        <v>5644</v>
      </c>
      <c r="AL5650" s="163">
        <v>5.6282715508383792</v>
      </c>
    </row>
    <row r="5651" spans="37:38" s="4" customFormat="1">
      <c r="AK5651" s="3">
        <v>5645</v>
      </c>
      <c r="AL5651" s="163">
        <v>5.6292308136071085</v>
      </c>
    </row>
    <row r="5652" spans="37:38" s="4" customFormat="1">
      <c r="AK5652" s="3">
        <v>5646</v>
      </c>
      <c r="AL5652" s="163">
        <v>5.6301899450706898</v>
      </c>
    </row>
    <row r="5653" spans="37:38" s="4" customFormat="1">
      <c r="AK5653" s="3">
        <v>5647</v>
      </c>
      <c r="AL5653" s="163">
        <v>5.6311489450239005</v>
      </c>
    </row>
    <row r="5654" spans="37:38" s="4" customFormat="1">
      <c r="AK5654" s="3">
        <v>5648</v>
      </c>
      <c r="AL5654" s="163">
        <v>5.6321078132616798</v>
      </c>
    </row>
    <row r="5655" spans="37:38" s="4" customFormat="1">
      <c r="AK5655" s="3">
        <v>5649</v>
      </c>
      <c r="AL5655" s="163">
        <v>5.6330665495790502</v>
      </c>
    </row>
    <row r="5656" spans="37:38" s="4" customFormat="1">
      <c r="AK5656" s="3">
        <v>5650</v>
      </c>
      <c r="AL5656" s="163">
        <v>5.6340251537711712</v>
      </c>
    </row>
    <row r="5657" spans="37:38" s="4" customFormat="1">
      <c r="AK5657" s="3">
        <v>5651</v>
      </c>
      <c r="AL5657" s="163">
        <v>5.6349836256332289</v>
      </c>
    </row>
    <row r="5658" spans="37:38" s="4" customFormat="1">
      <c r="AK5658" s="3">
        <v>5652</v>
      </c>
      <c r="AL5658" s="163">
        <v>5.6359419649606117</v>
      </c>
    </row>
    <row r="5659" spans="37:38" s="4" customFormat="1">
      <c r="AK5659" s="3">
        <v>5653</v>
      </c>
      <c r="AL5659" s="163">
        <v>5.6369001715488096</v>
      </c>
    </row>
    <row r="5660" spans="37:38" s="4" customFormat="1">
      <c r="AK5660" s="3">
        <v>5654</v>
      </c>
      <c r="AL5660" s="163">
        <v>5.6378582451933532</v>
      </c>
    </row>
    <row r="5661" spans="37:38" s="4" customFormat="1">
      <c r="AK5661" s="3">
        <v>5655</v>
      </c>
      <c r="AL5661" s="163">
        <v>5.6388161856899419</v>
      </c>
    </row>
    <row r="5662" spans="37:38" s="4" customFormat="1">
      <c r="AK5662" s="3">
        <v>5656</v>
      </c>
      <c r="AL5662" s="163">
        <v>5.6397739928343622</v>
      </c>
    </row>
    <row r="5663" spans="37:38" s="4" customFormat="1">
      <c r="AK5663" s="3">
        <v>5657</v>
      </c>
      <c r="AL5663" s="163">
        <v>5.6407316664225409</v>
      </c>
    </row>
    <row r="5664" spans="37:38" s="4" customFormat="1">
      <c r="AK5664" s="3">
        <v>5658</v>
      </c>
      <c r="AL5664" s="163">
        <v>5.6416892062504402</v>
      </c>
    </row>
    <row r="5665" spans="37:38" s="4" customFormat="1">
      <c r="AK5665" s="3">
        <v>5659</v>
      </c>
      <c r="AL5665" s="163">
        <v>5.6426466121142553</v>
      </c>
    </row>
    <row r="5666" spans="37:38" s="4" customFormat="1">
      <c r="AK5666" s="3">
        <v>5660</v>
      </c>
      <c r="AL5666" s="163">
        <v>5.6436038838101794</v>
      </c>
    </row>
    <row r="5667" spans="37:38" s="4" customFormat="1">
      <c r="AK5667" s="3">
        <v>5661</v>
      </c>
      <c r="AL5667" s="163">
        <v>5.6445610211345461</v>
      </c>
    </row>
    <row r="5668" spans="37:38" s="4" customFormat="1">
      <c r="AK5668" s="3">
        <v>5662</v>
      </c>
      <c r="AL5668" s="163">
        <v>5.6455180238838167</v>
      </c>
    </row>
    <row r="5669" spans="37:38" s="4" customFormat="1">
      <c r="AK5669" s="3">
        <v>5663</v>
      </c>
      <c r="AL5669" s="163">
        <v>5.6464748918545862</v>
      </c>
    </row>
    <row r="5670" spans="37:38" s="4" customFormat="1">
      <c r="AK5670" s="3">
        <v>5664</v>
      </c>
      <c r="AL5670" s="163">
        <v>5.6474316248435326</v>
      </c>
    </row>
    <row r="5671" spans="37:38" s="4" customFormat="1">
      <c r="AK5671" s="3">
        <v>5665</v>
      </c>
      <c r="AL5671" s="163">
        <v>5.6483882226474176</v>
      </c>
    </row>
    <row r="5672" spans="37:38" s="4" customFormat="1">
      <c r="AK5672" s="3">
        <v>5666</v>
      </c>
      <c r="AL5672" s="163">
        <v>5.6493446850631521</v>
      </c>
    </row>
    <row r="5673" spans="37:38" s="4" customFormat="1">
      <c r="AK5673" s="3">
        <v>5667</v>
      </c>
      <c r="AL5673" s="163">
        <v>5.6503010118877643</v>
      </c>
    </row>
    <row r="5674" spans="37:38" s="4" customFormat="1">
      <c r="AK5674" s="3">
        <v>5668</v>
      </c>
      <c r="AL5674" s="163">
        <v>5.6512572029183694</v>
      </c>
    </row>
    <row r="5675" spans="37:38" s="4" customFormat="1">
      <c r="AK5675" s="3">
        <v>5669</v>
      </c>
      <c r="AL5675" s="163">
        <v>5.6522132579522228</v>
      </c>
    </row>
    <row r="5676" spans="37:38" s="4" customFormat="1">
      <c r="AK5676" s="3">
        <v>5670</v>
      </c>
      <c r="AL5676" s="163">
        <v>5.6531691767866548</v>
      </c>
    </row>
    <row r="5677" spans="37:38" s="4" customFormat="1">
      <c r="AK5677" s="3">
        <v>5671</v>
      </c>
      <c r="AL5677" s="163">
        <v>5.6541249592191498</v>
      </c>
    </row>
    <row r="5678" spans="37:38" s="4" customFormat="1">
      <c r="AK5678" s="3">
        <v>5672</v>
      </c>
      <c r="AL5678" s="163">
        <v>5.6550806050472548</v>
      </c>
    </row>
    <row r="5679" spans="37:38" s="4" customFormat="1">
      <c r="AK5679" s="3">
        <v>5673</v>
      </c>
      <c r="AL5679" s="163">
        <v>5.656036114068689</v>
      </c>
    </row>
    <row r="5680" spans="37:38" s="4" customFormat="1">
      <c r="AK5680" s="3">
        <v>5674</v>
      </c>
      <c r="AL5680" s="163">
        <v>5.6569914860812585</v>
      </c>
    </row>
    <row r="5681" spans="37:38" s="4" customFormat="1">
      <c r="AK5681" s="3">
        <v>5675</v>
      </c>
      <c r="AL5681" s="163">
        <v>5.6579467208828742</v>
      </c>
    </row>
    <row r="5682" spans="37:38" s="4" customFormat="1">
      <c r="AK5682" s="3">
        <v>5676</v>
      </c>
      <c r="AL5682" s="163">
        <v>5.6589018182715485</v>
      </c>
    </row>
    <row r="5683" spans="37:38" s="4" customFormat="1">
      <c r="AK5683" s="3">
        <v>5677</v>
      </c>
      <c r="AL5683" s="163">
        <v>5.6598567780454374</v>
      </c>
    </row>
    <row r="5684" spans="37:38" s="4" customFormat="1">
      <c r="AK5684" s="3">
        <v>5678</v>
      </c>
      <c r="AL5684" s="163">
        <v>5.6608116000028179</v>
      </c>
    </row>
    <row r="5685" spans="37:38" s="4" customFormat="1">
      <c r="AK5685" s="3">
        <v>5679</v>
      </c>
      <c r="AL5685" s="163">
        <v>5.6617662839420237</v>
      </c>
    </row>
    <row r="5686" spans="37:38" s="4" customFormat="1">
      <c r="AK5686" s="3">
        <v>5680</v>
      </c>
      <c r="AL5686" s="163">
        <v>5.6627208296615752</v>
      </c>
    </row>
    <row r="5687" spans="37:38" s="4" customFormat="1">
      <c r="AK5687" s="3">
        <v>5681</v>
      </c>
      <c r="AL5687" s="163">
        <v>5.6636752369600796</v>
      </c>
    </row>
    <row r="5688" spans="37:38" s="4" customFormat="1">
      <c r="AK5688" s="3">
        <v>5682</v>
      </c>
      <c r="AL5688" s="163">
        <v>5.6646295056362437</v>
      </c>
    </row>
    <row r="5689" spans="37:38" s="4" customFormat="1">
      <c r="AK5689" s="3">
        <v>5683</v>
      </c>
      <c r="AL5689" s="163">
        <v>5.6655836354888773</v>
      </c>
    </row>
    <row r="5690" spans="37:38" s="4" customFormat="1">
      <c r="AK5690" s="3">
        <v>5684</v>
      </c>
      <c r="AL5690" s="163">
        <v>5.6665376263169538</v>
      </c>
    </row>
    <row r="5691" spans="37:38" s="4" customFormat="1">
      <c r="AK5691" s="3">
        <v>5685</v>
      </c>
      <c r="AL5691" s="163">
        <v>5.6674914779195191</v>
      </c>
    </row>
    <row r="5692" spans="37:38" s="4" customFormat="1">
      <c r="AK5692" s="3">
        <v>5686</v>
      </c>
      <c r="AL5692" s="163">
        <v>5.668445190095758</v>
      </c>
    </row>
    <row r="5693" spans="37:38" s="4" customFormat="1">
      <c r="AK5693" s="3">
        <v>5687</v>
      </c>
      <c r="AL5693" s="163">
        <v>5.6693987626449651</v>
      </c>
    </row>
    <row r="5694" spans="37:38" s="4" customFormat="1">
      <c r="AK5694" s="3">
        <v>5688</v>
      </c>
      <c r="AL5694" s="163">
        <v>5.6703521953665419</v>
      </c>
    </row>
    <row r="5695" spans="37:38" s="4" customFormat="1">
      <c r="AK5695" s="3">
        <v>5689</v>
      </c>
      <c r="AL5695" s="163">
        <v>5.6713054880600318</v>
      </c>
    </row>
    <row r="5696" spans="37:38" s="4" customFormat="1">
      <c r="AK5696" s="3">
        <v>5690</v>
      </c>
      <c r="AL5696" s="163">
        <v>5.672258640525051</v>
      </c>
    </row>
    <row r="5697" spans="37:38" s="4" customFormat="1">
      <c r="AK5697" s="3">
        <v>5691</v>
      </c>
      <c r="AL5697" s="163">
        <v>5.6732116525613687</v>
      </c>
    </row>
    <row r="5698" spans="37:38" s="4" customFormat="1">
      <c r="AK5698" s="3">
        <v>5692</v>
      </c>
      <c r="AL5698" s="163">
        <v>5.6741645239688516</v>
      </c>
    </row>
    <row r="5699" spans="37:38" s="4" customFormat="1">
      <c r="AK5699" s="3">
        <v>5693</v>
      </c>
      <c r="AL5699" s="163">
        <v>5.6751172545475281</v>
      </c>
    </row>
    <row r="5700" spans="37:38" s="4" customFormat="1">
      <c r="AK5700" s="3">
        <v>5694</v>
      </c>
      <c r="AL5700" s="163">
        <v>5.6760698440974497</v>
      </c>
    </row>
    <row r="5701" spans="37:38" s="4" customFormat="1">
      <c r="AK5701" s="3">
        <v>5695</v>
      </c>
      <c r="AL5701" s="163">
        <v>5.6770222924188687</v>
      </c>
    </row>
    <row r="5702" spans="37:38" s="4" customFormat="1">
      <c r="AK5702" s="3">
        <v>5696</v>
      </c>
      <c r="AL5702" s="163">
        <v>5.6779745993121313</v>
      </c>
    </row>
    <row r="5703" spans="37:38" s="4" customFormat="1">
      <c r="AK5703" s="3">
        <v>5697</v>
      </c>
      <c r="AL5703" s="163">
        <v>5.6789267645776977</v>
      </c>
    </row>
    <row r="5704" spans="37:38" s="4" customFormat="1">
      <c r="AK5704" s="3">
        <v>5698</v>
      </c>
      <c r="AL5704" s="163">
        <v>5.6798787880161417</v>
      </c>
    </row>
    <row r="5705" spans="37:38" s="4" customFormat="1">
      <c r="AK5705" s="3">
        <v>5699</v>
      </c>
      <c r="AL5705" s="163">
        <v>5.6808306694281345</v>
      </c>
    </row>
    <row r="5706" spans="37:38" s="4" customFormat="1">
      <c r="AK5706" s="3">
        <v>5700</v>
      </c>
      <c r="AL5706" s="163">
        <v>5.6817824086145503</v>
      </c>
    </row>
    <row r="5707" spans="37:38" s="4" customFormat="1">
      <c r="AK5707" s="3">
        <v>5701</v>
      </c>
      <c r="AL5707" s="163">
        <v>5.6827340053762452</v>
      </c>
    </row>
    <row r="5708" spans="37:38" s="4" customFormat="1">
      <c r="AK5708" s="3">
        <v>5702</v>
      </c>
      <c r="AL5708" s="163">
        <v>5.6836854595143098</v>
      </c>
    </row>
    <row r="5709" spans="37:38" s="4" customFormat="1">
      <c r="AK5709" s="3">
        <v>5703</v>
      </c>
      <c r="AL5709" s="163">
        <v>5.6846367708299343</v>
      </c>
    </row>
    <row r="5710" spans="37:38" s="4" customFormat="1">
      <c r="AK5710" s="3">
        <v>5704</v>
      </c>
      <c r="AL5710" s="163">
        <v>5.6855879391243658</v>
      </c>
    </row>
    <row r="5711" spans="37:38" s="4" customFormat="1">
      <c r="AK5711" s="3">
        <v>5705</v>
      </c>
      <c r="AL5711" s="163">
        <v>5.6865389641990358</v>
      </c>
    </row>
    <row r="5712" spans="37:38" s="4" customFormat="1">
      <c r="AK5712" s="3">
        <v>5706</v>
      </c>
      <c r="AL5712" s="163">
        <v>5.6874898458554348</v>
      </c>
    </row>
    <row r="5713" spans="37:38" s="4" customFormat="1">
      <c r="AK5713" s="3">
        <v>5707</v>
      </c>
      <c r="AL5713" s="163">
        <v>5.6884405838952645</v>
      </c>
    </row>
    <row r="5714" spans="37:38" s="4" customFormat="1">
      <c r="AK5714" s="3">
        <v>5708</v>
      </c>
      <c r="AL5714" s="163">
        <v>5.6893911781202497</v>
      </c>
    </row>
    <row r="5715" spans="37:38" s="4" customFormat="1">
      <c r="AK5715" s="3">
        <v>5709</v>
      </c>
      <c r="AL5715" s="163">
        <v>5.6903416283322699</v>
      </c>
    </row>
    <row r="5716" spans="37:38" s="4" customFormat="1">
      <c r="AK5716" s="3">
        <v>5710</v>
      </c>
      <c r="AL5716" s="163">
        <v>5.6912919343333552</v>
      </c>
    </row>
    <row r="5717" spans="37:38" s="4" customFormat="1">
      <c r="AK5717" s="3">
        <v>5711</v>
      </c>
      <c r="AL5717" s="163">
        <v>5.6922420959255966</v>
      </c>
    </row>
    <row r="5718" spans="37:38" s="4" customFormat="1">
      <c r="AK5718" s="3">
        <v>5712</v>
      </c>
      <c r="AL5718" s="163">
        <v>5.6931921129112695</v>
      </c>
    </row>
    <row r="5719" spans="37:38" s="4" customFormat="1">
      <c r="AK5719" s="3">
        <v>5713</v>
      </c>
      <c r="AL5719" s="163">
        <v>5.6941419850927328</v>
      </c>
    </row>
    <row r="5720" spans="37:38" s="4" customFormat="1">
      <c r="AK5720" s="3">
        <v>5714</v>
      </c>
      <c r="AL5720" s="163">
        <v>5.6950917122724505</v>
      </c>
    </row>
    <row r="5721" spans="37:38" s="4" customFormat="1">
      <c r="AK5721" s="3">
        <v>5715</v>
      </c>
      <c r="AL5721" s="163">
        <v>5.6960412942530567</v>
      </c>
    </row>
    <row r="5722" spans="37:38" s="4" customFormat="1">
      <c r="AK5722" s="3">
        <v>5716</v>
      </c>
      <c r="AL5722" s="163">
        <v>5.6969907308372729</v>
      </c>
    </row>
    <row r="5723" spans="37:38" s="4" customFormat="1">
      <c r="AK5723" s="3">
        <v>5717</v>
      </c>
      <c r="AL5723" s="163">
        <v>5.697940021827927</v>
      </c>
    </row>
    <row r="5724" spans="37:38" s="4" customFormat="1">
      <c r="AK5724" s="3">
        <v>5718</v>
      </c>
      <c r="AL5724" s="163">
        <v>5.6988891670279926</v>
      </c>
    </row>
    <row r="5725" spans="37:38" s="4" customFormat="1">
      <c r="AK5725" s="3">
        <v>5719</v>
      </c>
      <c r="AL5725" s="163">
        <v>5.6998381662405926</v>
      </c>
    </row>
    <row r="5726" spans="37:38" s="4" customFormat="1">
      <c r="AK5726" s="3">
        <v>5720</v>
      </c>
      <c r="AL5726" s="163">
        <v>5.700787019268903</v>
      </c>
    </row>
    <row r="5727" spans="37:38" s="4" customFormat="1">
      <c r="AK5727" s="3">
        <v>5721</v>
      </c>
      <c r="AL5727" s="163">
        <v>5.7017357259162811</v>
      </c>
    </row>
    <row r="5728" spans="37:38" s="4" customFormat="1">
      <c r="AK5728" s="3">
        <v>5722</v>
      </c>
      <c r="AL5728" s="163">
        <v>5.7026842859861802</v>
      </c>
    </row>
    <row r="5729" spans="37:38" s="4" customFormat="1">
      <c r="AK5729" s="3">
        <v>5723</v>
      </c>
      <c r="AL5729" s="163">
        <v>5.7036326992821706</v>
      </c>
    </row>
    <row r="5730" spans="37:38" s="4" customFormat="1">
      <c r="AK5730" s="3">
        <v>5724</v>
      </c>
      <c r="AL5730" s="163">
        <v>5.704580965607942</v>
      </c>
    </row>
    <row r="5731" spans="37:38" s="4" customFormat="1">
      <c r="AK5731" s="3">
        <v>5725</v>
      </c>
      <c r="AL5731" s="163">
        <v>5.7055290847673561</v>
      </c>
    </row>
    <row r="5732" spans="37:38" s="4" customFormat="1">
      <c r="AK5732" s="3">
        <v>5726</v>
      </c>
      <c r="AL5732" s="163">
        <v>5.7064770565643297</v>
      </c>
    </row>
    <row r="5733" spans="37:38" s="4" customFormat="1">
      <c r="AK5733" s="3">
        <v>5727</v>
      </c>
      <c r="AL5733" s="163">
        <v>5.7074248808029449</v>
      </c>
    </row>
    <row r="5734" spans="37:38" s="4" customFormat="1">
      <c r="AK5734" s="3">
        <v>5728</v>
      </c>
      <c r="AL5734" s="163">
        <v>5.7083725572873867</v>
      </c>
    </row>
    <row r="5735" spans="37:38" s="4" customFormat="1">
      <c r="AK5735" s="3">
        <v>5729</v>
      </c>
      <c r="AL5735" s="163">
        <v>5.7093200858219966</v>
      </c>
    </row>
    <row r="5736" spans="37:38" s="4" customFormat="1">
      <c r="AK5736" s="3">
        <v>5730</v>
      </c>
      <c r="AL5736" s="163">
        <v>5.7102674662111532</v>
      </c>
    </row>
    <row r="5737" spans="37:38" s="4" customFormat="1">
      <c r="AK5737" s="3">
        <v>5731</v>
      </c>
      <c r="AL5737" s="163">
        <v>5.7112146982594911</v>
      </c>
    </row>
    <row r="5738" spans="37:38" s="4" customFormat="1">
      <c r="AK5738" s="3">
        <v>5732</v>
      </c>
      <c r="AL5738" s="163">
        <v>5.7121617817716697</v>
      </c>
    </row>
    <row r="5739" spans="37:38" s="4" customFormat="1">
      <c r="AK5739" s="3">
        <v>5733</v>
      </c>
      <c r="AL5739" s="163">
        <v>5.7131087165525098</v>
      </c>
    </row>
    <row r="5740" spans="37:38" s="4" customFormat="1">
      <c r="AK5740" s="3">
        <v>5734</v>
      </c>
      <c r="AL5740" s="163">
        <v>5.7140555024069215</v>
      </c>
    </row>
    <row r="5741" spans="37:38" s="4" customFormat="1">
      <c r="AK5741" s="3">
        <v>5735</v>
      </c>
      <c r="AL5741" s="163">
        <v>5.7150021391399832</v>
      </c>
    </row>
    <row r="5742" spans="37:38" s="4" customFormat="1">
      <c r="AK5742" s="3">
        <v>5736</v>
      </c>
      <c r="AL5742" s="163">
        <v>5.7159486265568891</v>
      </c>
    </row>
    <row r="5743" spans="37:38" s="4" customFormat="1">
      <c r="AK5743" s="3">
        <v>5737</v>
      </c>
      <c r="AL5743" s="163">
        <v>5.7168949644629379</v>
      </c>
    </row>
    <row r="5744" spans="37:38" s="4" customFormat="1">
      <c r="AK5744" s="3">
        <v>5738</v>
      </c>
      <c r="AL5744" s="163">
        <v>5.7178411526635671</v>
      </c>
    </row>
    <row r="5745" spans="37:38" s="4" customFormat="1">
      <c r="AK5745" s="3">
        <v>5739</v>
      </c>
      <c r="AL5745" s="163">
        <v>5.7187871909643171</v>
      </c>
    </row>
    <row r="5746" spans="37:38" s="4" customFormat="1">
      <c r="AK5746" s="3">
        <v>5740</v>
      </c>
      <c r="AL5746" s="163">
        <v>5.7197330791709149</v>
      </c>
    </row>
    <row r="5747" spans="37:38" s="4" customFormat="1">
      <c r="AK5747" s="3">
        <v>5741</v>
      </c>
      <c r="AL5747" s="163">
        <v>5.7206788170891461</v>
      </c>
    </row>
    <row r="5748" spans="37:38" s="4" customFormat="1">
      <c r="AK5748" s="3">
        <v>5742</v>
      </c>
      <c r="AL5748" s="163">
        <v>5.7216244045249542</v>
      </c>
    </row>
    <row r="5749" spans="37:38" s="4" customFormat="1">
      <c r="AK5749" s="3">
        <v>5743</v>
      </c>
      <c r="AL5749" s="163">
        <v>5.7225698412843844</v>
      </c>
    </row>
    <row r="5750" spans="37:38" s="4" customFormat="1">
      <c r="AK5750" s="3">
        <v>5744</v>
      </c>
      <c r="AL5750" s="163">
        <v>5.7235151271736537</v>
      </c>
    </row>
    <row r="5751" spans="37:38" s="4" customFormat="1">
      <c r="AK5751" s="3">
        <v>5745</v>
      </c>
      <c r="AL5751" s="163">
        <v>5.7244602619990861</v>
      </c>
    </row>
    <row r="5752" spans="37:38" s="4" customFormat="1">
      <c r="AK5752" s="3">
        <v>5746</v>
      </c>
      <c r="AL5752" s="163">
        <v>5.7254052455670603</v>
      </c>
    </row>
    <row r="5753" spans="37:38" s="4" customFormat="1">
      <c r="AK5753" s="3">
        <v>5747</v>
      </c>
      <c r="AL5753" s="163">
        <v>5.7263500776842093</v>
      </c>
    </row>
    <row r="5754" spans="37:38" s="4" customFormat="1">
      <c r="AK5754" s="3">
        <v>5748</v>
      </c>
      <c r="AL5754" s="163">
        <v>5.7272947581572105</v>
      </c>
    </row>
    <row r="5755" spans="37:38" s="4" customFormat="1">
      <c r="AK5755" s="3">
        <v>5749</v>
      </c>
      <c r="AL5755" s="163">
        <v>5.728239286792876</v>
      </c>
    </row>
    <row r="5756" spans="37:38" s="4" customFormat="1">
      <c r="AK5756" s="3">
        <v>5750</v>
      </c>
      <c r="AL5756" s="163">
        <v>5.7291836633981745</v>
      </c>
    </row>
    <row r="5757" spans="37:38" s="4" customFormat="1">
      <c r="AK5757" s="3">
        <v>5751</v>
      </c>
      <c r="AL5757" s="163">
        <v>5.7301278877801423</v>
      </c>
    </row>
    <row r="5758" spans="37:38" s="4" customFormat="1">
      <c r="AK5758" s="3">
        <v>5752</v>
      </c>
      <c r="AL5758" s="163">
        <v>5.7310719597460409</v>
      </c>
    </row>
    <row r="5759" spans="37:38" s="4" customFormat="1">
      <c r="AK5759" s="3">
        <v>5753</v>
      </c>
      <c r="AL5759" s="163">
        <v>5.732015879103173</v>
      </c>
    </row>
    <row r="5760" spans="37:38" s="4" customFormat="1">
      <c r="AK5760" s="3">
        <v>5754</v>
      </c>
      <c r="AL5760" s="163">
        <v>5.7329596456589851</v>
      </c>
    </row>
    <row r="5761" spans="37:38" s="4" customFormat="1">
      <c r="AK5761" s="3">
        <v>5755</v>
      </c>
      <c r="AL5761" s="163">
        <v>5.7339032592211048</v>
      </c>
    </row>
    <row r="5762" spans="37:38" s="4" customFormat="1">
      <c r="AK5762" s="3">
        <v>5756</v>
      </c>
      <c r="AL5762" s="163">
        <v>5.7348467195972077</v>
      </c>
    </row>
    <row r="5763" spans="37:38" s="4" customFormat="1">
      <c r="AK5763" s="3">
        <v>5757</v>
      </c>
      <c r="AL5763" s="163">
        <v>5.7357900265951685</v>
      </c>
    </row>
    <row r="5764" spans="37:38" s="4" customFormat="1">
      <c r="AK5764" s="3">
        <v>5758</v>
      </c>
      <c r="AL5764" s="163">
        <v>5.7367331800229451</v>
      </c>
    </row>
    <row r="5765" spans="37:38" s="4" customFormat="1">
      <c r="AK5765" s="3">
        <v>5759</v>
      </c>
      <c r="AL5765" s="163">
        <v>5.7376761796886342</v>
      </c>
    </row>
    <row r="5766" spans="37:38" s="4" customFormat="1">
      <c r="AK5766" s="3">
        <v>5760</v>
      </c>
      <c r="AL5766" s="163">
        <v>5.738619025400487</v>
      </c>
    </row>
    <row r="5767" spans="37:38" s="4" customFormat="1">
      <c r="AK5767" s="3">
        <v>5761</v>
      </c>
      <c r="AL5767" s="163">
        <v>5.7395617169668789</v>
      </c>
    </row>
    <row r="5768" spans="37:38" s="4" customFormat="1">
      <c r="AK5768" s="3">
        <v>5762</v>
      </c>
      <c r="AL5768" s="163">
        <v>5.7405042541962477</v>
      </c>
    </row>
    <row r="5769" spans="37:38" s="4" customFormat="1">
      <c r="AK5769" s="3">
        <v>5763</v>
      </c>
      <c r="AL5769" s="163">
        <v>5.7414466368972707</v>
      </c>
    </row>
    <row r="5770" spans="37:38" s="4" customFormat="1">
      <c r="AK5770" s="3">
        <v>5764</v>
      </c>
      <c r="AL5770" s="163">
        <v>5.7423888648786487</v>
      </c>
    </row>
    <row r="5771" spans="37:38" s="4" customFormat="1">
      <c r="AK5771" s="3">
        <v>5765</v>
      </c>
      <c r="AL5771" s="163">
        <v>5.7433309379493096</v>
      </c>
    </row>
    <row r="5772" spans="37:38" s="4" customFormat="1">
      <c r="AK5772" s="3">
        <v>5766</v>
      </c>
      <c r="AL5772" s="163">
        <v>5.7442728559182346</v>
      </c>
    </row>
    <row r="5773" spans="37:38" s="4" customFormat="1">
      <c r="AK5773" s="3">
        <v>5767</v>
      </c>
      <c r="AL5773" s="163">
        <v>5.7452146185945825</v>
      </c>
    </row>
    <row r="5774" spans="37:38" s="4" customFormat="1">
      <c r="AK5774" s="3">
        <v>5768</v>
      </c>
      <c r="AL5774" s="163">
        <v>5.7461562257875798</v>
      </c>
    </row>
    <row r="5775" spans="37:38" s="4" customFormat="1">
      <c r="AK5775" s="3">
        <v>5769</v>
      </c>
      <c r="AL5775" s="163">
        <v>5.7470976773066802</v>
      </c>
    </row>
    <row r="5776" spans="37:38" s="4" customFormat="1">
      <c r="AK5776" s="3">
        <v>5770</v>
      </c>
      <c r="AL5776" s="163">
        <v>5.748038972961405</v>
      </c>
    </row>
    <row r="5777" spans="37:38" s="4" customFormat="1">
      <c r="AK5777" s="3">
        <v>5771</v>
      </c>
      <c r="AL5777" s="163">
        <v>5.7489801125613873</v>
      </c>
    </row>
    <row r="5778" spans="37:38" s="4" customFormat="1">
      <c r="AK5778" s="3">
        <v>5772</v>
      </c>
      <c r="AL5778" s="163">
        <v>5.7499210959164664</v>
      </c>
    </row>
    <row r="5779" spans="37:38" s="4" customFormat="1">
      <c r="AK5779" s="3">
        <v>5773</v>
      </c>
      <c r="AL5779" s="163">
        <v>5.7508619228365472</v>
      </c>
    </row>
    <row r="5780" spans="37:38" s="4" customFormat="1">
      <c r="AK5780" s="3">
        <v>5774</v>
      </c>
      <c r="AL5780" s="163">
        <v>5.7518025931316874</v>
      </c>
    </row>
    <row r="5781" spans="37:38" s="4" customFormat="1">
      <c r="AK5781" s="3">
        <v>5775</v>
      </c>
      <c r="AL5781" s="163">
        <v>5.7527431066120673</v>
      </c>
    </row>
    <row r="5782" spans="37:38" s="4" customFormat="1">
      <c r="AK5782" s="3">
        <v>5776</v>
      </c>
      <c r="AL5782" s="163">
        <v>5.7536834630880218</v>
      </c>
    </row>
    <row r="5783" spans="37:38" s="4" customFormat="1">
      <c r="AK5783" s="3">
        <v>5777</v>
      </c>
      <c r="AL5783" s="163">
        <v>5.7546236623700064</v>
      </c>
    </row>
    <row r="5784" spans="37:38" s="4" customFormat="1">
      <c r="AK5784" s="3">
        <v>5778</v>
      </c>
      <c r="AL5784" s="163">
        <v>5.7555637042686172</v>
      </c>
    </row>
    <row r="5785" spans="37:38" s="4" customFormat="1">
      <c r="AK5785" s="3">
        <v>5779</v>
      </c>
      <c r="AL5785" s="163">
        <v>5.7565035885945424</v>
      </c>
    </row>
    <row r="5786" spans="37:38" s="4" customFormat="1">
      <c r="AK5786" s="3">
        <v>5780</v>
      </c>
      <c r="AL5786" s="163">
        <v>5.7574433151586675</v>
      </c>
    </row>
    <row r="5787" spans="37:38" s="4" customFormat="1">
      <c r="AK5787" s="3">
        <v>5781</v>
      </c>
      <c r="AL5787" s="163">
        <v>5.7583828837719491</v>
      </c>
    </row>
    <row r="5788" spans="37:38" s="4" customFormat="1">
      <c r="AK5788" s="3">
        <v>5782</v>
      </c>
      <c r="AL5788" s="163">
        <v>5.759322294245532</v>
      </c>
    </row>
    <row r="5789" spans="37:38" s="4" customFormat="1">
      <c r="AK5789" s="3">
        <v>5783</v>
      </c>
      <c r="AL5789" s="163">
        <v>5.7602615463906464</v>
      </c>
    </row>
    <row r="5790" spans="37:38" s="4" customFormat="1">
      <c r="AK5790" s="3">
        <v>5784</v>
      </c>
      <c r="AL5790" s="163">
        <v>5.7612006400186768</v>
      </c>
    </row>
    <row r="5791" spans="37:38" s="4" customFormat="1">
      <c r="AK5791" s="3">
        <v>5785</v>
      </c>
      <c r="AL5791" s="163">
        <v>5.7621395749411608</v>
      </c>
    </row>
    <row r="5792" spans="37:38" s="4" customFormat="1">
      <c r="AK5792" s="3">
        <v>5786</v>
      </c>
      <c r="AL5792" s="163">
        <v>5.7630783509697299</v>
      </c>
    </row>
    <row r="5793" spans="37:38" s="4" customFormat="1">
      <c r="AK5793" s="3">
        <v>5787</v>
      </c>
      <c r="AL5793" s="163">
        <v>5.7640169679161772</v>
      </c>
    </row>
    <row r="5794" spans="37:38" s="4" customFormat="1">
      <c r="AK5794" s="3">
        <v>5788</v>
      </c>
      <c r="AL5794" s="163">
        <v>5.7649554255924329</v>
      </c>
    </row>
    <row r="5795" spans="37:38" s="4" customFormat="1">
      <c r="AK5795" s="3">
        <v>5789</v>
      </c>
      <c r="AL5795" s="163">
        <v>5.7658937238105477</v>
      </c>
    </row>
    <row r="5796" spans="37:38" s="4" customFormat="1">
      <c r="AK5796" s="3">
        <v>5790</v>
      </c>
      <c r="AL5796" s="163">
        <v>5.7668318623827055</v>
      </c>
    </row>
    <row r="5797" spans="37:38" s="4" customFormat="1">
      <c r="AK5797" s="3">
        <v>5791</v>
      </c>
      <c r="AL5797" s="163">
        <v>5.7677698411212326</v>
      </c>
    </row>
    <row r="5798" spans="37:38" s="4" customFormat="1">
      <c r="AK5798" s="3">
        <v>5792</v>
      </c>
      <c r="AL5798" s="163">
        <v>5.7687076598385847</v>
      </c>
    </row>
    <row r="5799" spans="37:38" s="4" customFormat="1">
      <c r="AK5799" s="3">
        <v>5793</v>
      </c>
      <c r="AL5799" s="163">
        <v>5.7696453183473384</v>
      </c>
    </row>
    <row r="5800" spans="37:38" s="4" customFormat="1">
      <c r="AK5800" s="3">
        <v>5794</v>
      </c>
      <c r="AL5800" s="163">
        <v>5.770582816460271</v>
      </c>
    </row>
    <row r="5801" spans="37:38" s="4" customFormat="1">
      <c r="AK5801" s="3">
        <v>5795</v>
      </c>
      <c r="AL5801" s="163">
        <v>5.7715201539902132</v>
      </c>
    </row>
    <row r="5802" spans="37:38" s="4" customFormat="1">
      <c r="AK5802" s="3">
        <v>5796</v>
      </c>
      <c r="AL5802" s="163">
        <v>5.7724573307501519</v>
      </c>
    </row>
    <row r="5803" spans="37:38" s="4" customFormat="1">
      <c r="AK5803" s="3">
        <v>5797</v>
      </c>
      <c r="AL5803" s="163">
        <v>5.7733943465532835</v>
      </c>
    </row>
    <row r="5804" spans="37:38" s="4" customFormat="1">
      <c r="AK5804" s="3">
        <v>5798</v>
      </c>
      <c r="AL5804" s="163">
        <v>5.7743312012128101</v>
      </c>
    </row>
    <row r="5805" spans="37:38" s="4" customFormat="1">
      <c r="AK5805" s="3">
        <v>5799</v>
      </c>
      <c r="AL5805" s="163">
        <v>5.7752678945421803</v>
      </c>
    </row>
    <row r="5806" spans="37:38" s="4" customFormat="1">
      <c r="AK5806" s="3">
        <v>5800</v>
      </c>
      <c r="AL5806" s="163">
        <v>5.7762044263549228</v>
      </c>
    </row>
    <row r="5807" spans="37:38" s="4" customFormat="1">
      <c r="AK5807" s="3">
        <v>5801</v>
      </c>
      <c r="AL5807" s="163">
        <v>5.7771407964647192</v>
      </c>
    </row>
    <row r="5808" spans="37:38" s="4" customFormat="1">
      <c r="AK5808" s="3">
        <v>5802</v>
      </c>
      <c r="AL5808" s="163">
        <v>5.7780770046854162</v>
      </c>
    </row>
    <row r="5809" spans="37:38" s="4" customFormat="1">
      <c r="AK5809" s="3">
        <v>5803</v>
      </c>
      <c r="AL5809" s="163">
        <v>5.7790130508309545</v>
      </c>
    </row>
    <row r="5810" spans="37:38" s="4" customFormat="1">
      <c r="AK5810" s="3">
        <v>5804</v>
      </c>
      <c r="AL5810" s="163">
        <v>5.7799489347153958</v>
      </c>
    </row>
    <row r="5811" spans="37:38" s="4" customFormat="1">
      <c r="AK5811" s="3">
        <v>5805</v>
      </c>
      <c r="AL5811" s="163">
        <v>5.7808846561529936</v>
      </c>
    </row>
    <row r="5812" spans="37:38" s="4" customFormat="1">
      <c r="AK5812" s="3">
        <v>5806</v>
      </c>
      <c r="AL5812" s="163">
        <v>5.7818202149581364</v>
      </c>
    </row>
    <row r="5813" spans="37:38" s="4" customFormat="1">
      <c r="AK5813" s="3">
        <v>5807</v>
      </c>
      <c r="AL5813" s="163">
        <v>5.7827556109452889</v>
      </c>
    </row>
    <row r="5814" spans="37:38" s="4" customFormat="1">
      <c r="AK5814" s="3">
        <v>5808</v>
      </c>
      <c r="AL5814" s="163">
        <v>5.7836908439291417</v>
      </c>
    </row>
    <row r="5815" spans="37:38" s="4" customFormat="1">
      <c r="AK5815" s="3">
        <v>5809</v>
      </c>
      <c r="AL5815" s="163">
        <v>5.7846259137244207</v>
      </c>
    </row>
    <row r="5816" spans="37:38" s="4" customFormat="1">
      <c r="AK5816" s="3">
        <v>5810</v>
      </c>
      <c r="AL5816" s="163">
        <v>5.785560820146074</v>
      </c>
    </row>
    <row r="5817" spans="37:38" s="4" customFormat="1">
      <c r="AK5817" s="3">
        <v>5811</v>
      </c>
      <c r="AL5817" s="163">
        <v>5.7864955630091632</v>
      </c>
    </row>
    <row r="5818" spans="37:38" s="4" customFormat="1">
      <c r="AK5818" s="3">
        <v>5812</v>
      </c>
      <c r="AL5818" s="163">
        <v>5.7874301421288887</v>
      </c>
    </row>
    <row r="5819" spans="37:38" s="4" customFormat="1">
      <c r="AK5819" s="3">
        <v>5813</v>
      </c>
      <c r="AL5819" s="163">
        <v>5.7883645573205715</v>
      </c>
    </row>
    <row r="5820" spans="37:38" s="4" customFormat="1">
      <c r="AK5820" s="3">
        <v>5814</v>
      </c>
      <c r="AL5820" s="163">
        <v>5.7892988083996819</v>
      </c>
    </row>
    <row r="5821" spans="37:38" s="4" customFormat="1">
      <c r="AK5821" s="3">
        <v>5815</v>
      </c>
      <c r="AL5821" s="163">
        <v>5.79023289518185</v>
      </c>
    </row>
    <row r="5822" spans="37:38" s="4" customFormat="1">
      <c r="AK5822" s="3">
        <v>5816</v>
      </c>
      <c r="AL5822" s="163">
        <v>5.7911668174828286</v>
      </c>
    </row>
    <row r="5823" spans="37:38" s="4" customFormat="1">
      <c r="AK5823" s="3">
        <v>5817</v>
      </c>
      <c r="AL5823" s="163">
        <v>5.7921005751184786</v>
      </c>
    </row>
    <row r="5824" spans="37:38" s="4" customFormat="1">
      <c r="AK5824" s="3">
        <v>5818</v>
      </c>
      <c r="AL5824" s="163">
        <v>5.7930341679048407</v>
      </c>
    </row>
    <row r="5825" spans="37:38" s="4" customFormat="1">
      <c r="AK5825" s="3">
        <v>5819</v>
      </c>
      <c r="AL5825" s="163">
        <v>5.7939675956581329</v>
      </c>
    </row>
    <row r="5826" spans="37:38" s="4" customFormat="1">
      <c r="AK5826" s="3">
        <v>5820</v>
      </c>
      <c r="AL5826" s="163">
        <v>5.7949008581946231</v>
      </c>
    </row>
    <row r="5827" spans="37:38" s="4" customFormat="1">
      <c r="AK5827" s="3">
        <v>5821</v>
      </c>
      <c r="AL5827" s="163">
        <v>5.7958339553307816</v>
      </c>
    </row>
    <row r="5828" spans="37:38" s="4" customFormat="1">
      <c r="AK5828" s="3">
        <v>5822</v>
      </c>
      <c r="AL5828" s="163">
        <v>5.7967668868831641</v>
      </c>
    </row>
    <row r="5829" spans="37:38" s="4" customFormat="1">
      <c r="AK5829" s="3">
        <v>5823</v>
      </c>
      <c r="AL5829" s="163">
        <v>5.7976996526685589</v>
      </c>
    </row>
    <row r="5830" spans="37:38" s="4" customFormat="1">
      <c r="AK5830" s="3">
        <v>5824</v>
      </c>
      <c r="AL5830" s="163">
        <v>5.7986322525038219</v>
      </c>
    </row>
    <row r="5831" spans="37:38" s="4" customFormat="1">
      <c r="AK5831" s="3">
        <v>5825</v>
      </c>
      <c r="AL5831" s="163">
        <v>5.7995646862059349</v>
      </c>
    </row>
    <row r="5832" spans="37:38" s="4" customFormat="1">
      <c r="AK5832" s="3">
        <v>5826</v>
      </c>
      <c r="AL5832" s="163">
        <v>5.8004969535920807</v>
      </c>
    </row>
    <row r="5833" spans="37:38" s="4" customFormat="1">
      <c r="AK5833" s="3">
        <v>5827</v>
      </c>
      <c r="AL5833" s="163">
        <v>5.8014290544795646</v>
      </c>
    </row>
    <row r="5834" spans="37:38" s="4" customFormat="1">
      <c r="AK5834" s="3">
        <v>5828</v>
      </c>
      <c r="AL5834" s="163">
        <v>5.8023609886858178</v>
      </c>
    </row>
    <row r="5835" spans="37:38" s="4" customFormat="1">
      <c r="AK5835" s="3">
        <v>5829</v>
      </c>
      <c r="AL5835" s="163">
        <v>5.8032927560284158</v>
      </c>
    </row>
    <row r="5836" spans="37:38" s="4" customFormat="1">
      <c r="AK5836" s="3">
        <v>5830</v>
      </c>
      <c r="AL5836" s="163">
        <v>5.8042243563250757</v>
      </c>
    </row>
    <row r="5837" spans="37:38" s="4" customFormat="1">
      <c r="AK5837" s="3">
        <v>5831</v>
      </c>
      <c r="AL5837" s="163">
        <v>5.8051557893936714</v>
      </c>
    </row>
    <row r="5838" spans="37:38" s="4" customFormat="1">
      <c r="AK5838" s="3">
        <v>5832</v>
      </c>
      <c r="AL5838" s="163">
        <v>5.8060870550522097</v>
      </c>
    </row>
    <row r="5839" spans="37:38" s="4" customFormat="1">
      <c r="AK5839" s="3">
        <v>5833</v>
      </c>
      <c r="AL5839" s="163">
        <v>5.8070181531188485</v>
      </c>
    </row>
    <row r="5840" spans="37:38" s="4" customFormat="1">
      <c r="AK5840" s="3">
        <v>5834</v>
      </c>
      <c r="AL5840" s="163">
        <v>5.8079490834118754</v>
      </c>
    </row>
    <row r="5841" spans="37:38" s="4" customFormat="1">
      <c r="AK5841" s="3">
        <v>5835</v>
      </c>
      <c r="AL5841" s="163">
        <v>5.808879845749706</v>
      </c>
    </row>
    <row r="5842" spans="37:38" s="4" customFormat="1">
      <c r="AK5842" s="3">
        <v>5836</v>
      </c>
      <c r="AL5842" s="163">
        <v>5.8098104399509172</v>
      </c>
    </row>
    <row r="5843" spans="37:38" s="4" customFormat="1">
      <c r="AK5843" s="3">
        <v>5837</v>
      </c>
      <c r="AL5843" s="163">
        <v>5.8107408658342656</v>
      </c>
    </row>
    <row r="5844" spans="37:38" s="4" customFormat="1">
      <c r="AK5844" s="3">
        <v>5838</v>
      </c>
      <c r="AL5844" s="163">
        <v>5.8116711232185878</v>
      </c>
    </row>
    <row r="5845" spans="37:38" s="4" customFormat="1">
      <c r="AK5845" s="3">
        <v>5839</v>
      </c>
      <c r="AL5845" s="163">
        <v>5.8126012119229085</v>
      </c>
    </row>
    <row r="5846" spans="37:38" s="4" customFormat="1">
      <c r="AK5846" s="3">
        <v>5840</v>
      </c>
      <c r="AL5846" s="163">
        <v>5.8135311317663483</v>
      </c>
    </row>
    <row r="5847" spans="37:38" s="4" customFormat="1">
      <c r="AK5847" s="3">
        <v>5841</v>
      </c>
      <c r="AL5847" s="163">
        <v>5.8144608825682589</v>
      </c>
    </row>
    <row r="5848" spans="37:38" s="4" customFormat="1">
      <c r="AK5848" s="3">
        <v>5842</v>
      </c>
      <c r="AL5848" s="163">
        <v>5.8153904641480114</v>
      </c>
    </row>
    <row r="5849" spans="37:38" s="4" customFormat="1">
      <c r="AK5849" s="3">
        <v>5843</v>
      </c>
      <c r="AL5849" s="163">
        <v>5.8163198763252364</v>
      </c>
    </row>
    <row r="5850" spans="37:38" s="4" customFormat="1">
      <c r="AK5850" s="3">
        <v>5844</v>
      </c>
      <c r="AL5850" s="163">
        <v>5.8172491189196673</v>
      </c>
    </row>
    <row r="5851" spans="37:38" s="4" customFormat="1">
      <c r="AK5851" s="3">
        <v>5845</v>
      </c>
      <c r="AL5851" s="163">
        <v>5.8181781917511497</v>
      </c>
    </row>
    <row r="5852" spans="37:38" s="4" customFormat="1">
      <c r="AK5852" s="3">
        <v>5846</v>
      </c>
      <c r="AL5852" s="163">
        <v>5.8191070946396977</v>
      </c>
    </row>
    <row r="5853" spans="37:38" s="4" customFormat="1">
      <c r="AK5853" s="3">
        <v>5847</v>
      </c>
      <c r="AL5853" s="163">
        <v>5.820035827405496</v>
      </c>
    </row>
    <row r="5854" spans="37:38" s="4" customFormat="1">
      <c r="AK5854" s="3">
        <v>5848</v>
      </c>
      <c r="AL5854" s="163">
        <v>5.8209643898688466</v>
      </c>
    </row>
    <row r="5855" spans="37:38" s="4" customFormat="1">
      <c r="AK5855" s="3">
        <v>5849</v>
      </c>
      <c r="AL5855" s="163">
        <v>5.8218927818502149</v>
      </c>
    </row>
    <row r="5856" spans="37:38" s="4" customFormat="1">
      <c r="AK5856" s="3">
        <v>5850</v>
      </c>
      <c r="AL5856" s="163">
        <v>5.822821003170171</v>
      </c>
    </row>
    <row r="5857" spans="37:38" s="4" customFormat="1">
      <c r="AK5857" s="3">
        <v>5851</v>
      </c>
      <c r="AL5857" s="163">
        <v>5.8237490536495038</v>
      </c>
    </row>
    <row r="5858" spans="37:38" s="4" customFormat="1">
      <c r="AK5858" s="3">
        <v>5852</v>
      </c>
      <c r="AL5858" s="163">
        <v>5.8246769331090498</v>
      </c>
    </row>
    <row r="5859" spans="37:38" s="4" customFormat="1">
      <c r="AK5859" s="3">
        <v>5853</v>
      </c>
      <c r="AL5859" s="163">
        <v>5.8256046413698659</v>
      </c>
    </row>
    <row r="5860" spans="37:38" s="4" customFormat="1">
      <c r="AK5860" s="3">
        <v>5854</v>
      </c>
      <c r="AL5860" s="163">
        <v>5.8265321782531743</v>
      </c>
    </row>
    <row r="5861" spans="37:38" s="4" customFormat="1">
      <c r="AK5861" s="3">
        <v>5855</v>
      </c>
      <c r="AL5861" s="163">
        <v>5.8274595435802503</v>
      </c>
    </row>
    <row r="5862" spans="37:38" s="4" customFormat="1">
      <c r="AK5862" s="3">
        <v>5856</v>
      </c>
      <c r="AL5862" s="163">
        <v>5.8283867371726128</v>
      </c>
    </row>
    <row r="5863" spans="37:38" s="4" customFormat="1">
      <c r="AK5863" s="3">
        <v>5857</v>
      </c>
      <c r="AL5863" s="163">
        <v>5.8293137588518267</v>
      </c>
    </row>
    <row r="5864" spans="37:38" s="4" customFormat="1">
      <c r="AK5864" s="3">
        <v>5858</v>
      </c>
      <c r="AL5864" s="163">
        <v>5.830240608439734</v>
      </c>
    </row>
    <row r="5865" spans="37:38" s="4" customFormat="1">
      <c r="AK5865" s="3">
        <v>5859</v>
      </c>
      <c r="AL5865" s="163">
        <v>5.831167285758216</v>
      </c>
    </row>
    <row r="5866" spans="37:38" s="4" customFormat="1">
      <c r="AK5866" s="3">
        <v>5860</v>
      </c>
      <c r="AL5866" s="163">
        <v>5.8320937906293508</v>
      </c>
    </row>
    <row r="5867" spans="37:38" s="4" customFormat="1">
      <c r="AK5867" s="3">
        <v>5861</v>
      </c>
      <c r="AL5867" s="163">
        <v>5.8330201228753253</v>
      </c>
    </row>
    <row r="5868" spans="37:38" s="4" customFormat="1">
      <c r="AK5868" s="3">
        <v>5862</v>
      </c>
      <c r="AL5868" s="163">
        <v>5.8339462823185393</v>
      </c>
    </row>
    <row r="5869" spans="37:38" s="4" customFormat="1">
      <c r="AK5869" s="3">
        <v>5863</v>
      </c>
      <c r="AL5869" s="163">
        <v>5.8348722687814547</v>
      </c>
    </row>
    <row r="5870" spans="37:38" s="4" customFormat="1">
      <c r="AK5870" s="3">
        <v>5864</v>
      </c>
      <c r="AL5870" s="163">
        <v>5.8357980820867823</v>
      </c>
    </row>
    <row r="5871" spans="37:38" s="4" customFormat="1">
      <c r="AK5871" s="3">
        <v>5865</v>
      </c>
      <c r="AL5871" s="163">
        <v>5.836723722057263</v>
      </c>
    </row>
    <row r="5872" spans="37:38" s="4" customFormat="1">
      <c r="AK5872" s="3">
        <v>5866</v>
      </c>
      <c r="AL5872" s="163">
        <v>5.8376491885159183</v>
      </c>
    </row>
    <row r="5873" spans="37:38" s="4" customFormat="1">
      <c r="AK5873" s="3">
        <v>5867</v>
      </c>
      <c r="AL5873" s="163">
        <v>5.8385744812857965</v>
      </c>
    </row>
    <row r="5874" spans="37:38" s="4" customFormat="1">
      <c r="AK5874" s="3">
        <v>5868</v>
      </c>
      <c r="AL5874" s="163">
        <v>5.8394996001901784</v>
      </c>
    </row>
    <row r="5875" spans="37:38" s="4" customFormat="1">
      <c r="AK5875" s="3">
        <v>5869</v>
      </c>
      <c r="AL5875" s="163">
        <v>5.8404245450524517</v>
      </c>
    </row>
    <row r="5876" spans="37:38" s="4" customFormat="1">
      <c r="AK5876" s="3">
        <v>5870</v>
      </c>
      <c r="AL5876" s="163">
        <v>5.8413493156961707</v>
      </c>
    </row>
    <row r="5877" spans="37:38" s="4" customFormat="1">
      <c r="AK5877" s="3">
        <v>5871</v>
      </c>
      <c r="AL5877" s="163">
        <v>5.8422739119450338</v>
      </c>
    </row>
    <row r="5878" spans="37:38" s="4" customFormat="1">
      <c r="AK5878" s="3">
        <v>5872</v>
      </c>
      <c r="AL5878" s="163">
        <v>5.8431983336228974</v>
      </c>
    </row>
    <row r="5879" spans="37:38" s="4" customFormat="1">
      <c r="AK5879" s="3">
        <v>5873</v>
      </c>
      <c r="AL5879" s="163">
        <v>5.8441225805537496</v>
      </c>
    </row>
    <row r="5880" spans="37:38" s="4" customFormat="1">
      <c r="AK5880" s="3">
        <v>5874</v>
      </c>
      <c r="AL5880" s="163">
        <v>5.8450466525617308</v>
      </c>
    </row>
    <row r="5881" spans="37:38" s="4" customFormat="1">
      <c r="AK5881" s="3">
        <v>5875</v>
      </c>
      <c r="AL5881" s="163">
        <v>5.8459705494711454</v>
      </c>
    </row>
    <row r="5882" spans="37:38" s="4" customFormat="1">
      <c r="AK5882" s="3">
        <v>5876</v>
      </c>
      <c r="AL5882" s="163">
        <v>5.8468942711064606</v>
      </c>
    </row>
    <row r="5883" spans="37:38" s="4" customFormat="1">
      <c r="AK5883" s="3">
        <v>5877</v>
      </c>
      <c r="AL5883" s="163">
        <v>5.8478178172922508</v>
      </c>
    </row>
    <row r="5884" spans="37:38" s="4" customFormat="1">
      <c r="AK5884" s="3">
        <v>5878</v>
      </c>
      <c r="AL5884" s="163">
        <v>5.8487411878532676</v>
      </c>
    </row>
    <row r="5885" spans="37:38" s="4" customFormat="1">
      <c r="AK5885" s="3">
        <v>5879</v>
      </c>
      <c r="AL5885" s="163">
        <v>5.8496643826144439</v>
      </c>
    </row>
    <row r="5886" spans="37:38" s="4" customFormat="1">
      <c r="AK5886" s="3">
        <v>5880</v>
      </c>
      <c r="AL5886" s="163">
        <v>5.8505874014008032</v>
      </c>
    </row>
    <row r="5887" spans="37:38" s="4" customFormat="1">
      <c r="AK5887" s="3">
        <v>5881</v>
      </c>
      <c r="AL5887" s="163">
        <v>5.8515102440375291</v>
      </c>
    </row>
    <row r="5888" spans="37:38" s="4" customFormat="1">
      <c r="AK5888" s="3">
        <v>5882</v>
      </c>
      <c r="AL5888" s="163">
        <v>5.8524329103500357</v>
      </c>
    </row>
    <row r="5889" spans="37:38" s="4" customFormat="1">
      <c r="AK5889" s="3">
        <v>5883</v>
      </c>
      <c r="AL5889" s="163">
        <v>5.8533554001637853</v>
      </c>
    </row>
    <row r="5890" spans="37:38" s="4" customFormat="1">
      <c r="AK5890" s="3">
        <v>5884</v>
      </c>
      <c r="AL5890" s="163">
        <v>5.8542777133044339</v>
      </c>
    </row>
    <row r="5891" spans="37:38" s="4" customFormat="1">
      <c r="AK5891" s="3">
        <v>5885</v>
      </c>
      <c r="AL5891" s="163">
        <v>5.8551998495978133</v>
      </c>
    </row>
    <row r="5892" spans="37:38" s="4" customFormat="1">
      <c r="AK5892" s="3">
        <v>5886</v>
      </c>
      <c r="AL5892" s="163">
        <v>5.8561218088698741</v>
      </c>
    </row>
    <row r="5893" spans="37:38" s="4" customFormat="1">
      <c r="AK5893" s="3">
        <v>5887</v>
      </c>
      <c r="AL5893" s="163">
        <v>5.8570435909467466</v>
      </c>
    </row>
    <row r="5894" spans="37:38" s="4" customFormat="1">
      <c r="AK5894" s="3">
        <v>5888</v>
      </c>
      <c r="AL5894" s="163">
        <v>5.857965195654657</v>
      </c>
    </row>
    <row r="5895" spans="37:38" s="4" customFormat="1">
      <c r="AK5895" s="3">
        <v>5889</v>
      </c>
      <c r="AL5895" s="163">
        <v>5.8588866228200853</v>
      </c>
    </row>
    <row r="5896" spans="37:38" s="4" customFormat="1">
      <c r="AK5896" s="3">
        <v>5890</v>
      </c>
      <c r="AL5896" s="163">
        <v>5.8598078722695544</v>
      </c>
    </row>
    <row r="5897" spans="37:38" s="4" customFormat="1">
      <c r="AK5897" s="3">
        <v>5891</v>
      </c>
      <c r="AL5897" s="163">
        <v>5.8607289438298054</v>
      </c>
    </row>
    <row r="5898" spans="37:38" s="4" customFormat="1">
      <c r="AK5898" s="3">
        <v>5892</v>
      </c>
      <c r="AL5898" s="163">
        <v>5.8616498373277217</v>
      </c>
    </row>
    <row r="5899" spans="37:38" s="4" customFormat="1">
      <c r="AK5899" s="3">
        <v>5893</v>
      </c>
      <c r="AL5899" s="163">
        <v>5.8625705525903538</v>
      </c>
    </row>
    <row r="5900" spans="37:38" s="4" customFormat="1">
      <c r="AK5900" s="3">
        <v>5894</v>
      </c>
      <c r="AL5900" s="163">
        <v>5.8634910894448584</v>
      </c>
    </row>
    <row r="5901" spans="37:38" s="4" customFormat="1">
      <c r="AK5901" s="3">
        <v>5895</v>
      </c>
      <c r="AL5901" s="163">
        <v>5.8644114477185827</v>
      </c>
    </row>
    <row r="5902" spans="37:38" s="4" customFormat="1">
      <c r="AK5902" s="3">
        <v>5896</v>
      </c>
      <c r="AL5902" s="163">
        <v>5.8653316272390246</v>
      </c>
    </row>
    <row r="5903" spans="37:38" s="4" customFormat="1">
      <c r="AK5903" s="3">
        <v>5897</v>
      </c>
      <c r="AL5903" s="163">
        <v>5.8662516278338472</v>
      </c>
    </row>
    <row r="5904" spans="37:38" s="4" customFormat="1">
      <c r="AK5904" s="3">
        <v>5898</v>
      </c>
      <c r="AL5904" s="163">
        <v>5.8671714493308365</v>
      </c>
    </row>
    <row r="5905" spans="37:38" s="4" customFormat="1">
      <c r="AK5905" s="3">
        <v>5899</v>
      </c>
      <c r="AL5905" s="163">
        <v>5.8680910915579503</v>
      </c>
    </row>
    <row r="5906" spans="37:38" s="4" customFormat="1">
      <c r="AK5906" s="3">
        <v>5900</v>
      </c>
      <c r="AL5906" s="163">
        <v>5.8690105543433049</v>
      </c>
    </row>
    <row r="5907" spans="37:38" s="4" customFormat="1">
      <c r="AK5907" s="3">
        <v>5901</v>
      </c>
      <c r="AL5907" s="163">
        <v>5.8699298375151692</v>
      </c>
    </row>
    <row r="5908" spans="37:38" s="4" customFormat="1">
      <c r="AK5908" s="3">
        <v>5902</v>
      </c>
      <c r="AL5908" s="163">
        <v>5.8708489409019773</v>
      </c>
    </row>
    <row r="5909" spans="37:38" s="4" customFormat="1">
      <c r="AK5909" s="3">
        <v>5903</v>
      </c>
      <c r="AL5909" s="163">
        <v>5.8717678643322664</v>
      </c>
    </row>
    <row r="5910" spans="37:38" s="4" customFormat="1">
      <c r="AK5910" s="3">
        <v>5904</v>
      </c>
      <c r="AL5910" s="163">
        <v>5.8726866076348205</v>
      </c>
    </row>
    <row r="5911" spans="37:38" s="4" customFormat="1">
      <c r="AK5911" s="3">
        <v>5905</v>
      </c>
      <c r="AL5911" s="163">
        <v>5.8736051706384966</v>
      </c>
    </row>
    <row r="5912" spans="37:38" s="4" customFormat="1">
      <c r="AK5912" s="3">
        <v>5906</v>
      </c>
      <c r="AL5912" s="163">
        <v>5.8745235531723399</v>
      </c>
    </row>
    <row r="5913" spans="37:38" s="4" customFormat="1">
      <c r="AK5913" s="3">
        <v>5907</v>
      </c>
      <c r="AL5913" s="163">
        <v>5.8754417550655837</v>
      </c>
    </row>
    <row r="5914" spans="37:38" s="4" customFormat="1">
      <c r="AK5914" s="3">
        <v>5908</v>
      </c>
      <c r="AL5914" s="163">
        <v>5.876359776147531</v>
      </c>
    </row>
    <row r="5915" spans="37:38" s="4" customFormat="1">
      <c r="AK5915" s="3">
        <v>5909</v>
      </c>
      <c r="AL5915" s="163">
        <v>5.877277616247742</v>
      </c>
    </row>
    <row r="5916" spans="37:38" s="4" customFormat="1">
      <c r="AK5916" s="3">
        <v>5910</v>
      </c>
      <c r="AL5916" s="163">
        <v>5.8781952751958588</v>
      </c>
    </row>
    <row r="5917" spans="37:38" s="4" customFormat="1">
      <c r="AK5917" s="3">
        <v>5911</v>
      </c>
      <c r="AL5917" s="163">
        <v>5.8791127528217313</v>
      </c>
    </row>
    <row r="5918" spans="37:38" s="4" customFormat="1">
      <c r="AK5918" s="3">
        <v>5912</v>
      </c>
      <c r="AL5918" s="163">
        <v>5.8800300489553283</v>
      </c>
    </row>
    <row r="5919" spans="37:38" s="4" customFormat="1">
      <c r="AK5919" s="3">
        <v>5913</v>
      </c>
      <c r="AL5919" s="163">
        <v>5.8809471634267734</v>
      </c>
    </row>
    <row r="5920" spans="37:38" s="4" customFormat="1">
      <c r="AK5920" s="3">
        <v>5914</v>
      </c>
      <c r="AL5920" s="163">
        <v>5.8818640960664172</v>
      </c>
    </row>
    <row r="5921" spans="37:38" s="4" customFormat="1">
      <c r="AK5921" s="3">
        <v>5915</v>
      </c>
      <c r="AL5921" s="163">
        <v>5.8827808467046623</v>
      </c>
    </row>
    <row r="5922" spans="37:38" s="4" customFormat="1">
      <c r="AK5922" s="3">
        <v>5916</v>
      </c>
      <c r="AL5922" s="163">
        <v>5.8836974151721453</v>
      </c>
    </row>
    <row r="5923" spans="37:38" s="4" customFormat="1">
      <c r="AK5923" s="3">
        <v>5917</v>
      </c>
      <c r="AL5923" s="163">
        <v>5.8846138012996576</v>
      </c>
    </row>
    <row r="5924" spans="37:38" s="4" customFormat="1">
      <c r="AK5924" s="3">
        <v>5918</v>
      </c>
      <c r="AL5924" s="163">
        <v>5.8855300049180634</v>
      </c>
    </row>
    <row r="5925" spans="37:38" s="4" customFormat="1">
      <c r="AK5925" s="3">
        <v>5919</v>
      </c>
      <c r="AL5925" s="163">
        <v>5.8864460258585289</v>
      </c>
    </row>
    <row r="5926" spans="37:38" s="4" customFormat="1">
      <c r="AK5926" s="3">
        <v>5920</v>
      </c>
      <c r="AL5926" s="163">
        <v>5.8873618639522469</v>
      </c>
    </row>
    <row r="5927" spans="37:38" s="4" customFormat="1">
      <c r="AK5927" s="3">
        <v>5921</v>
      </c>
      <c r="AL5927" s="163">
        <v>5.8882775190306482</v>
      </c>
    </row>
    <row r="5928" spans="37:38" s="4" customFormat="1">
      <c r="AK5928" s="3">
        <v>5922</v>
      </c>
      <c r="AL5928" s="163">
        <v>5.8891929909252809</v>
      </c>
    </row>
    <row r="5929" spans="37:38" s="4" customFormat="1">
      <c r="AK5929" s="3">
        <v>5923</v>
      </c>
      <c r="AL5929" s="163">
        <v>5.8901082794678778</v>
      </c>
    </row>
    <row r="5930" spans="37:38" s="4" customFormat="1">
      <c r="AK5930" s="3">
        <v>5924</v>
      </c>
      <c r="AL5930" s="163">
        <v>5.8910233844903139</v>
      </c>
    </row>
    <row r="5931" spans="37:38" s="4" customFormat="1">
      <c r="AK5931" s="3">
        <v>5925</v>
      </c>
      <c r="AL5931" s="163">
        <v>5.8919383058246488</v>
      </c>
    </row>
    <row r="5932" spans="37:38" s="4" customFormat="1">
      <c r="AK5932" s="3">
        <v>5926</v>
      </c>
      <c r="AL5932" s="163">
        <v>5.8928530433030506</v>
      </c>
    </row>
    <row r="5933" spans="37:38" s="4" customFormat="1">
      <c r="AK5933" s="3">
        <v>5927</v>
      </c>
      <c r="AL5933" s="163">
        <v>5.8937675967579022</v>
      </c>
    </row>
    <row r="5934" spans="37:38" s="4" customFormat="1">
      <c r="AK5934" s="3">
        <v>5928</v>
      </c>
      <c r="AL5934" s="163">
        <v>5.8946819660217233</v>
      </c>
    </row>
    <row r="5935" spans="37:38" s="4" customFormat="1">
      <c r="AK5935" s="3">
        <v>5929</v>
      </c>
      <c r="AL5935" s="163">
        <v>5.8955961509271724</v>
      </c>
    </row>
    <row r="5936" spans="37:38" s="4" customFormat="1">
      <c r="AK5936" s="3">
        <v>5930</v>
      </c>
      <c r="AL5936" s="163">
        <v>5.8965101513071261</v>
      </c>
    </row>
    <row r="5937" spans="37:38" s="4" customFormat="1">
      <c r="AK5937" s="3">
        <v>5931</v>
      </c>
      <c r="AL5937" s="163">
        <v>5.897423966994543</v>
      </c>
    </row>
    <row r="5938" spans="37:38" s="4" customFormat="1">
      <c r="AK5938" s="3">
        <v>5932</v>
      </c>
      <c r="AL5938" s="163">
        <v>5.8983375978226462</v>
      </c>
    </row>
    <row r="5939" spans="37:38" s="4" customFormat="1">
      <c r="AK5939" s="3">
        <v>5933</v>
      </c>
      <c r="AL5939" s="163">
        <v>5.899251043624691</v>
      </c>
    </row>
    <row r="5940" spans="37:38" s="4" customFormat="1">
      <c r="AK5940" s="3">
        <v>5934</v>
      </c>
      <c r="AL5940" s="163">
        <v>5.9001643042341971</v>
      </c>
    </row>
    <row r="5941" spans="37:38" s="4" customFormat="1">
      <c r="AK5941" s="3">
        <v>5935</v>
      </c>
      <c r="AL5941" s="163">
        <v>5.9010773794847893</v>
      </c>
    </row>
    <row r="5942" spans="37:38" s="4" customFormat="1">
      <c r="AK5942" s="3">
        <v>5936</v>
      </c>
      <c r="AL5942" s="163">
        <v>5.9019902692102981</v>
      </c>
    </row>
    <row r="5943" spans="37:38" s="4" customFormat="1">
      <c r="AK5943" s="3">
        <v>5937</v>
      </c>
      <c r="AL5943" s="163">
        <v>5.9029029732446752</v>
      </c>
    </row>
    <row r="5944" spans="37:38" s="4" customFormat="1">
      <c r="AK5944" s="3">
        <v>5938</v>
      </c>
      <c r="AL5944" s="163">
        <v>5.903815491422046</v>
      </c>
    </row>
    <row r="5945" spans="37:38" s="4" customFormat="1">
      <c r="AK5945" s="3">
        <v>5939</v>
      </c>
      <c r="AL5945" s="163">
        <v>5.9047278235767227</v>
      </c>
    </row>
    <row r="5946" spans="37:38" s="4" customFormat="1">
      <c r="AK5946" s="3">
        <v>5940</v>
      </c>
      <c r="AL5946" s="163">
        <v>5.9056399695431168</v>
      </c>
    </row>
    <row r="5947" spans="37:38" s="4" customFormat="1">
      <c r="AK5947" s="3">
        <v>5941</v>
      </c>
      <c r="AL5947" s="163">
        <v>5.9065519291558974</v>
      </c>
    </row>
    <row r="5948" spans="37:38" s="4" customFormat="1">
      <c r="AK5948" s="3">
        <v>5942</v>
      </c>
      <c r="AL5948" s="163">
        <v>5.9074637022498084</v>
      </c>
    </row>
    <row r="5949" spans="37:38" s="4" customFormat="1">
      <c r="AK5949" s="3">
        <v>5943</v>
      </c>
      <c r="AL5949" s="163">
        <v>5.9083752886597924</v>
      </c>
    </row>
    <row r="5950" spans="37:38" s="4" customFormat="1">
      <c r="AK5950" s="3">
        <v>5944</v>
      </c>
      <c r="AL5950" s="163">
        <v>5.9092866882209645</v>
      </c>
    </row>
    <row r="5951" spans="37:38" s="4" customFormat="1">
      <c r="AK5951" s="3">
        <v>5945</v>
      </c>
      <c r="AL5951" s="163">
        <v>5.9101979007685799</v>
      </c>
    </row>
    <row r="5952" spans="37:38" s="4" customFormat="1">
      <c r="AK5952" s="3">
        <v>5946</v>
      </c>
      <c r="AL5952" s="163">
        <v>5.9111089261380911</v>
      </c>
    </row>
    <row r="5953" spans="37:38" s="4" customFormat="1">
      <c r="AK5953" s="3">
        <v>5947</v>
      </c>
      <c r="AL5953" s="163">
        <v>5.9120197641650538</v>
      </c>
    </row>
    <row r="5954" spans="37:38" s="4" customFormat="1">
      <c r="AK5954" s="3">
        <v>5948</v>
      </c>
      <c r="AL5954" s="163">
        <v>5.9129304146852739</v>
      </c>
    </row>
    <row r="5955" spans="37:38" s="4" customFormat="1">
      <c r="AK5955" s="3">
        <v>5949</v>
      </c>
      <c r="AL5955" s="163">
        <v>5.913840877534609</v>
      </c>
    </row>
    <row r="5956" spans="37:38" s="4" customFormat="1">
      <c r="AK5956" s="3">
        <v>5950</v>
      </c>
      <c r="AL5956" s="163">
        <v>5.9147511525491954</v>
      </c>
    </row>
    <row r="5957" spans="37:38" s="4" customFormat="1">
      <c r="AK5957" s="3">
        <v>5951</v>
      </c>
      <c r="AL5957" s="163">
        <v>5.9156612395652619</v>
      </c>
    </row>
    <row r="5958" spans="37:38" s="4" customFormat="1">
      <c r="AK5958" s="3">
        <v>5952</v>
      </c>
      <c r="AL5958" s="163">
        <v>5.9165711384192186</v>
      </c>
    </row>
    <row r="5959" spans="37:38" s="4" customFormat="1">
      <c r="AK5959" s="3">
        <v>5953</v>
      </c>
      <c r="AL5959" s="163">
        <v>5.9174808489476369</v>
      </c>
    </row>
    <row r="5960" spans="37:38" s="4" customFormat="1">
      <c r="AK5960" s="3">
        <v>5954</v>
      </c>
      <c r="AL5960" s="163">
        <v>5.918390370987284</v>
      </c>
    </row>
    <row r="5961" spans="37:38" s="4" customFormat="1">
      <c r="AK5961" s="3">
        <v>5955</v>
      </c>
      <c r="AL5961" s="163">
        <v>5.9192997043750548</v>
      </c>
    </row>
    <row r="5962" spans="37:38" s="4" customFormat="1">
      <c r="AK5962" s="3">
        <v>5956</v>
      </c>
      <c r="AL5962" s="163">
        <v>5.920208848947988</v>
      </c>
    </row>
    <row r="5963" spans="37:38" s="4" customFormat="1">
      <c r="AK5963" s="3">
        <v>5957</v>
      </c>
      <c r="AL5963" s="163">
        <v>5.9211178045433925</v>
      </c>
    </row>
    <row r="5964" spans="37:38" s="4" customFormat="1">
      <c r="AK5964" s="3">
        <v>5958</v>
      </c>
      <c r="AL5964" s="163">
        <v>5.922026570998618</v>
      </c>
    </row>
    <row r="5965" spans="37:38" s="4" customFormat="1">
      <c r="AK5965" s="3">
        <v>5959</v>
      </c>
      <c r="AL5965" s="163">
        <v>5.9229351481512236</v>
      </c>
    </row>
    <row r="5966" spans="37:38" s="4" customFormat="1">
      <c r="AK5966" s="3">
        <v>5960</v>
      </c>
      <c r="AL5966" s="163">
        <v>5.9238435358389712</v>
      </c>
    </row>
    <row r="5967" spans="37:38" s="4" customFormat="1">
      <c r="AK5967" s="3">
        <v>5961</v>
      </c>
      <c r="AL5967" s="163">
        <v>5.9247517338997522</v>
      </c>
    </row>
    <row r="5968" spans="37:38" s="4" customFormat="1">
      <c r="AK5968" s="3">
        <v>5962</v>
      </c>
      <c r="AL5968" s="163">
        <v>5.9256597421716428</v>
      </c>
    </row>
    <row r="5969" spans="37:38" s="4" customFormat="1">
      <c r="AK5969" s="3">
        <v>5963</v>
      </c>
      <c r="AL5969" s="163">
        <v>5.9265675604928507</v>
      </c>
    </row>
    <row r="5970" spans="37:38" s="4" customFormat="1">
      <c r="AK5970" s="3">
        <v>5964</v>
      </c>
      <c r="AL5970" s="163">
        <v>5.9274751887017931</v>
      </c>
    </row>
    <row r="5971" spans="37:38" s="4" customFormat="1">
      <c r="AK5971" s="3">
        <v>5965</v>
      </c>
      <c r="AL5971" s="163">
        <v>5.9283826266370205</v>
      </c>
    </row>
    <row r="5972" spans="37:38" s="4" customFormat="1">
      <c r="AK5972" s="3">
        <v>5966</v>
      </c>
      <c r="AL5972" s="163">
        <v>5.9292898741372877</v>
      </c>
    </row>
    <row r="5973" spans="37:38" s="4" customFormat="1">
      <c r="AK5973" s="3">
        <v>5967</v>
      </c>
      <c r="AL5973" s="163">
        <v>5.9301969310414915</v>
      </c>
    </row>
    <row r="5974" spans="37:38" s="4" customFormat="1">
      <c r="AK5974" s="3">
        <v>5968</v>
      </c>
      <c r="AL5974" s="163">
        <v>5.9311037971886762</v>
      </c>
    </row>
    <row r="5975" spans="37:38" s="4" customFormat="1">
      <c r="AK5975" s="3">
        <v>5969</v>
      </c>
      <c r="AL5975" s="163">
        <v>5.9320104724181082</v>
      </c>
    </row>
    <row r="5976" spans="37:38" s="4" customFormat="1">
      <c r="AK5976" s="3">
        <v>5970</v>
      </c>
      <c r="AL5976" s="163">
        <v>5.9329169565691426</v>
      </c>
    </row>
    <row r="5977" spans="37:38" s="4" customFormat="1">
      <c r="AK5977" s="3">
        <v>5971</v>
      </c>
      <c r="AL5977" s="163">
        <v>5.933823249481371</v>
      </c>
    </row>
    <row r="5978" spans="37:38" s="4" customFormat="1">
      <c r="AK5978" s="3">
        <v>5972</v>
      </c>
      <c r="AL5978" s="163">
        <v>5.9347293509945604</v>
      </c>
    </row>
    <row r="5979" spans="37:38" s="4" customFormat="1">
      <c r="AK5979" s="3">
        <v>5973</v>
      </c>
      <c r="AL5979" s="163">
        <v>5.9356352609485796</v>
      </c>
    </row>
    <row r="5980" spans="37:38" s="4" customFormat="1">
      <c r="AK5980" s="3">
        <v>5974</v>
      </c>
      <c r="AL5980" s="163">
        <v>5.9365409791835191</v>
      </c>
    </row>
    <row r="5981" spans="37:38" s="4" customFormat="1">
      <c r="AK5981" s="3">
        <v>5975</v>
      </c>
      <c r="AL5981" s="163">
        <v>5.9374465055396062</v>
      </c>
    </row>
    <row r="5982" spans="37:38" s="4" customFormat="1">
      <c r="AK5982" s="3">
        <v>5976</v>
      </c>
      <c r="AL5982" s="163">
        <v>5.938351839857269</v>
      </c>
    </row>
    <row r="5983" spans="37:38" s="4" customFormat="1">
      <c r="AK5983" s="3">
        <v>5977</v>
      </c>
      <c r="AL5983" s="163">
        <v>5.9392569819770795</v>
      </c>
    </row>
    <row r="5984" spans="37:38" s="4" customFormat="1">
      <c r="AK5984" s="3">
        <v>5978</v>
      </c>
      <c r="AL5984" s="163">
        <v>5.9401619317397909</v>
      </c>
    </row>
    <row r="5985" spans="37:38" s="4" customFormat="1">
      <c r="AK5985" s="3">
        <v>5979</v>
      </c>
      <c r="AL5985" s="163">
        <v>5.9410666889863286</v>
      </c>
    </row>
    <row r="5986" spans="37:38" s="4" customFormat="1">
      <c r="AK5986" s="3">
        <v>5980</v>
      </c>
      <c r="AL5986" s="163">
        <v>5.9419712535577514</v>
      </c>
    </row>
    <row r="5987" spans="37:38" s="4" customFormat="1">
      <c r="AK5987" s="3">
        <v>5981</v>
      </c>
      <c r="AL5987" s="163">
        <v>5.9428756252953452</v>
      </c>
    </row>
    <row r="5988" spans="37:38" s="4" customFormat="1">
      <c r="AK5988" s="3">
        <v>5982</v>
      </c>
      <c r="AL5988" s="163">
        <v>5.9437798040405188</v>
      </c>
    </row>
    <row r="5989" spans="37:38" s="4" customFormat="1">
      <c r="AK5989" s="3">
        <v>5983</v>
      </c>
      <c r="AL5989" s="163">
        <v>5.9446837896348956</v>
      </c>
    </row>
    <row r="5990" spans="37:38" s="4" customFormat="1">
      <c r="AK5990" s="3">
        <v>5984</v>
      </c>
      <c r="AL5990" s="163">
        <v>5.9455875819202166</v>
      </c>
    </row>
    <row r="5991" spans="37:38" s="4" customFormat="1">
      <c r="AK5991" s="3">
        <v>5985</v>
      </c>
      <c r="AL5991" s="163">
        <v>5.946491180738434</v>
      </c>
    </row>
    <row r="5992" spans="37:38" s="4" customFormat="1">
      <c r="AK5992" s="3">
        <v>5986</v>
      </c>
      <c r="AL5992" s="163">
        <v>5.9473945859316331</v>
      </c>
    </row>
    <row r="5993" spans="37:38" s="4" customFormat="1">
      <c r="AK5993" s="3">
        <v>5987</v>
      </c>
      <c r="AL5993" s="163">
        <v>5.9482977973421232</v>
      </c>
    </row>
    <row r="5994" spans="37:38" s="4" customFormat="1">
      <c r="AK5994" s="3">
        <v>5988</v>
      </c>
      <c r="AL5994" s="163">
        <v>5.9492008148123592</v>
      </c>
    </row>
    <row r="5995" spans="37:38" s="4" customFormat="1">
      <c r="AK5995" s="3">
        <v>5989</v>
      </c>
      <c r="AL5995" s="163">
        <v>5.9501036381849239</v>
      </c>
    </row>
    <row r="5996" spans="37:38" s="4" customFormat="1">
      <c r="AK5996" s="3">
        <v>5990</v>
      </c>
      <c r="AL5996" s="163">
        <v>5.9510062673026258</v>
      </c>
    </row>
    <row r="5997" spans="37:38" s="4" customFormat="1">
      <c r="AK5997" s="3">
        <v>5991</v>
      </c>
      <c r="AL5997" s="163">
        <v>5.9519087020084473</v>
      </c>
    </row>
    <row r="5998" spans="37:38" s="4" customFormat="1">
      <c r="AK5998" s="3">
        <v>5992</v>
      </c>
      <c r="AL5998" s="163">
        <v>5.9528109421455078</v>
      </c>
    </row>
    <row r="5999" spans="37:38" s="4" customFormat="1">
      <c r="AK5999" s="3">
        <v>5993</v>
      </c>
      <c r="AL5999" s="163">
        <v>5.9537129875571146</v>
      </c>
    </row>
    <row r="6000" spans="37:38" s="4" customFormat="1">
      <c r="AK6000" s="3">
        <v>5994</v>
      </c>
      <c r="AL6000" s="163">
        <v>5.9546148380867496</v>
      </c>
    </row>
    <row r="6001" spans="37:38" s="4" customFormat="1">
      <c r="AK6001" s="3">
        <v>5995</v>
      </c>
      <c r="AL6001" s="163">
        <v>5.955516493578056</v>
      </c>
    </row>
    <row r="6002" spans="37:38" s="4" customFormat="1">
      <c r="AK6002" s="3">
        <v>5996</v>
      </c>
      <c r="AL6002" s="163">
        <v>5.9564179538748796</v>
      </c>
    </row>
    <row r="6003" spans="37:38" s="4" customFormat="1">
      <c r="AK6003" s="3">
        <v>5997</v>
      </c>
      <c r="AL6003" s="163">
        <v>5.9573192188211888</v>
      </c>
    </row>
    <row r="6004" spans="37:38" s="4" customFormat="1">
      <c r="AK6004" s="3">
        <v>5998</v>
      </c>
      <c r="AL6004" s="163">
        <v>5.9582202882611881</v>
      </c>
    </row>
    <row r="6005" spans="37:38" s="4" customFormat="1">
      <c r="AK6005" s="3">
        <v>5999</v>
      </c>
      <c r="AL6005" s="163">
        <v>5.9591211620391693</v>
      </c>
    </row>
    <row r="6006" spans="37:38" s="4" customFormat="1">
      <c r="AK6006" s="3">
        <v>6000</v>
      </c>
      <c r="AL6006" s="163">
        <v>5.9600218399997065</v>
      </c>
    </row>
    <row r="6007" spans="37:38" s="4" customFormat="1">
      <c r="AK6007" s="3">
        <v>6001</v>
      </c>
      <c r="AL6007" s="163">
        <v>5.9609223219874448</v>
      </c>
    </row>
    <row r="6008" spans="37:38" s="4" customFormat="1">
      <c r="AK6008" s="3">
        <v>6002</v>
      </c>
      <c r="AL6008" s="163">
        <v>5.9618226078472443</v>
      </c>
    </row>
    <row r="6009" spans="37:38" s="4" customFormat="1">
      <c r="AK6009" s="3">
        <v>6003</v>
      </c>
      <c r="AL6009" s="163">
        <v>5.9627226974241694</v>
      </c>
    </row>
    <row r="6010" spans="37:38" s="4" customFormat="1">
      <c r="AK6010" s="3">
        <v>6004</v>
      </c>
      <c r="AL6010" s="163">
        <v>5.9636225905634195</v>
      </c>
    </row>
    <row r="6011" spans="37:38" s="4" customFormat="1">
      <c r="AK6011" s="3">
        <v>6005</v>
      </c>
      <c r="AL6011" s="163">
        <v>5.9645222871103769</v>
      </c>
    </row>
    <row r="6012" spans="37:38" s="4" customFormat="1">
      <c r="AK6012" s="3">
        <v>6006</v>
      </c>
      <c r="AL6012" s="163">
        <v>5.9654217869105963</v>
      </c>
    </row>
    <row r="6013" spans="37:38" s="4" customFormat="1">
      <c r="AK6013" s="3">
        <v>6007</v>
      </c>
      <c r="AL6013" s="163">
        <v>5.9663210898097851</v>
      </c>
    </row>
    <row r="6014" spans="37:38" s="4" customFormat="1">
      <c r="AK6014" s="3">
        <v>6008</v>
      </c>
      <c r="AL6014" s="163">
        <v>5.9672201956538871</v>
      </c>
    </row>
    <row r="6015" spans="37:38" s="4" customFormat="1">
      <c r="AK6015" s="3">
        <v>6009</v>
      </c>
      <c r="AL6015" s="163">
        <v>5.9681191042890038</v>
      </c>
    </row>
    <row r="6016" spans="37:38" s="4" customFormat="1">
      <c r="AK6016" s="3">
        <v>6010</v>
      </c>
      <c r="AL6016" s="163">
        <v>5.9690178155613243</v>
      </c>
    </row>
    <row r="6017" spans="37:38" s="4" customFormat="1">
      <c r="AK6017" s="3">
        <v>6011</v>
      </c>
      <c r="AL6017" s="163">
        <v>5.9699163293173392</v>
      </c>
    </row>
    <row r="6018" spans="37:38" s="4" customFormat="1">
      <c r="AK6018" s="3">
        <v>6012</v>
      </c>
      <c r="AL6018" s="163">
        <v>5.9708146454036246</v>
      </c>
    </row>
    <row r="6019" spans="37:38" s="4" customFormat="1">
      <c r="AK6019" s="3">
        <v>6013</v>
      </c>
      <c r="AL6019" s="163">
        <v>5.9717127636669627</v>
      </c>
    </row>
    <row r="6020" spans="37:38" s="4" customFormat="1">
      <c r="AK6020" s="3">
        <v>6014</v>
      </c>
      <c r="AL6020" s="163">
        <v>5.9726106839543238</v>
      </c>
    </row>
    <row r="6021" spans="37:38" s="4" customFormat="1">
      <c r="AK6021" s="3">
        <v>6015</v>
      </c>
      <c r="AL6021" s="163">
        <v>5.9735084061128365</v>
      </c>
    </row>
    <row r="6022" spans="37:38" s="4" customFormat="1">
      <c r="AK6022" s="3">
        <v>6016</v>
      </c>
      <c r="AL6022" s="163">
        <v>5.9744059299898371</v>
      </c>
    </row>
    <row r="6023" spans="37:38" s="4" customFormat="1">
      <c r="AK6023" s="3">
        <v>6017</v>
      </c>
      <c r="AL6023" s="163">
        <v>5.9753032554327472</v>
      </c>
    </row>
    <row r="6024" spans="37:38" s="4" customFormat="1">
      <c r="AK6024" s="3">
        <v>6018</v>
      </c>
      <c r="AL6024" s="163">
        <v>5.9762003822892851</v>
      </c>
    </row>
    <row r="6025" spans="37:38" s="4" customFormat="1">
      <c r="AK6025" s="3">
        <v>6019</v>
      </c>
      <c r="AL6025" s="163">
        <v>5.9770973104072773</v>
      </c>
    </row>
    <row r="6026" spans="37:38" s="4" customFormat="1">
      <c r="AK6026" s="3">
        <v>6020</v>
      </c>
      <c r="AL6026" s="163">
        <v>5.9779940396347389</v>
      </c>
    </row>
    <row r="6027" spans="37:38" s="4" customFormat="1">
      <c r="AK6027" s="3">
        <v>6021</v>
      </c>
      <c r="AL6027" s="163">
        <v>5.9788905698198445</v>
      </c>
    </row>
    <row r="6028" spans="37:38" s="4" customFormat="1">
      <c r="AK6028" s="3">
        <v>6022</v>
      </c>
      <c r="AL6028" s="163">
        <v>5.9797869008110034</v>
      </c>
    </row>
    <row r="6029" spans="37:38" s="4" customFormat="1">
      <c r="AK6029" s="3">
        <v>6023</v>
      </c>
      <c r="AL6029" s="163">
        <v>5.9806830324567208</v>
      </c>
    </row>
    <row r="6030" spans="37:38" s="4" customFormat="1">
      <c r="AK6030" s="3">
        <v>6024</v>
      </c>
      <c r="AL6030" s="163">
        <v>5.9815789646057489</v>
      </c>
    </row>
    <row r="6031" spans="37:38" s="4" customFormat="1">
      <c r="AK6031" s="3">
        <v>6025</v>
      </c>
      <c r="AL6031" s="163">
        <v>5.9824746971069871</v>
      </c>
    </row>
    <row r="6032" spans="37:38" s="4" customFormat="1">
      <c r="AK6032" s="3">
        <v>6026</v>
      </c>
      <c r="AL6032" s="163">
        <v>5.9833702298095073</v>
      </c>
    </row>
    <row r="6033" spans="37:38" s="4" customFormat="1">
      <c r="AK6033" s="3">
        <v>6027</v>
      </c>
      <c r="AL6033" s="163">
        <v>5.9842655625625465</v>
      </c>
    </row>
    <row r="6034" spans="37:38" s="4" customFormat="1">
      <c r="AK6034" s="3">
        <v>6028</v>
      </c>
      <c r="AL6034" s="163">
        <v>5.9851606952156082</v>
      </c>
    </row>
    <row r="6035" spans="37:38" s="4" customFormat="1">
      <c r="AK6035" s="3">
        <v>6029</v>
      </c>
      <c r="AL6035" s="163">
        <v>5.9860556276182457</v>
      </c>
    </row>
    <row r="6036" spans="37:38" s="4" customFormat="1">
      <c r="AK6036" s="3">
        <v>6030</v>
      </c>
      <c r="AL6036" s="163">
        <v>5.9869503596202733</v>
      </c>
    </row>
    <row r="6037" spans="37:38" s="4" customFormat="1">
      <c r="AK6037" s="3">
        <v>6031</v>
      </c>
      <c r="AL6037" s="163">
        <v>5.9878448910716653</v>
      </c>
    </row>
    <row r="6038" spans="37:38" s="4" customFormat="1">
      <c r="AK6038" s="3">
        <v>6032</v>
      </c>
      <c r="AL6038" s="163">
        <v>5.9887392218225841</v>
      </c>
    </row>
    <row r="6039" spans="37:38" s="4" customFormat="1">
      <c r="AK6039" s="3">
        <v>6033</v>
      </c>
      <c r="AL6039" s="163">
        <v>5.989633351723322</v>
      </c>
    </row>
    <row r="6040" spans="37:38" s="4" customFormat="1">
      <c r="AK6040" s="3">
        <v>6034</v>
      </c>
      <c r="AL6040" s="163">
        <v>5.9905272806244323</v>
      </c>
    </row>
    <row r="6041" spans="37:38" s="4" customFormat="1">
      <c r="AK6041" s="3">
        <v>6035</v>
      </c>
      <c r="AL6041" s="163">
        <v>5.9914210083765997</v>
      </c>
    </row>
    <row r="6042" spans="37:38" s="4" customFormat="1">
      <c r="AK6042" s="3">
        <v>6036</v>
      </c>
      <c r="AL6042" s="163">
        <v>5.992314534830669</v>
      </c>
    </row>
    <row r="6043" spans="37:38" s="4" customFormat="1">
      <c r="AK6043" s="3">
        <v>6037</v>
      </c>
      <c r="AL6043" s="163">
        <v>5.9932078598377174</v>
      </c>
    </row>
    <row r="6044" spans="37:38" s="4" customFormat="1">
      <c r="AK6044" s="3">
        <v>6038</v>
      </c>
      <c r="AL6044" s="163">
        <v>5.9941009832489538</v>
      </c>
    </row>
    <row r="6045" spans="37:38" s="4" customFormat="1">
      <c r="AK6045" s="3">
        <v>6039</v>
      </c>
      <c r="AL6045" s="163">
        <v>5.9949939049157983</v>
      </c>
    </row>
    <row r="6046" spans="37:38" s="4" customFormat="1">
      <c r="AK6046" s="3">
        <v>6040</v>
      </c>
      <c r="AL6046" s="163">
        <v>5.9958866246898275</v>
      </c>
    </row>
    <row r="6047" spans="37:38" s="4" customFormat="1">
      <c r="AK6047" s="3">
        <v>6041</v>
      </c>
      <c r="AL6047" s="163">
        <v>5.9967791424228327</v>
      </c>
    </row>
    <row r="6048" spans="37:38" s="4" customFormat="1">
      <c r="AK6048" s="3">
        <v>6042</v>
      </c>
      <c r="AL6048" s="163">
        <v>5.9976714579667529</v>
      </c>
    </row>
    <row r="6049" spans="37:38" s="4" customFormat="1">
      <c r="AK6049" s="3">
        <v>6043</v>
      </c>
      <c r="AL6049" s="163">
        <v>5.9985635711737277</v>
      </c>
    </row>
    <row r="6050" spans="37:38" s="4" customFormat="1">
      <c r="AK6050" s="3">
        <v>6044</v>
      </c>
      <c r="AL6050" s="163">
        <v>5.9994554818960619</v>
      </c>
    </row>
    <row r="6051" spans="37:38" s="4" customFormat="1">
      <c r="AK6051" s="3">
        <v>6045</v>
      </c>
      <c r="AL6051" s="163">
        <v>6.0003471899862593</v>
      </c>
    </row>
    <row r="6052" spans="37:38" s="4" customFormat="1">
      <c r="AK6052" s="3">
        <v>6046</v>
      </c>
      <c r="AL6052" s="163">
        <v>6.0012386952969994</v>
      </c>
    </row>
    <row r="6053" spans="37:38" s="4" customFormat="1">
      <c r="AK6053" s="3">
        <v>6047</v>
      </c>
      <c r="AL6053" s="163">
        <v>6.0021299976811235</v>
      </c>
    </row>
    <row r="6054" spans="37:38" s="4" customFormat="1">
      <c r="AK6054" s="3">
        <v>6048</v>
      </c>
      <c r="AL6054" s="163">
        <v>6.003021096991688</v>
      </c>
    </row>
    <row r="6055" spans="37:38" s="4" customFormat="1">
      <c r="AK6055" s="3">
        <v>6049</v>
      </c>
      <c r="AL6055" s="163">
        <v>6.0039119930819194</v>
      </c>
    </row>
    <row r="6056" spans="37:38" s="4" customFormat="1">
      <c r="AK6056" s="3">
        <v>6050</v>
      </c>
      <c r="AL6056" s="163">
        <v>6.0048026858052115</v>
      </c>
    </row>
    <row r="6057" spans="37:38" s="4" customFormat="1">
      <c r="AK6057" s="3">
        <v>6051</v>
      </c>
      <c r="AL6057" s="163">
        <v>6.0056931750151445</v>
      </c>
    </row>
    <row r="6058" spans="37:38" s="4" customFormat="1">
      <c r="AK6058" s="3">
        <v>6052</v>
      </c>
      <c r="AL6058" s="163">
        <v>6.0065834605655049</v>
      </c>
    </row>
    <row r="6059" spans="37:38" s="4" customFormat="1">
      <c r="AK6059" s="3">
        <v>6053</v>
      </c>
      <c r="AL6059" s="163">
        <v>6.0074735423102368</v>
      </c>
    </row>
    <row r="6060" spans="37:38" s="4" customFormat="1">
      <c r="AK6060" s="3">
        <v>6054</v>
      </c>
      <c r="AL6060" s="163">
        <v>6.0083634201034943</v>
      </c>
    </row>
    <row r="6061" spans="37:38" s="4" customFormat="1">
      <c r="AK6061" s="3">
        <v>6055</v>
      </c>
      <c r="AL6061" s="163">
        <v>6.0092530937995718</v>
      </c>
    </row>
    <row r="6062" spans="37:38" s="4" customFormat="1">
      <c r="AK6062" s="3">
        <v>6056</v>
      </c>
      <c r="AL6062" s="163">
        <v>6.0101425632529715</v>
      </c>
    </row>
    <row r="6063" spans="37:38" s="4" customFormat="1">
      <c r="AK6063" s="3">
        <v>6057</v>
      </c>
      <c r="AL6063" s="163">
        <v>6.0110318283183979</v>
      </c>
    </row>
    <row r="6064" spans="37:38" s="4" customFormat="1">
      <c r="AK6064" s="3">
        <v>6058</v>
      </c>
      <c r="AL6064" s="163">
        <v>6.0119208888507121</v>
      </c>
    </row>
    <row r="6065" spans="37:38" s="4" customFormat="1">
      <c r="AK6065" s="3">
        <v>6059</v>
      </c>
      <c r="AL6065" s="163">
        <v>6.0128097447049615</v>
      </c>
    </row>
    <row r="6066" spans="37:38" s="4" customFormat="1">
      <c r="AK6066" s="3">
        <v>6060</v>
      </c>
      <c r="AL6066" s="163">
        <v>6.0136983957364212</v>
      </c>
    </row>
    <row r="6067" spans="37:38" s="4" customFormat="1">
      <c r="AK6067" s="3">
        <v>6061</v>
      </c>
      <c r="AL6067" s="163">
        <v>6.014586841800444</v>
      </c>
    </row>
    <row r="6068" spans="37:38" s="4" customFormat="1">
      <c r="AK6068" s="3">
        <v>6062</v>
      </c>
      <c r="AL6068" s="163">
        <v>6.0154750827526957</v>
      </c>
    </row>
    <row r="6069" spans="37:38" s="4" customFormat="1">
      <c r="AK6069" s="3">
        <v>6063</v>
      </c>
      <c r="AL6069" s="163">
        <v>6.0163631184489361</v>
      </c>
    </row>
    <row r="6070" spans="37:38" s="4" customFormat="1">
      <c r="AK6070" s="3">
        <v>6064</v>
      </c>
      <c r="AL6070" s="163">
        <v>6.017250948745156</v>
      </c>
    </row>
    <row r="6071" spans="37:38" s="4" customFormat="1">
      <c r="AK6071" s="3">
        <v>6065</v>
      </c>
      <c r="AL6071" s="163">
        <v>6.0181385734975148</v>
      </c>
    </row>
    <row r="6072" spans="37:38" s="4" customFormat="1">
      <c r="AK6072" s="3">
        <v>6066</v>
      </c>
      <c r="AL6072" s="163">
        <v>6.0190259925623728</v>
      </c>
    </row>
    <row r="6073" spans="37:38" s="4" customFormat="1">
      <c r="AK6073" s="3">
        <v>6067</v>
      </c>
      <c r="AL6073" s="163">
        <v>6.0199132057962377</v>
      </c>
    </row>
    <row r="6074" spans="37:38" s="4" customFormat="1">
      <c r="AK6074" s="3">
        <v>6068</v>
      </c>
      <c r="AL6074" s="163">
        <v>6.0208002130558356</v>
      </c>
    </row>
    <row r="6075" spans="37:38" s="4" customFormat="1">
      <c r="AK6075" s="3">
        <v>6069</v>
      </c>
      <c r="AL6075" s="163">
        <v>6.0216870141980792</v>
      </c>
    </row>
    <row r="6076" spans="37:38" s="4" customFormat="1">
      <c r="AK6076" s="3">
        <v>6070</v>
      </c>
      <c r="AL6076" s="163">
        <v>6.0225736090800392</v>
      </c>
    </row>
    <row r="6077" spans="37:38" s="4" customFormat="1">
      <c r="AK6077" s="3">
        <v>6071</v>
      </c>
      <c r="AL6077" s="163">
        <v>6.0234599975590051</v>
      </c>
    </row>
    <row r="6078" spans="37:38" s="4" customFormat="1">
      <c r="AK6078" s="3">
        <v>6072</v>
      </c>
      <c r="AL6078" s="163">
        <v>6.0243461794924471</v>
      </c>
    </row>
    <row r="6079" spans="37:38" s="4" customFormat="1">
      <c r="AK6079" s="3">
        <v>6073</v>
      </c>
      <c r="AL6079" s="163">
        <v>6.0252321547379921</v>
      </c>
    </row>
    <row r="6080" spans="37:38" s="4" customFormat="1">
      <c r="AK6080" s="3">
        <v>6074</v>
      </c>
      <c r="AL6080" s="163">
        <v>6.02611792315348</v>
      </c>
    </row>
    <row r="6081" spans="37:38" s="4" customFormat="1">
      <c r="AK6081" s="3">
        <v>6075</v>
      </c>
      <c r="AL6081" s="163">
        <v>6.027003484596948</v>
      </c>
    </row>
    <row r="6082" spans="37:38" s="4" customFormat="1">
      <c r="AK6082" s="3">
        <v>6076</v>
      </c>
      <c r="AL6082" s="163">
        <v>6.027888838926577</v>
      </c>
    </row>
    <row r="6083" spans="37:38" s="4" customFormat="1">
      <c r="AK6083" s="3">
        <v>6077</v>
      </c>
      <c r="AL6083" s="163">
        <v>6.0287739860008056</v>
      </c>
    </row>
    <row r="6084" spans="37:38" s="4" customFormat="1">
      <c r="AK6084" s="3">
        <v>6078</v>
      </c>
      <c r="AL6084" s="163">
        <v>6.0296589256781825</v>
      </c>
    </row>
    <row r="6085" spans="37:38" s="4" customFormat="1">
      <c r="AK6085" s="3">
        <v>6079</v>
      </c>
      <c r="AL6085" s="163">
        <v>6.0305436578174856</v>
      </c>
    </row>
    <row r="6086" spans="37:38" s="4" customFormat="1">
      <c r="AK6086" s="3">
        <v>6080</v>
      </c>
      <c r="AL6086" s="163">
        <v>6.0314281822776774</v>
      </c>
    </row>
    <row r="6087" spans="37:38" s="4" customFormat="1">
      <c r="AK6087" s="3">
        <v>6081</v>
      </c>
      <c r="AL6087" s="163">
        <v>6.032312498917916</v>
      </c>
    </row>
    <row r="6088" spans="37:38" s="4" customFormat="1">
      <c r="AK6088" s="3">
        <v>6082</v>
      </c>
      <c r="AL6088" s="163">
        <v>6.0331966075975156</v>
      </c>
    </row>
    <row r="6089" spans="37:38" s="4" customFormat="1">
      <c r="AK6089" s="3">
        <v>6083</v>
      </c>
      <c r="AL6089" s="163">
        <v>6.0340805081760056</v>
      </c>
    </row>
    <row r="6090" spans="37:38" s="4" customFormat="1">
      <c r="AK6090" s="3">
        <v>6084</v>
      </c>
      <c r="AL6090" s="163">
        <v>6.0349642005131141</v>
      </c>
    </row>
    <row r="6091" spans="37:38" s="4" customFormat="1">
      <c r="AK6091" s="3">
        <v>6085</v>
      </c>
      <c r="AL6091" s="163">
        <v>6.0358476844687363</v>
      </c>
    </row>
    <row r="6092" spans="37:38" s="4" customFormat="1">
      <c r="AK6092" s="3">
        <v>6086</v>
      </c>
      <c r="AL6092" s="163">
        <v>6.0367309599029397</v>
      </c>
    </row>
    <row r="6093" spans="37:38" s="4" customFormat="1">
      <c r="AK6093" s="3">
        <v>6087</v>
      </c>
      <c r="AL6093" s="163">
        <v>6.0376140266760281</v>
      </c>
    </row>
    <row r="6094" spans="37:38" s="4" customFormat="1">
      <c r="AK6094" s="3">
        <v>6088</v>
      </c>
      <c r="AL6094" s="163">
        <v>6.0384968846484668</v>
      </c>
    </row>
    <row r="6095" spans="37:38" s="4" customFormat="1">
      <c r="AK6095" s="3">
        <v>6089</v>
      </c>
      <c r="AL6095" s="163">
        <v>6.0393795336808971</v>
      </c>
    </row>
    <row r="6096" spans="37:38" s="4" customFormat="1">
      <c r="AK6096" s="3">
        <v>6090</v>
      </c>
      <c r="AL6096" s="163">
        <v>6.0402619736341894</v>
      </c>
    </row>
    <row r="6097" spans="37:38" s="4" customFormat="1">
      <c r="AK6097" s="3">
        <v>6091</v>
      </c>
      <c r="AL6097" s="163">
        <v>6.0411442043693615</v>
      </c>
    </row>
    <row r="6098" spans="37:38" s="4" customFormat="1">
      <c r="AK6098" s="3">
        <v>6092</v>
      </c>
      <c r="AL6098" s="163">
        <v>6.0420262257476374</v>
      </c>
    </row>
    <row r="6099" spans="37:38" s="4" customFormat="1">
      <c r="AK6099" s="3">
        <v>6093</v>
      </c>
      <c r="AL6099" s="163">
        <v>6.0429080376304611</v>
      </c>
    </row>
    <row r="6100" spans="37:38" s="4" customFormat="1">
      <c r="AK6100" s="3">
        <v>6094</v>
      </c>
      <c r="AL6100" s="163">
        <v>6.0437896398794066</v>
      </c>
    </row>
    <row r="6101" spans="37:38" s="4" customFormat="1">
      <c r="AK6101" s="3">
        <v>6095</v>
      </c>
      <c r="AL6101" s="163">
        <v>6.0446710323563</v>
      </c>
    </row>
    <row r="6102" spans="37:38" s="4" customFormat="1">
      <c r="AK6102" s="3">
        <v>6096</v>
      </c>
      <c r="AL6102" s="163">
        <v>6.0455522149231058</v>
      </c>
    </row>
    <row r="6103" spans="37:38" s="4" customFormat="1">
      <c r="AK6103" s="3">
        <v>6097</v>
      </c>
      <c r="AL6103" s="163">
        <v>6.0464331874420338</v>
      </c>
    </row>
    <row r="6104" spans="37:38" s="4" customFormat="1">
      <c r="AK6104" s="3">
        <v>6098</v>
      </c>
      <c r="AL6104" s="163">
        <v>6.0473139497754271</v>
      </c>
    </row>
    <row r="6105" spans="37:38" s="4" customFormat="1">
      <c r="AK6105" s="3">
        <v>6099</v>
      </c>
      <c r="AL6105" s="163">
        <v>6.0481945017858632</v>
      </c>
    </row>
    <row r="6106" spans="37:38" s="4" customFormat="1">
      <c r="AK6106" s="3">
        <v>6100</v>
      </c>
      <c r="AL6106" s="163">
        <v>6.0490748433360952</v>
      </c>
    </row>
    <row r="6107" spans="37:38" s="4" customFormat="1">
      <c r="AK6107" s="3">
        <v>6101</v>
      </c>
      <c r="AL6107" s="163">
        <v>6.0499549742890508</v>
      </c>
    </row>
    <row r="6108" spans="37:38" s="4" customFormat="1">
      <c r="AK6108" s="3">
        <v>6102</v>
      </c>
      <c r="AL6108" s="163">
        <v>6.0508348945078883</v>
      </c>
    </row>
    <row r="6109" spans="37:38" s="4" customFormat="1">
      <c r="AK6109" s="3">
        <v>6103</v>
      </c>
      <c r="AL6109" s="163">
        <v>6.051714603855924</v>
      </c>
    </row>
    <row r="6110" spans="37:38" s="4" customFormat="1">
      <c r="AK6110" s="3">
        <v>6104</v>
      </c>
      <c r="AL6110" s="163">
        <v>6.052594102196684</v>
      </c>
    </row>
    <row r="6111" spans="37:38" s="4" customFormat="1">
      <c r="AK6111" s="3">
        <v>6105</v>
      </c>
      <c r="AL6111" s="163">
        <v>6.0534733893938864</v>
      </c>
    </row>
    <row r="6112" spans="37:38" s="4" customFormat="1">
      <c r="AK6112" s="3">
        <v>6106</v>
      </c>
      <c r="AL6112" s="163">
        <v>6.0543524653114265</v>
      </c>
    </row>
    <row r="6113" spans="37:38" s="4" customFormat="1">
      <c r="AK6113" s="3">
        <v>6107</v>
      </c>
      <c r="AL6113" s="163">
        <v>6.0552313298134202</v>
      </c>
    </row>
    <row r="6114" spans="37:38" s="4" customFormat="1">
      <c r="AK6114" s="3">
        <v>6108</v>
      </c>
      <c r="AL6114" s="163">
        <v>6.056109982764136</v>
      </c>
    </row>
    <row r="6115" spans="37:38" s="4" customFormat="1">
      <c r="AK6115" s="3">
        <v>6109</v>
      </c>
      <c r="AL6115" s="163">
        <v>6.056988424028086</v>
      </c>
    </row>
    <row r="6116" spans="37:38" s="4" customFormat="1">
      <c r="AK6116" s="3">
        <v>6110</v>
      </c>
      <c r="AL6116" s="163">
        <v>6.057866653469949</v>
      </c>
    </row>
    <row r="6117" spans="37:38" s="4" customFormat="1">
      <c r="AK6117" s="3">
        <v>6111</v>
      </c>
      <c r="AL6117" s="163">
        <v>6.0587446709545549</v>
      </c>
    </row>
    <row r="6118" spans="37:38" s="4" customFormat="1">
      <c r="AK6118" s="3">
        <v>6112</v>
      </c>
      <c r="AL6118" s="163">
        <v>6.0596224763470143</v>
      </c>
    </row>
    <row r="6119" spans="37:38" s="4" customFormat="1">
      <c r="AK6119" s="3">
        <v>6113</v>
      </c>
      <c r="AL6119" s="163">
        <v>6.0605000695125408</v>
      </c>
    </row>
    <row r="6120" spans="37:38" s="4" customFormat="1">
      <c r="AK6120" s="3">
        <v>6114</v>
      </c>
      <c r="AL6120" s="163">
        <v>6.061377450316634</v>
      </c>
    </row>
    <row r="6121" spans="37:38" s="4" customFormat="1">
      <c r="AK6121" s="3">
        <v>6115</v>
      </c>
      <c r="AL6121" s="163">
        <v>6.0622546186249373</v>
      </c>
    </row>
    <row r="6122" spans="37:38" s="4" customFormat="1">
      <c r="AK6122" s="3">
        <v>6116</v>
      </c>
      <c r="AL6122" s="163">
        <v>6.0631315743032772</v>
      </c>
    </row>
    <row r="6123" spans="37:38" s="4" customFormat="1">
      <c r="AK6123" s="3">
        <v>6117</v>
      </c>
      <c r="AL6123" s="163">
        <v>6.0640083172176915</v>
      </c>
    </row>
    <row r="6124" spans="37:38" s="4" customFormat="1">
      <c r="AK6124" s="3">
        <v>6118</v>
      </c>
      <c r="AL6124" s="163">
        <v>6.0648848472343939</v>
      </c>
    </row>
    <row r="6125" spans="37:38" s="4" customFormat="1">
      <c r="AK6125" s="3">
        <v>6119</v>
      </c>
      <c r="AL6125" s="163">
        <v>6.0657611642198486</v>
      </c>
    </row>
    <row r="6126" spans="37:38" s="4" customFormat="1">
      <c r="AK6126" s="3">
        <v>6120</v>
      </c>
      <c r="AL6126" s="163">
        <v>6.0666372680406511</v>
      </c>
    </row>
    <row r="6127" spans="37:38" s="4" customFormat="1">
      <c r="AK6127" s="3">
        <v>6121</v>
      </c>
      <c r="AL6127" s="163">
        <v>6.0675131585636297</v>
      </c>
    </row>
    <row r="6128" spans="37:38" s="4" customFormat="1">
      <c r="AK6128" s="3">
        <v>6122</v>
      </c>
      <c r="AL6128" s="163">
        <v>6.0683888356557851</v>
      </c>
    </row>
    <row r="6129" spans="37:38" s="4" customFormat="1">
      <c r="AK6129" s="3">
        <v>6123</v>
      </c>
      <c r="AL6129" s="163">
        <v>6.0692642991843471</v>
      </c>
    </row>
    <row r="6130" spans="37:38" s="4" customFormat="1">
      <c r="AK6130" s="3">
        <v>6124</v>
      </c>
      <c r="AL6130" s="163">
        <v>6.0701395490166909</v>
      </c>
    </row>
    <row r="6131" spans="37:38" s="4" customFormat="1">
      <c r="AK6131" s="3">
        <v>6125</v>
      </c>
      <c r="AL6131" s="163">
        <v>6.0710145850204462</v>
      </c>
    </row>
    <row r="6132" spans="37:38" s="4" customFormat="1">
      <c r="AK6132" s="3">
        <v>6126</v>
      </c>
      <c r="AL6132" s="163">
        <v>6.0718894070633773</v>
      </c>
    </row>
    <row r="6133" spans="37:38" s="4" customFormat="1">
      <c r="AK6133" s="3">
        <v>6127</v>
      </c>
      <c r="AL6133" s="163">
        <v>6.0727640150135116</v>
      </c>
    </row>
    <row r="6134" spans="37:38" s="4" customFormat="1">
      <c r="AK6134" s="3">
        <v>6128</v>
      </c>
      <c r="AL6134" s="163">
        <v>6.0736384087390114</v>
      </c>
    </row>
    <row r="6135" spans="37:38" s="4" customFormat="1">
      <c r="AK6135" s="3">
        <v>6129</v>
      </c>
      <c r="AL6135" s="163">
        <v>6.0745125881082522</v>
      </c>
    </row>
    <row r="6136" spans="37:38" s="4" customFormat="1">
      <c r="AK6136" s="3">
        <v>6130</v>
      </c>
      <c r="AL6136" s="163">
        <v>6.0753865529898636</v>
      </c>
    </row>
    <row r="6137" spans="37:38" s="4" customFormat="1">
      <c r="AK6137" s="3">
        <v>6131</v>
      </c>
      <c r="AL6137" s="163">
        <v>6.076260303252603</v>
      </c>
    </row>
    <row r="6138" spans="37:38" s="4" customFormat="1">
      <c r="AK6138" s="3">
        <v>6132</v>
      </c>
      <c r="AL6138" s="163">
        <v>6.0771338387654517</v>
      </c>
    </row>
    <row r="6139" spans="37:38" s="4" customFormat="1">
      <c r="AK6139" s="3">
        <v>6133</v>
      </c>
      <c r="AL6139" s="163">
        <v>6.0780071593975453</v>
      </c>
    </row>
    <row r="6140" spans="37:38" s="4" customFormat="1">
      <c r="AK6140" s="3">
        <v>6134</v>
      </c>
      <c r="AL6140" s="163">
        <v>6.0788802650183058</v>
      </c>
    </row>
    <row r="6141" spans="37:38" s="4" customFormat="1">
      <c r="AK6141" s="3">
        <v>6135</v>
      </c>
      <c r="AL6141" s="163">
        <v>6.0797531554972739</v>
      </c>
    </row>
    <row r="6142" spans="37:38" s="4" customFormat="1">
      <c r="AK6142" s="3">
        <v>6136</v>
      </c>
      <c r="AL6142" s="163">
        <v>6.0806258307042675</v>
      </c>
    </row>
    <row r="6143" spans="37:38" s="4" customFormat="1">
      <c r="AK6143" s="3">
        <v>6137</v>
      </c>
      <c r="AL6143" s="163">
        <v>6.0814982905091828</v>
      </c>
    </row>
    <row r="6144" spans="37:38" s="4" customFormat="1">
      <c r="AK6144" s="3">
        <v>6138</v>
      </c>
      <c r="AL6144" s="163">
        <v>6.0823705347822301</v>
      </c>
    </row>
    <row r="6145" spans="37:38" s="4" customFormat="1">
      <c r="AK6145" s="3">
        <v>6139</v>
      </c>
      <c r="AL6145" s="163">
        <v>6.0832425633937603</v>
      </c>
    </row>
    <row r="6146" spans="37:38" s="4" customFormat="1">
      <c r="AK6146" s="3">
        <v>6140</v>
      </c>
      <c r="AL6146" s="163">
        <v>6.0841143762143357</v>
      </c>
    </row>
    <row r="6147" spans="37:38" s="4" customFormat="1">
      <c r="AK6147" s="3">
        <v>6141</v>
      </c>
      <c r="AL6147" s="163">
        <v>6.0849859731147333</v>
      </c>
    </row>
    <row r="6148" spans="37:38" s="4" customFormat="1">
      <c r="AK6148" s="3">
        <v>6142</v>
      </c>
      <c r="AL6148" s="163">
        <v>6.0858573539658956</v>
      </c>
    </row>
    <row r="6149" spans="37:38" s="4" customFormat="1">
      <c r="AK6149" s="3">
        <v>6143</v>
      </c>
      <c r="AL6149" s="163">
        <v>6.0867285186389868</v>
      </c>
    </row>
    <row r="6150" spans="37:38" s="4" customFormat="1">
      <c r="AK6150" s="3">
        <v>6144</v>
      </c>
      <c r="AL6150" s="163">
        <v>6.0875994670053775</v>
      </c>
    </row>
    <row r="6151" spans="37:38" s="4" customFormat="1">
      <c r="AK6151" s="3">
        <v>6145</v>
      </c>
      <c r="AL6151" s="163">
        <v>6.0884701989366281</v>
      </c>
    </row>
    <row r="6152" spans="37:38" s="4" customFormat="1">
      <c r="AK6152" s="3">
        <v>6146</v>
      </c>
      <c r="AL6152" s="163">
        <v>6.0893407143044715</v>
      </c>
    </row>
    <row r="6153" spans="37:38" s="4" customFormat="1">
      <c r="AK6153" s="3">
        <v>6147</v>
      </c>
      <c r="AL6153" s="163">
        <v>6.0902110129809053</v>
      </c>
    </row>
    <row r="6154" spans="37:38" s="4" customFormat="1">
      <c r="AK6154" s="3">
        <v>6148</v>
      </c>
      <c r="AL6154" s="163">
        <v>6.0910810948380743</v>
      </c>
    </row>
    <row r="6155" spans="37:38" s="4" customFormat="1">
      <c r="AK6155" s="3">
        <v>6149</v>
      </c>
      <c r="AL6155" s="163">
        <v>6.0919509597483081</v>
      </c>
    </row>
    <row r="6156" spans="37:38" s="4" customFormat="1">
      <c r="AK6156" s="3">
        <v>6150</v>
      </c>
      <c r="AL6156" s="163">
        <v>6.0928206075842155</v>
      </c>
    </row>
    <row r="6157" spans="37:38" s="4" customFormat="1">
      <c r="AK6157" s="3">
        <v>6151</v>
      </c>
      <c r="AL6157" s="163">
        <v>6.0936900382185364</v>
      </c>
    </row>
    <row r="6158" spans="37:38" s="4" customFormat="1">
      <c r="AK6158" s="3">
        <v>6152</v>
      </c>
      <c r="AL6158" s="163">
        <v>6.0945592515242453</v>
      </c>
    </row>
    <row r="6159" spans="37:38" s="4" customFormat="1">
      <c r="AK6159" s="3">
        <v>6153</v>
      </c>
      <c r="AL6159" s="163">
        <v>6.0954282473744836</v>
      </c>
    </row>
    <row r="6160" spans="37:38" s="4" customFormat="1">
      <c r="AK6160" s="3">
        <v>6154</v>
      </c>
      <c r="AL6160" s="163">
        <v>6.0962970256426274</v>
      </c>
    </row>
    <row r="6161" spans="37:38" s="4" customFormat="1">
      <c r="AK6161" s="3">
        <v>6155</v>
      </c>
      <c r="AL6161" s="163">
        <v>6.0971655862022534</v>
      </c>
    </row>
    <row r="6162" spans="37:38" s="4" customFormat="1">
      <c r="AK6162" s="3">
        <v>6156</v>
      </c>
      <c r="AL6162" s="163">
        <v>6.098033928927121</v>
      </c>
    </row>
    <row r="6163" spans="37:38" s="4" customFormat="1">
      <c r="AK6163" s="3">
        <v>6157</v>
      </c>
      <c r="AL6163" s="163">
        <v>6.0989020536912086</v>
      </c>
    </row>
    <row r="6164" spans="37:38" s="4" customFormat="1">
      <c r="AK6164" s="3">
        <v>6158</v>
      </c>
      <c r="AL6164" s="163">
        <v>6.099769960368679</v>
      </c>
    </row>
    <row r="6165" spans="37:38" s="4" customFormat="1">
      <c r="AK6165" s="3">
        <v>6159</v>
      </c>
      <c r="AL6165" s="163">
        <v>6.1006376488338994</v>
      </c>
    </row>
    <row r="6166" spans="37:38" s="4" customFormat="1">
      <c r="AK6166" s="3">
        <v>6160</v>
      </c>
      <c r="AL6166" s="163">
        <v>6.1015051189614855</v>
      </c>
    </row>
    <row r="6167" spans="37:38" s="4" customFormat="1">
      <c r="AK6167" s="3">
        <v>6161</v>
      </c>
      <c r="AL6167" s="163">
        <v>6.102372370626183</v>
      </c>
    </row>
    <row r="6168" spans="37:38" s="4" customFormat="1">
      <c r="AK6168" s="3">
        <v>6162</v>
      </c>
      <c r="AL6168" s="163">
        <v>6.1032394037029984</v>
      </c>
    </row>
    <row r="6169" spans="37:38" s="4" customFormat="1">
      <c r="AK6169" s="3">
        <v>6163</v>
      </c>
      <c r="AL6169" s="163">
        <v>6.104106218067086</v>
      </c>
    </row>
    <row r="6170" spans="37:38" s="4" customFormat="1">
      <c r="AK6170" s="3">
        <v>6164</v>
      </c>
      <c r="AL6170" s="163">
        <v>6.1049728135938537</v>
      </c>
    </row>
    <row r="6171" spans="37:38" s="4" customFormat="1">
      <c r="AK6171" s="3">
        <v>6165</v>
      </c>
      <c r="AL6171" s="163">
        <v>6.1058391901589033</v>
      </c>
    </row>
    <row r="6172" spans="37:38" s="4" customFormat="1">
      <c r="AK6172" s="3">
        <v>6166</v>
      </c>
      <c r="AL6172" s="163">
        <v>6.1067053476380195</v>
      </c>
    </row>
    <row r="6173" spans="37:38" s="4" customFormat="1">
      <c r="AK6173" s="3">
        <v>6167</v>
      </c>
      <c r="AL6173" s="163">
        <v>6.1075712859072091</v>
      </c>
    </row>
    <row r="6174" spans="37:38" s="4" customFormat="1">
      <c r="AK6174" s="3">
        <v>6168</v>
      </c>
      <c r="AL6174" s="163">
        <v>6.1084370048426671</v>
      </c>
    </row>
    <row r="6175" spans="37:38" s="4" customFormat="1">
      <c r="AK6175" s="3">
        <v>6169</v>
      </c>
      <c r="AL6175" s="163">
        <v>6.1093025043208176</v>
      </c>
    </row>
    <row r="6176" spans="37:38" s="4" customFormat="1">
      <c r="AK6176" s="3">
        <v>6170</v>
      </c>
      <c r="AL6176" s="163">
        <v>6.1101677842182589</v>
      </c>
    </row>
    <row r="6177" spans="37:38" s="4" customFormat="1">
      <c r="AK6177" s="3">
        <v>6171</v>
      </c>
      <c r="AL6177" s="163">
        <v>6.1110328444118078</v>
      </c>
    </row>
    <row r="6178" spans="37:38" s="4" customFormat="1">
      <c r="AK6178" s="3">
        <v>6172</v>
      </c>
      <c r="AL6178" s="163">
        <v>6.1118976847784818</v>
      </c>
    </row>
    <row r="6179" spans="37:38" s="4" customFormat="1">
      <c r="AK6179" s="3">
        <v>6173</v>
      </c>
      <c r="AL6179" s="163">
        <v>6.1127623051955222</v>
      </c>
    </row>
    <row r="6180" spans="37:38" s="4" customFormat="1">
      <c r="AK6180" s="3">
        <v>6174</v>
      </c>
      <c r="AL6180" s="163">
        <v>6.113626705540387</v>
      </c>
    </row>
    <row r="6181" spans="37:38" s="4" customFormat="1">
      <c r="AK6181" s="3">
        <v>6175</v>
      </c>
      <c r="AL6181" s="163">
        <v>6.1144908856906675</v>
      </c>
    </row>
    <row r="6182" spans="37:38" s="4" customFormat="1">
      <c r="AK6182" s="3">
        <v>6176</v>
      </c>
      <c r="AL6182" s="163">
        <v>6.1153548455241964</v>
      </c>
    </row>
    <row r="6183" spans="37:38" s="4" customFormat="1">
      <c r="AK6183" s="3">
        <v>6177</v>
      </c>
      <c r="AL6183" s="163">
        <v>6.1162185849190642</v>
      </c>
    </row>
    <row r="6184" spans="37:38" s="4" customFormat="1">
      <c r="AK6184" s="3">
        <v>6178</v>
      </c>
      <c r="AL6184" s="163">
        <v>6.1170821037534999</v>
      </c>
    </row>
    <row r="6185" spans="37:38" s="4" customFormat="1">
      <c r="AK6185" s="3">
        <v>6179</v>
      </c>
      <c r="AL6185" s="163">
        <v>6.1179454019059598</v>
      </c>
    </row>
    <row r="6186" spans="37:38" s="4" customFormat="1">
      <c r="AK6186" s="3">
        <v>6180</v>
      </c>
      <c r="AL6186" s="163">
        <v>6.1188084792551471</v>
      </c>
    </row>
    <row r="6187" spans="37:38" s="4" customFormat="1">
      <c r="AK6187" s="3">
        <v>6181</v>
      </c>
      <c r="AL6187" s="163">
        <v>6.1196713356798931</v>
      </c>
    </row>
    <row r="6188" spans="37:38" s="4" customFormat="1">
      <c r="AK6188" s="3">
        <v>6182</v>
      </c>
      <c r="AL6188" s="163">
        <v>6.1205339710592916</v>
      </c>
    </row>
    <row r="6189" spans="37:38" s="4" customFormat="1">
      <c r="AK6189" s="3">
        <v>6183</v>
      </c>
      <c r="AL6189" s="163">
        <v>6.1213963852726252</v>
      </c>
    </row>
    <row r="6190" spans="37:38" s="4" customFormat="1">
      <c r="AK6190" s="3">
        <v>6184</v>
      </c>
      <c r="AL6190" s="163">
        <v>6.1222585781993892</v>
      </c>
    </row>
    <row r="6191" spans="37:38" s="4" customFormat="1">
      <c r="AK6191" s="3">
        <v>6185</v>
      </c>
      <c r="AL6191" s="163">
        <v>6.1231205497192764</v>
      </c>
    </row>
    <row r="6192" spans="37:38" s="4" customFormat="1">
      <c r="AK6192" s="3">
        <v>6186</v>
      </c>
      <c r="AL6192" s="163">
        <v>6.1239822997121944</v>
      </c>
    </row>
    <row r="6193" spans="37:38" s="4" customFormat="1">
      <c r="AK6193" s="3">
        <v>6187</v>
      </c>
      <c r="AL6193" s="163">
        <v>6.1248438280582587</v>
      </c>
    </row>
    <row r="6194" spans="37:38" s="4" customFormat="1">
      <c r="AK6194" s="3">
        <v>6188</v>
      </c>
      <c r="AL6194" s="163">
        <v>6.1257051346378155</v>
      </c>
    </row>
    <row r="6195" spans="37:38" s="4" customFormat="1">
      <c r="AK6195" s="3">
        <v>6189</v>
      </c>
      <c r="AL6195" s="163">
        <v>6.1265662193313641</v>
      </c>
    </row>
    <row r="6196" spans="37:38" s="4" customFormat="1">
      <c r="AK6196" s="3">
        <v>6190</v>
      </c>
      <c r="AL6196" s="163">
        <v>6.1274270820196541</v>
      </c>
    </row>
    <row r="6197" spans="37:38" s="4" customFormat="1">
      <c r="AK6197" s="3">
        <v>6191</v>
      </c>
      <c r="AL6197" s="163">
        <v>6.1282877225836199</v>
      </c>
    </row>
    <row r="6198" spans="37:38" s="4" customFormat="1">
      <c r="AK6198" s="3">
        <v>6192</v>
      </c>
      <c r="AL6198" s="163">
        <v>6.1291481409044355</v>
      </c>
    </row>
    <row r="6199" spans="37:38" s="4" customFormat="1">
      <c r="AK6199" s="3">
        <v>6193</v>
      </c>
      <c r="AL6199" s="163">
        <v>6.1300083368634439</v>
      </c>
    </row>
    <row r="6200" spans="37:38" s="4" customFormat="1">
      <c r="AK6200" s="3">
        <v>6194</v>
      </c>
      <c r="AL6200" s="163">
        <v>6.1308683103422226</v>
      </c>
    </row>
    <row r="6201" spans="37:38" s="4" customFormat="1">
      <c r="AK6201" s="3">
        <v>6195</v>
      </c>
      <c r="AL6201" s="163">
        <v>6.1317280612225513</v>
      </c>
    </row>
    <row r="6202" spans="37:38" s="4" customFormat="1">
      <c r="AK6202" s="3">
        <v>6196</v>
      </c>
      <c r="AL6202" s="163">
        <v>6.1325875893864268</v>
      </c>
    </row>
    <row r="6203" spans="37:38" s="4" customFormat="1">
      <c r="AK6203" s="3">
        <v>6197</v>
      </c>
      <c r="AL6203" s="163">
        <v>6.1334468947160516</v>
      </c>
    </row>
    <row r="6204" spans="37:38" s="4" customFormat="1">
      <c r="AK6204" s="3">
        <v>6198</v>
      </c>
      <c r="AL6204" s="163">
        <v>6.1343059770938204</v>
      </c>
    </row>
    <row r="6205" spans="37:38" s="4" customFormat="1">
      <c r="AK6205" s="3">
        <v>6199</v>
      </c>
      <c r="AL6205" s="163">
        <v>6.1351648364023443</v>
      </c>
    </row>
    <row r="6206" spans="37:38" s="4" customFormat="1">
      <c r="AK6206" s="3">
        <v>6200</v>
      </c>
      <c r="AL6206" s="163">
        <v>6.1360234725244833</v>
      </c>
    </row>
    <row r="6207" spans="37:38" s="4" customFormat="1">
      <c r="AK6207" s="3">
        <v>6201</v>
      </c>
      <c r="AL6207" s="163">
        <v>6.1368818853432465</v>
      </c>
    </row>
    <row r="6208" spans="37:38" s="4" customFormat="1">
      <c r="AK6208" s="3">
        <v>6202</v>
      </c>
      <c r="AL6208" s="163">
        <v>6.1377400747418811</v>
      </c>
    </row>
    <row r="6209" spans="37:38" s="4" customFormat="1">
      <c r="AK6209" s="3">
        <v>6203</v>
      </c>
      <c r="AL6209" s="163">
        <v>6.1385980406038581</v>
      </c>
    </row>
    <row r="6210" spans="37:38" s="4" customFormat="1">
      <c r="AK6210" s="3">
        <v>6204</v>
      </c>
      <c r="AL6210" s="163">
        <v>6.1394557828128455</v>
      </c>
    </row>
    <row r="6211" spans="37:38" s="4" customFormat="1">
      <c r="AK6211" s="3">
        <v>6205</v>
      </c>
      <c r="AL6211" s="163">
        <v>6.1403133012526983</v>
      </c>
    </row>
    <row r="6212" spans="37:38" s="4" customFormat="1">
      <c r="AK6212" s="3">
        <v>6206</v>
      </c>
      <c r="AL6212" s="163">
        <v>6.1411705958075444</v>
      </c>
    </row>
    <row r="6213" spans="37:38" s="4" customFormat="1">
      <c r="AK6213" s="3">
        <v>6207</v>
      </c>
      <c r="AL6213" s="163">
        <v>6.1420276663616811</v>
      </c>
    </row>
    <row r="6214" spans="37:38" s="4" customFormat="1">
      <c r="AK6214" s="3">
        <v>6208</v>
      </c>
      <c r="AL6214" s="163">
        <v>6.1428845127995881</v>
      </c>
    </row>
    <row r="6215" spans="37:38" s="4" customFormat="1">
      <c r="AK6215" s="3">
        <v>6209</v>
      </c>
      <c r="AL6215" s="163">
        <v>6.1437411350060191</v>
      </c>
    </row>
    <row r="6216" spans="37:38" s="4" customFormat="1">
      <c r="AK6216" s="3">
        <v>6210</v>
      </c>
      <c r="AL6216" s="163">
        <v>6.1445975328658999</v>
      </c>
    </row>
    <row r="6217" spans="37:38" s="4" customFormat="1">
      <c r="AK6217" s="3">
        <v>6211</v>
      </c>
      <c r="AL6217" s="163">
        <v>6.1454537062643819</v>
      </c>
    </row>
    <row r="6218" spans="37:38" s="4" customFormat="1">
      <c r="AK6218" s="3">
        <v>6212</v>
      </c>
      <c r="AL6218" s="163">
        <v>6.1463096550868244</v>
      </c>
    </row>
    <row r="6219" spans="37:38" s="4" customFormat="1">
      <c r="AK6219" s="3">
        <v>6213</v>
      </c>
      <c r="AL6219" s="163">
        <v>6.1471653792187926</v>
      </c>
    </row>
    <row r="6220" spans="37:38" s="4" customFormat="1">
      <c r="AK6220" s="3">
        <v>6214</v>
      </c>
      <c r="AL6220" s="163">
        <v>6.1480208785460757</v>
      </c>
    </row>
    <row r="6221" spans="37:38" s="4" customFormat="1">
      <c r="AK6221" s="3">
        <v>6215</v>
      </c>
      <c r="AL6221" s="163">
        <v>6.1488761529546778</v>
      </c>
    </row>
    <row r="6222" spans="37:38" s="4" customFormat="1">
      <c r="AK6222" s="3">
        <v>6216</v>
      </c>
      <c r="AL6222" s="163">
        <v>6.1497312023307913</v>
      </c>
    </row>
    <row r="6223" spans="37:38" s="4" customFormat="1">
      <c r="AK6223" s="3">
        <v>6217</v>
      </c>
      <c r="AL6223" s="163">
        <v>6.1505860265608447</v>
      </c>
    </row>
    <row r="6224" spans="37:38" s="4" customFormat="1">
      <c r="AK6224" s="3">
        <v>6218</v>
      </c>
      <c r="AL6224" s="163">
        <v>6.1514406255315031</v>
      </c>
    </row>
    <row r="6225" spans="37:38" s="4" customFormat="1">
      <c r="AK6225" s="3">
        <v>6219</v>
      </c>
      <c r="AL6225" s="163">
        <v>6.1522949991295821</v>
      </c>
    </row>
    <row r="6226" spans="37:38" s="4" customFormat="1">
      <c r="AK6226" s="3">
        <v>6220</v>
      </c>
      <c r="AL6226" s="163">
        <v>6.1531491472421447</v>
      </c>
    </row>
    <row r="6227" spans="37:38" s="4" customFormat="1">
      <c r="AK6227" s="3">
        <v>6221</v>
      </c>
      <c r="AL6227" s="163">
        <v>6.1540030697564774</v>
      </c>
    </row>
    <row r="6228" spans="37:38" s="4" customFormat="1">
      <c r="AK6228" s="3">
        <v>6222</v>
      </c>
      <c r="AL6228" s="163">
        <v>6.1548567665600817</v>
      </c>
    </row>
    <row r="6229" spans="37:38" s="4" customFormat="1">
      <c r="AK6229" s="3">
        <v>6223</v>
      </c>
      <c r="AL6229" s="163">
        <v>6.1557102375406263</v>
      </c>
    </row>
    <row r="6230" spans="37:38" s="4" customFormat="1">
      <c r="AK6230" s="3">
        <v>6224</v>
      </c>
      <c r="AL6230" s="163">
        <v>6.156563482586078</v>
      </c>
    </row>
    <row r="6231" spans="37:38" s="4" customFormat="1">
      <c r="AK6231" s="3">
        <v>6225</v>
      </c>
      <c r="AL6231" s="163">
        <v>6.1574165015845193</v>
      </c>
    </row>
    <row r="6232" spans="37:38" s="4" customFormat="1">
      <c r="AK6232" s="3">
        <v>6226</v>
      </c>
      <c r="AL6232" s="163">
        <v>6.1582692944243327</v>
      </c>
    </row>
    <row r="6233" spans="37:38" s="4" customFormat="1">
      <c r="AK6233" s="3">
        <v>6227</v>
      </c>
      <c r="AL6233" s="163">
        <v>6.159121860994075</v>
      </c>
    </row>
    <row r="6234" spans="37:38" s="4" customFormat="1">
      <c r="AK6234" s="3">
        <v>6228</v>
      </c>
      <c r="AL6234" s="163">
        <v>6.1599742011825267</v>
      </c>
    </row>
    <row r="6235" spans="37:38" s="4" customFormat="1">
      <c r="AK6235" s="3">
        <v>6229</v>
      </c>
      <c r="AL6235" s="163">
        <v>6.1608263148786602</v>
      </c>
    </row>
    <row r="6236" spans="37:38" s="4" customFormat="1">
      <c r="AK6236" s="3">
        <v>6230</v>
      </c>
      <c r="AL6236" s="163">
        <v>6.1616782019716929</v>
      </c>
    </row>
    <row r="6237" spans="37:38" s="4" customFormat="1">
      <c r="AK6237" s="3">
        <v>6231</v>
      </c>
      <c r="AL6237" s="163">
        <v>6.1625298623510556</v>
      </c>
    </row>
    <row r="6238" spans="37:38" s="4" customFormat="1">
      <c r="AK6238" s="3">
        <v>6232</v>
      </c>
      <c r="AL6238" s="163">
        <v>6.1633812959063832</v>
      </c>
    </row>
    <row r="6239" spans="37:38" s="4" customFormat="1">
      <c r="AK6239" s="3">
        <v>6233</v>
      </c>
      <c r="AL6239" s="163">
        <v>6.1642325025275202</v>
      </c>
    </row>
    <row r="6240" spans="37:38" s="4" customFormat="1">
      <c r="AK6240" s="3">
        <v>6234</v>
      </c>
      <c r="AL6240" s="163">
        <v>6.1650834821045493</v>
      </c>
    </row>
    <row r="6241" spans="37:38" s="4" customFormat="1">
      <c r="AK6241" s="3">
        <v>6235</v>
      </c>
      <c r="AL6241" s="163">
        <v>6.1659342345277643</v>
      </c>
    </row>
    <row r="6242" spans="37:38" s="4" customFormat="1">
      <c r="AK6242" s="3">
        <v>6236</v>
      </c>
      <c r="AL6242" s="163">
        <v>6.1667847596876513</v>
      </c>
    </row>
    <row r="6243" spans="37:38" s="4" customFormat="1">
      <c r="AK6243" s="3">
        <v>6237</v>
      </c>
      <c r="AL6243" s="163">
        <v>6.1676350574749303</v>
      </c>
    </row>
    <row r="6244" spans="37:38" s="4" customFormat="1">
      <c r="AK6244" s="3">
        <v>6238</v>
      </c>
      <c r="AL6244" s="163">
        <v>6.1684851277805759</v>
      </c>
    </row>
    <row r="6245" spans="37:38" s="4" customFormat="1">
      <c r="AK6245" s="3">
        <v>6239</v>
      </c>
      <c r="AL6245" s="163">
        <v>6.1693349704956866</v>
      </c>
    </row>
    <row r="6246" spans="37:38" s="4" customFormat="1">
      <c r="AK6246" s="3">
        <v>6240</v>
      </c>
      <c r="AL6246" s="163">
        <v>6.1701845855116861</v>
      </c>
    </row>
    <row r="6247" spans="37:38" s="4" customFormat="1">
      <c r="AK6247" s="3">
        <v>6241</v>
      </c>
      <c r="AL6247" s="163">
        <v>6.1710339727201067</v>
      </c>
    </row>
    <row r="6248" spans="37:38" s="4" customFormat="1">
      <c r="AK6248" s="3">
        <v>6242</v>
      </c>
      <c r="AL6248" s="163">
        <v>6.1718831320128054</v>
      </c>
    </row>
    <row r="6249" spans="37:38" s="4" customFormat="1">
      <c r="AK6249" s="3">
        <v>6243</v>
      </c>
      <c r="AL6249" s="163">
        <v>6.1727320632817602</v>
      </c>
    </row>
    <row r="6250" spans="37:38" s="4" customFormat="1">
      <c r="AK6250" s="3">
        <v>6244</v>
      </c>
      <c r="AL6250" s="163">
        <v>6.1735807664192706</v>
      </c>
    </row>
    <row r="6251" spans="37:38" s="4" customFormat="1">
      <c r="AK6251" s="3">
        <v>6245</v>
      </c>
      <c r="AL6251" s="163">
        <v>6.1744292413177533</v>
      </c>
    </row>
    <row r="6252" spans="37:38" s="4" customFormat="1">
      <c r="AK6252" s="3">
        <v>6246</v>
      </c>
      <c r="AL6252" s="163">
        <v>6.1752774878698879</v>
      </c>
    </row>
    <row r="6253" spans="37:38" s="4" customFormat="1">
      <c r="AK6253" s="3">
        <v>6247</v>
      </c>
      <c r="AL6253" s="163">
        <v>6.1761255059685762</v>
      </c>
    </row>
    <row r="6254" spans="37:38" s="4" customFormat="1">
      <c r="AK6254" s="3">
        <v>6248</v>
      </c>
      <c r="AL6254" s="163">
        <v>6.1769732955069347</v>
      </c>
    </row>
    <row r="6255" spans="37:38" s="4" customFormat="1">
      <c r="AK6255" s="3">
        <v>6249</v>
      </c>
      <c r="AL6255" s="163">
        <v>6.1778208563783057</v>
      </c>
    </row>
    <row r="6256" spans="37:38" s="4" customFormat="1">
      <c r="AK6256" s="3">
        <v>6250</v>
      </c>
      <c r="AL6256" s="163">
        <v>6.178668188476232</v>
      </c>
    </row>
    <row r="6257" spans="37:38" s="4" customFormat="1">
      <c r="AK6257" s="3">
        <v>6251</v>
      </c>
      <c r="AL6257" s="163">
        <v>6.1795152916944929</v>
      </c>
    </row>
    <row r="6258" spans="37:38" s="4" customFormat="1">
      <c r="AK6258" s="3">
        <v>6252</v>
      </c>
      <c r="AL6258" s="163">
        <v>6.1803621659270682</v>
      </c>
    </row>
    <row r="6259" spans="37:38" s="4" customFormat="1">
      <c r="AK6259" s="3">
        <v>6253</v>
      </c>
      <c r="AL6259" s="163">
        <v>6.1812088110682044</v>
      </c>
    </row>
    <row r="6260" spans="37:38" s="4" customFormat="1">
      <c r="AK6260" s="3">
        <v>6254</v>
      </c>
      <c r="AL6260" s="163">
        <v>6.1820552270122775</v>
      </c>
    </row>
    <row r="6261" spans="37:38" s="4" customFormat="1">
      <c r="AK6261" s="3">
        <v>6255</v>
      </c>
      <c r="AL6261" s="163">
        <v>6.1829014136539779</v>
      </c>
    </row>
    <row r="6262" spans="37:38" s="4" customFormat="1">
      <c r="AK6262" s="3">
        <v>6256</v>
      </c>
      <c r="AL6262" s="163">
        <v>6.1837473708881507</v>
      </c>
    </row>
    <row r="6263" spans="37:38" s="4" customFormat="1">
      <c r="AK6263" s="3">
        <v>6257</v>
      </c>
      <c r="AL6263" s="163">
        <v>6.1845930986099038</v>
      </c>
    </row>
    <row r="6264" spans="37:38" s="4" customFormat="1">
      <c r="AK6264" s="3">
        <v>6258</v>
      </c>
      <c r="AL6264" s="163">
        <v>6.1854385967145564</v>
      </c>
    </row>
    <row r="6265" spans="37:38" s="4" customFormat="1">
      <c r="AK6265" s="3">
        <v>6259</v>
      </c>
      <c r="AL6265" s="163">
        <v>6.1862838650976304</v>
      </c>
    </row>
    <row r="6266" spans="37:38" s="4" customFormat="1">
      <c r="AK6266" s="3">
        <v>6260</v>
      </c>
      <c r="AL6266" s="163">
        <v>6.18712890365485</v>
      </c>
    </row>
    <row r="6267" spans="37:38" s="4" customFormat="1">
      <c r="AK6267" s="3">
        <v>6261</v>
      </c>
      <c r="AL6267" s="163">
        <v>6.1879737122822398</v>
      </c>
    </row>
    <row r="6268" spans="37:38" s="4" customFormat="1">
      <c r="AK6268" s="3">
        <v>6262</v>
      </c>
      <c r="AL6268" s="163">
        <v>6.1888182908759717</v>
      </c>
    </row>
    <row r="6269" spans="37:38" s="4" customFormat="1">
      <c r="AK6269" s="3">
        <v>6263</v>
      </c>
      <c r="AL6269" s="163">
        <v>6.1896626393324556</v>
      </c>
    </row>
    <row r="6270" spans="37:38" s="4" customFormat="1">
      <c r="AK6270" s="3">
        <v>6264</v>
      </c>
      <c r="AL6270" s="163">
        <v>6.190506757548345</v>
      </c>
    </row>
    <row r="6271" spans="37:38" s="4" customFormat="1">
      <c r="AK6271" s="3">
        <v>6265</v>
      </c>
      <c r="AL6271" s="163">
        <v>6.1913506454204761</v>
      </c>
    </row>
    <row r="6272" spans="37:38" s="4" customFormat="1">
      <c r="AK6272" s="3">
        <v>6266</v>
      </c>
      <c r="AL6272" s="163">
        <v>6.1921943028459818</v>
      </c>
    </row>
    <row r="6273" spans="37:38" s="4" customFormat="1">
      <c r="AK6273" s="3">
        <v>6267</v>
      </c>
      <c r="AL6273" s="163">
        <v>6.1930377297221053</v>
      </c>
    </row>
    <row r="6274" spans="37:38" s="4" customFormat="1">
      <c r="AK6274" s="3">
        <v>6268</v>
      </c>
      <c r="AL6274" s="163">
        <v>6.1938809259464058</v>
      </c>
    </row>
    <row r="6275" spans="37:38" s="4" customFormat="1">
      <c r="AK6275" s="3">
        <v>6269</v>
      </c>
      <c r="AL6275" s="163">
        <v>6.1947238914166114</v>
      </c>
    </row>
    <row r="6276" spans="37:38" s="4" customFormat="1">
      <c r="AK6276" s="3">
        <v>6270</v>
      </c>
      <c r="AL6276" s="163">
        <v>6.1955666260307201</v>
      </c>
    </row>
    <row r="6277" spans="37:38" s="4" customFormat="1">
      <c r="AK6277" s="3">
        <v>6271</v>
      </c>
      <c r="AL6277" s="163">
        <v>6.1964091296869128</v>
      </c>
    </row>
    <row r="6278" spans="37:38" s="4" customFormat="1">
      <c r="AK6278" s="3">
        <v>6272</v>
      </c>
      <c r="AL6278" s="163">
        <v>6.1972514022836176</v>
      </c>
    </row>
    <row r="6279" spans="37:38" s="4" customFormat="1">
      <c r="AK6279" s="3">
        <v>6273</v>
      </c>
      <c r="AL6279" s="163">
        <v>6.1980934437194364</v>
      </c>
    </row>
    <row r="6280" spans="37:38" s="4" customFormat="1">
      <c r="AK6280" s="3">
        <v>6274</v>
      </c>
      <c r="AL6280" s="163">
        <v>6.198935253893298</v>
      </c>
    </row>
    <row r="6281" spans="37:38" s="4" customFormat="1">
      <c r="AK6281" s="3">
        <v>6275</v>
      </c>
      <c r="AL6281" s="163">
        <v>6.1997768327042309</v>
      </c>
    </row>
    <row r="6282" spans="37:38" s="4" customFormat="1">
      <c r="AK6282" s="3">
        <v>6276</v>
      </c>
      <c r="AL6282" s="163">
        <v>6.2006181800515918</v>
      </c>
    </row>
    <row r="6283" spans="37:38" s="4" customFormat="1">
      <c r="AK6283" s="3">
        <v>6277</v>
      </c>
      <c r="AL6283" s="163">
        <v>6.201459295834864</v>
      </c>
    </row>
    <row r="6284" spans="37:38" s="4" customFormat="1">
      <c r="AK6284" s="3">
        <v>6278</v>
      </c>
      <c r="AL6284" s="163">
        <v>6.2023001799538662</v>
      </c>
    </row>
    <row r="6285" spans="37:38" s="4" customFormat="1">
      <c r="AK6285" s="3">
        <v>6279</v>
      </c>
      <c r="AL6285" s="163">
        <v>6.2031408323085326</v>
      </c>
    </row>
    <row r="6286" spans="37:38" s="4" customFormat="1">
      <c r="AK6286" s="3">
        <v>6280</v>
      </c>
      <c r="AL6286" s="163">
        <v>6.2039812527991121</v>
      </c>
    </row>
    <row r="6287" spans="37:38" s="4" customFormat="1">
      <c r="AK6287" s="3">
        <v>6281</v>
      </c>
      <c r="AL6287" s="163">
        <v>6.2048214413259952</v>
      </c>
    </row>
    <row r="6288" spans="37:38" s="4" customFormat="1">
      <c r="AK6288" s="3">
        <v>6282</v>
      </c>
      <c r="AL6288" s="163">
        <v>6.2056613977898891</v>
      </c>
    </row>
    <row r="6289" spans="37:38" s="4" customFormat="1">
      <c r="AK6289" s="3">
        <v>6283</v>
      </c>
      <c r="AL6289" s="163">
        <v>6.2065011220916233</v>
      </c>
    </row>
    <row r="6290" spans="37:38" s="4" customFormat="1">
      <c r="AK6290" s="3">
        <v>6284</v>
      </c>
      <c r="AL6290" s="163">
        <v>6.2073406141323577</v>
      </c>
    </row>
    <row r="6291" spans="37:38" s="4" customFormat="1">
      <c r="AK6291" s="3">
        <v>6285</v>
      </c>
      <c r="AL6291" s="163">
        <v>6.2081798738133926</v>
      </c>
    </row>
    <row r="6292" spans="37:38" s="4" customFormat="1">
      <c r="AK6292" s="3">
        <v>6286</v>
      </c>
      <c r="AL6292" s="163">
        <v>6.2090189010362788</v>
      </c>
    </row>
    <row r="6293" spans="37:38" s="4" customFormat="1">
      <c r="AK6293" s="3">
        <v>6287</v>
      </c>
      <c r="AL6293" s="163">
        <v>6.2098576957028353</v>
      </c>
    </row>
    <row r="6294" spans="37:38" s="4" customFormat="1">
      <c r="AK6294" s="3">
        <v>6288</v>
      </c>
      <c r="AL6294" s="163">
        <v>6.2106962577150551</v>
      </c>
    </row>
    <row r="6295" spans="37:38" s="4" customFormat="1">
      <c r="AK6295" s="3">
        <v>6289</v>
      </c>
      <c r="AL6295" s="163">
        <v>6.2115345869751888</v>
      </c>
    </row>
    <row r="6296" spans="37:38" s="4" customFormat="1">
      <c r="AK6296" s="3">
        <v>6290</v>
      </c>
      <c r="AL6296" s="163">
        <v>6.2123726833856736</v>
      </c>
    </row>
    <row r="6297" spans="37:38" s="4" customFormat="1">
      <c r="AK6297" s="3">
        <v>6291</v>
      </c>
      <c r="AL6297" s="163">
        <v>6.2132105468492238</v>
      </c>
    </row>
    <row r="6298" spans="37:38" s="4" customFormat="1">
      <c r="AK6298" s="3">
        <v>6292</v>
      </c>
      <c r="AL6298" s="163">
        <v>6.2140481772687242</v>
      </c>
    </row>
    <row r="6299" spans="37:38" s="4" customFormat="1">
      <c r="AK6299" s="3">
        <v>6293</v>
      </c>
      <c r="AL6299" s="163">
        <v>6.2148855745473597</v>
      </c>
    </row>
    <row r="6300" spans="37:38" s="4" customFormat="1">
      <c r="AK6300" s="3">
        <v>6294</v>
      </c>
      <c r="AL6300" s="163">
        <v>6.2157227385884859</v>
      </c>
    </row>
    <row r="6301" spans="37:38" s="4" customFormat="1">
      <c r="AK6301" s="3">
        <v>6295</v>
      </c>
      <c r="AL6301" s="163">
        <v>6.2165596692956893</v>
      </c>
    </row>
    <row r="6302" spans="37:38" s="4" customFormat="1">
      <c r="AK6302" s="3">
        <v>6296</v>
      </c>
      <c r="AL6302" s="163">
        <v>6.217396366572796</v>
      </c>
    </row>
    <row r="6303" spans="37:38" s="4" customFormat="1">
      <c r="AK6303" s="3">
        <v>6297</v>
      </c>
      <c r="AL6303" s="163">
        <v>6.2182328303238901</v>
      </c>
    </row>
    <row r="6304" spans="37:38" s="4" customFormat="1">
      <c r="AK6304" s="3">
        <v>6298</v>
      </c>
      <c r="AL6304" s="163">
        <v>6.2190690604532186</v>
      </c>
    </row>
    <row r="6305" spans="37:38" s="4" customFormat="1">
      <c r="AK6305" s="3">
        <v>6299</v>
      </c>
      <c r="AL6305" s="163">
        <v>6.2199050568653025</v>
      </c>
    </row>
    <row r="6306" spans="37:38" s="4" customFormat="1">
      <c r="AK6306" s="3">
        <v>6300</v>
      </c>
      <c r="AL6306" s="163">
        <v>6.2207408194648774</v>
      </c>
    </row>
    <row r="6307" spans="37:38" s="4" customFormat="1">
      <c r="AK6307" s="3">
        <v>6301</v>
      </c>
      <c r="AL6307" s="163">
        <v>6.2215763481568942</v>
      </c>
    </row>
    <row r="6308" spans="37:38" s="4" customFormat="1">
      <c r="AK6308" s="3">
        <v>6302</v>
      </c>
      <c r="AL6308" s="163">
        <v>6.2224116428465805</v>
      </c>
    </row>
    <row r="6309" spans="37:38" s="4" customFormat="1">
      <c r="AK6309" s="3">
        <v>6303</v>
      </c>
      <c r="AL6309" s="163">
        <v>6.2232467034393313</v>
      </c>
    </row>
    <row r="6310" spans="37:38" s="4" customFormat="1">
      <c r="AK6310" s="3">
        <v>6304</v>
      </c>
      <c r="AL6310" s="163">
        <v>6.2240815298408005</v>
      </c>
    </row>
    <row r="6311" spans="37:38" s="4" customFormat="1">
      <c r="AK6311" s="3">
        <v>6305</v>
      </c>
      <c r="AL6311" s="163">
        <v>6.224916121956884</v>
      </c>
    </row>
    <row r="6312" spans="37:38" s="4" customFormat="1">
      <c r="AK6312" s="3">
        <v>6306</v>
      </c>
      <c r="AL6312" s="163">
        <v>6.2257504796936907</v>
      </c>
    </row>
    <row r="6313" spans="37:38" s="4" customFormat="1">
      <c r="AK6313" s="3">
        <v>6307</v>
      </c>
      <c r="AL6313" s="163">
        <v>6.2265846029575478</v>
      </c>
    </row>
    <row r="6314" spans="37:38" s="4" customFormat="1">
      <c r="AK6314" s="3">
        <v>6308</v>
      </c>
      <c r="AL6314" s="163">
        <v>6.227418491655035</v>
      </c>
    </row>
    <row r="6315" spans="37:38" s="4" customFormat="1">
      <c r="AK6315" s="3">
        <v>6309</v>
      </c>
      <c r="AL6315" s="163">
        <v>6.2282521456929292</v>
      </c>
    </row>
    <row r="6316" spans="37:38" s="4" customFormat="1">
      <c r="AK6316" s="3">
        <v>6310</v>
      </c>
      <c r="AL6316" s="163">
        <v>6.229085564978277</v>
      </c>
    </row>
    <row r="6317" spans="37:38" s="4" customFormat="1">
      <c r="AK6317" s="3">
        <v>6311</v>
      </c>
      <c r="AL6317" s="163">
        <v>6.2299187494183617</v>
      </c>
    </row>
    <row r="6318" spans="37:38" s="4" customFormat="1">
      <c r="AK6318" s="3">
        <v>6312</v>
      </c>
      <c r="AL6318" s="163">
        <v>6.2307516989206206</v>
      </c>
    </row>
    <row r="6319" spans="37:38" s="4" customFormat="1">
      <c r="AK6319" s="3">
        <v>6313</v>
      </c>
      <c r="AL6319" s="163">
        <v>6.2315844133928113</v>
      </c>
    </row>
    <row r="6320" spans="37:38" s="4" customFormat="1">
      <c r="AK6320" s="3">
        <v>6314</v>
      </c>
      <c r="AL6320" s="163">
        <v>6.2324168927428953</v>
      </c>
    </row>
    <row r="6321" spans="37:38" s="4" customFormat="1">
      <c r="AK6321" s="3">
        <v>6315</v>
      </c>
      <c r="AL6321" s="163">
        <v>6.2332491368790137</v>
      </c>
    </row>
    <row r="6322" spans="37:38" s="4" customFormat="1">
      <c r="AK6322" s="3">
        <v>6316</v>
      </c>
      <c r="AL6322" s="163">
        <v>6.2340811457096112</v>
      </c>
    </row>
    <row r="6323" spans="37:38" s="4" customFormat="1">
      <c r="AK6323" s="3">
        <v>6317</v>
      </c>
      <c r="AL6323" s="163">
        <v>6.2349129191432873</v>
      </c>
    </row>
    <row r="6324" spans="37:38" s="4" customFormat="1">
      <c r="AK6324" s="3">
        <v>6318</v>
      </c>
      <c r="AL6324" s="163">
        <v>6.2357444570889822</v>
      </c>
    </row>
    <row r="6325" spans="37:38" s="4" customFormat="1">
      <c r="AK6325" s="3">
        <v>6319</v>
      </c>
      <c r="AL6325" s="163">
        <v>6.2365757594557714</v>
      </c>
    </row>
    <row r="6326" spans="37:38" s="4" customFormat="1">
      <c r="AK6326" s="3">
        <v>6320</v>
      </c>
      <c r="AL6326" s="163">
        <v>6.2374068261529896</v>
      </c>
    </row>
    <row r="6327" spans="37:38" s="4" customFormat="1">
      <c r="AK6327" s="3">
        <v>6321</v>
      </c>
      <c r="AL6327" s="163">
        <v>6.2382376570902007</v>
      </c>
    </row>
    <row r="6328" spans="37:38" s="4" customFormat="1">
      <c r="AK6328" s="3">
        <v>6322</v>
      </c>
      <c r="AL6328" s="163">
        <v>6.2390682521772423</v>
      </c>
    </row>
    <row r="6329" spans="37:38" s="4" customFormat="1">
      <c r="AK6329" s="3">
        <v>6323</v>
      </c>
      <c r="AL6329" s="163">
        <v>6.2398986113241381</v>
      </c>
    </row>
    <row r="6330" spans="37:38" s="4" customFormat="1">
      <c r="AK6330" s="3">
        <v>6324</v>
      </c>
      <c r="AL6330" s="163">
        <v>6.2407287344411273</v>
      </c>
    </row>
    <row r="6331" spans="37:38" s="4" customFormat="1">
      <c r="AK6331" s="3">
        <v>6325</v>
      </c>
      <c r="AL6331" s="163">
        <v>6.2415586214387329</v>
      </c>
    </row>
    <row r="6332" spans="37:38" s="4" customFormat="1">
      <c r="AK6332" s="3">
        <v>6326</v>
      </c>
      <c r="AL6332" s="163">
        <v>6.2423882722276947</v>
      </c>
    </row>
    <row r="6333" spans="37:38" s="4" customFormat="1">
      <c r="AK6333" s="3">
        <v>6327</v>
      </c>
      <c r="AL6333" s="163">
        <v>6.2432176867189639</v>
      </c>
    </row>
    <row r="6334" spans="37:38" s="4" customFormat="1">
      <c r="AK6334" s="3">
        <v>6328</v>
      </c>
      <c r="AL6334" s="163">
        <v>6.2440468648237637</v>
      </c>
    </row>
    <row r="6335" spans="37:38" s="4" customFormat="1">
      <c r="AK6335" s="3">
        <v>6329</v>
      </c>
      <c r="AL6335" s="163">
        <v>6.2448758064535212</v>
      </c>
    </row>
    <row r="6336" spans="37:38" s="4" customFormat="1">
      <c r="AK6336" s="3">
        <v>6330</v>
      </c>
      <c r="AL6336" s="163">
        <v>6.2457045115198859</v>
      </c>
    </row>
    <row r="6337" spans="37:38" s="4" customFormat="1">
      <c r="AK6337" s="3">
        <v>6331</v>
      </c>
      <c r="AL6337" s="163">
        <v>6.2465329799347753</v>
      </c>
    </row>
    <row r="6338" spans="37:38" s="4" customFormat="1">
      <c r="AK6338" s="3">
        <v>6332</v>
      </c>
      <c r="AL6338" s="163">
        <v>6.2473612116103219</v>
      </c>
    </row>
    <row r="6339" spans="37:38" s="4" customFormat="1">
      <c r="AK6339" s="3">
        <v>6333</v>
      </c>
      <c r="AL6339" s="163">
        <v>6.2481892064589051</v>
      </c>
    </row>
    <row r="6340" spans="37:38" s="4" customFormat="1">
      <c r="AK6340" s="3">
        <v>6334</v>
      </c>
      <c r="AL6340" s="163">
        <v>6.2490169643931139</v>
      </c>
    </row>
    <row r="6341" spans="37:38" s="4" customFormat="1">
      <c r="AK6341" s="3">
        <v>6335</v>
      </c>
      <c r="AL6341" s="163">
        <v>6.249844485325788</v>
      </c>
    </row>
    <row r="6342" spans="37:38" s="4" customFormat="1">
      <c r="AK6342" s="3">
        <v>6336</v>
      </c>
      <c r="AL6342" s="163">
        <v>6.2506717691700242</v>
      </c>
    </row>
    <row r="6343" spans="37:38" s="4" customFormat="1">
      <c r="AK6343" s="3">
        <v>6337</v>
      </c>
      <c r="AL6343" s="163">
        <v>6.2514988158391009</v>
      </c>
    </row>
    <row r="6344" spans="37:38" s="4" customFormat="1">
      <c r="AK6344" s="3">
        <v>6338</v>
      </c>
      <c r="AL6344" s="163">
        <v>6.2523256252465842</v>
      </c>
    </row>
    <row r="6345" spans="37:38" s="4" customFormat="1">
      <c r="AK6345" s="3">
        <v>6339</v>
      </c>
      <c r="AL6345" s="163">
        <v>6.2531521973062407</v>
      </c>
    </row>
    <row r="6346" spans="37:38" s="4" customFormat="1">
      <c r="AK6346" s="3">
        <v>6340</v>
      </c>
      <c r="AL6346" s="163">
        <v>6.2539785319320877</v>
      </c>
    </row>
    <row r="6347" spans="37:38" s="4" customFormat="1">
      <c r="AK6347" s="3">
        <v>6341</v>
      </c>
      <c r="AL6347" s="163">
        <v>6.2548046290383894</v>
      </c>
    </row>
    <row r="6348" spans="37:38" s="4" customFormat="1">
      <c r="AK6348" s="3">
        <v>6342</v>
      </c>
      <c r="AL6348" s="163">
        <v>6.2556304885395964</v>
      </c>
    </row>
    <row r="6349" spans="37:38" s="4" customFormat="1">
      <c r="AK6349" s="3">
        <v>6343</v>
      </c>
      <c r="AL6349" s="163">
        <v>6.2564561103504897</v>
      </c>
    </row>
    <row r="6350" spans="37:38" s="4" customFormat="1">
      <c r="AK6350" s="3">
        <v>6344</v>
      </c>
      <c r="AL6350" s="163">
        <v>6.2572814943859765</v>
      </c>
    </row>
    <row r="6351" spans="37:38" s="4" customFormat="1">
      <c r="AK6351" s="3">
        <v>6345</v>
      </c>
      <c r="AL6351" s="163">
        <v>6.2581066405612589</v>
      </c>
    </row>
    <row r="6352" spans="37:38" s="4" customFormat="1">
      <c r="AK6352" s="3">
        <v>6346</v>
      </c>
      <c r="AL6352" s="163">
        <v>6.2589315487918018</v>
      </c>
    </row>
    <row r="6353" spans="37:38" s="4" customFormat="1">
      <c r="AK6353" s="3">
        <v>6347</v>
      </c>
      <c r="AL6353" s="163">
        <v>6.2597562189932354</v>
      </c>
    </row>
    <row r="6354" spans="37:38" s="4" customFormat="1">
      <c r="AK6354" s="3">
        <v>6348</v>
      </c>
      <c r="AL6354" s="163">
        <v>6.2605806510814919</v>
      </c>
    </row>
    <row r="6355" spans="37:38" s="4" customFormat="1">
      <c r="AK6355" s="3">
        <v>6349</v>
      </c>
      <c r="AL6355" s="163">
        <v>6.2614048449727093</v>
      </c>
    </row>
    <row r="6356" spans="37:38" s="4" customFormat="1">
      <c r="AK6356" s="3">
        <v>6350</v>
      </c>
      <c r="AL6356" s="163">
        <v>6.2622288005832534</v>
      </c>
    </row>
    <row r="6357" spans="37:38" s="4" customFormat="1">
      <c r="AK6357" s="3">
        <v>6351</v>
      </c>
      <c r="AL6357" s="163">
        <v>6.263052517829756</v>
      </c>
    </row>
    <row r="6358" spans="37:38" s="4" customFormat="1">
      <c r="AK6358" s="3">
        <v>6352</v>
      </c>
      <c r="AL6358" s="163">
        <v>6.2638759966290589</v>
      </c>
    </row>
    <row r="6359" spans="37:38" s="4" customFormat="1">
      <c r="AK6359" s="3">
        <v>6353</v>
      </c>
      <c r="AL6359" s="163">
        <v>6.2646992368982737</v>
      </c>
    </row>
    <row r="6360" spans="37:38" s="4" customFormat="1">
      <c r="AK6360" s="3">
        <v>6354</v>
      </c>
      <c r="AL6360" s="163">
        <v>6.2655222385547251</v>
      </c>
    </row>
    <row r="6361" spans="37:38" s="4" customFormat="1">
      <c r="AK6361" s="3">
        <v>6355</v>
      </c>
      <c r="AL6361" s="163">
        <v>6.2663450015159867</v>
      </c>
    </row>
    <row r="6362" spans="37:38" s="4" customFormat="1">
      <c r="AK6362" s="3">
        <v>6356</v>
      </c>
      <c r="AL6362" s="163">
        <v>6.2671675256998469</v>
      </c>
    </row>
    <row r="6363" spans="37:38" s="4" customFormat="1">
      <c r="AK6363" s="3">
        <v>6357</v>
      </c>
      <c r="AL6363" s="163">
        <v>6.2679898110243659</v>
      </c>
    </row>
    <row r="6364" spans="37:38" s="4" customFormat="1">
      <c r="AK6364" s="3">
        <v>6358</v>
      </c>
      <c r="AL6364" s="163">
        <v>6.2688118574078509</v>
      </c>
    </row>
    <row r="6365" spans="37:38" s="4" customFormat="1">
      <c r="AK6365" s="3">
        <v>6359</v>
      </c>
      <c r="AL6365" s="163">
        <v>6.2696336647687865</v>
      </c>
    </row>
    <row r="6366" spans="37:38" s="4" customFormat="1">
      <c r="AK6366" s="3">
        <v>6360</v>
      </c>
      <c r="AL6366" s="163">
        <v>6.2704552330259435</v>
      </c>
    </row>
    <row r="6367" spans="37:38" s="4" customFormat="1">
      <c r="AK6367" s="3">
        <v>6361</v>
      </c>
      <c r="AL6367" s="163">
        <v>6.2712765620983753</v>
      </c>
    </row>
    <row r="6368" spans="37:38" s="4" customFormat="1">
      <c r="AK6368" s="3">
        <v>6362</v>
      </c>
      <c r="AL6368" s="163">
        <v>6.2720976519052662</v>
      </c>
    </row>
    <row r="6369" spans="37:38" s="4" customFormat="1">
      <c r="AK6369" s="3">
        <v>6363</v>
      </c>
      <c r="AL6369" s="163">
        <v>6.2729185023661209</v>
      </c>
    </row>
    <row r="6370" spans="37:38" s="4" customFormat="1">
      <c r="AK6370" s="3">
        <v>6364</v>
      </c>
      <c r="AL6370" s="163">
        <v>6.2737391134006657</v>
      </c>
    </row>
    <row r="6371" spans="37:38" s="4" customFormat="1">
      <c r="AK6371" s="3">
        <v>6365</v>
      </c>
      <c r="AL6371" s="163">
        <v>6.2745594849288402</v>
      </c>
    </row>
    <row r="6372" spans="37:38" s="4" customFormat="1">
      <c r="AK6372" s="3">
        <v>6366</v>
      </c>
      <c r="AL6372" s="163">
        <v>6.2753796168708895</v>
      </c>
    </row>
    <row r="6373" spans="37:38" s="4" customFormat="1">
      <c r="AK6373" s="3">
        <v>6367</v>
      </c>
      <c r="AL6373" s="163">
        <v>6.276199509147208</v>
      </c>
    </row>
    <row r="6374" spans="37:38" s="4" customFormat="1">
      <c r="AK6374" s="3">
        <v>6368</v>
      </c>
      <c r="AL6374" s="163">
        <v>6.2770191616785382</v>
      </c>
    </row>
    <row r="6375" spans="37:38" s="4" customFormat="1">
      <c r="AK6375" s="3">
        <v>6369</v>
      </c>
      <c r="AL6375" s="163">
        <v>6.2778385743857399</v>
      </c>
    </row>
    <row r="6376" spans="37:38" s="4" customFormat="1">
      <c r="AK6376" s="3">
        <v>6370</v>
      </c>
      <c r="AL6376" s="163">
        <v>6.278657747190028</v>
      </c>
    </row>
    <row r="6377" spans="37:38" s="4" customFormat="1">
      <c r="AK6377" s="3">
        <v>6371</v>
      </c>
      <c r="AL6377" s="163">
        <v>6.2794766800127846</v>
      </c>
    </row>
    <row r="6378" spans="37:38" s="4" customFormat="1">
      <c r="AK6378" s="3">
        <v>6372</v>
      </c>
      <c r="AL6378" s="163">
        <v>6.2802953727756723</v>
      </c>
    </row>
    <row r="6379" spans="37:38" s="4" customFormat="1">
      <c r="AK6379" s="3">
        <v>6373</v>
      </c>
      <c r="AL6379" s="163">
        <v>6.2811138254005812</v>
      </c>
    </row>
    <row r="6380" spans="37:38" s="4" customFormat="1">
      <c r="AK6380" s="3">
        <v>6374</v>
      </c>
      <c r="AL6380" s="163">
        <v>6.2819320378096108</v>
      </c>
    </row>
    <row r="6381" spans="37:38" s="4" customFormat="1">
      <c r="AK6381" s="3">
        <v>6375</v>
      </c>
      <c r="AL6381" s="163">
        <v>6.2827500099252021</v>
      </c>
    </row>
    <row r="6382" spans="37:38" s="4" customFormat="1">
      <c r="AK6382" s="3">
        <v>6376</v>
      </c>
      <c r="AL6382" s="163">
        <v>6.2835677416699127</v>
      </c>
    </row>
    <row r="6383" spans="37:38" s="4" customFormat="1">
      <c r="AK6383" s="3">
        <v>6377</v>
      </c>
      <c r="AL6383" s="163">
        <v>6.2843852329666312</v>
      </c>
    </row>
    <row r="6384" spans="37:38" s="4" customFormat="1">
      <c r="AK6384" s="3">
        <v>6378</v>
      </c>
      <c r="AL6384" s="163">
        <v>6.2852024837384128</v>
      </c>
    </row>
    <row r="6385" spans="37:38" s="4" customFormat="1">
      <c r="AK6385" s="3">
        <v>6379</v>
      </c>
      <c r="AL6385" s="163">
        <v>6.286019493908654</v>
      </c>
    </row>
    <row r="6386" spans="37:38" s="4" customFormat="1">
      <c r="AK6386" s="3">
        <v>6380</v>
      </c>
      <c r="AL6386" s="163">
        <v>6.2868362634009323</v>
      </c>
    </row>
    <row r="6387" spans="37:38" s="4" customFormat="1">
      <c r="AK6387" s="3">
        <v>6381</v>
      </c>
      <c r="AL6387" s="163">
        <v>6.2876527921390419</v>
      </c>
    </row>
    <row r="6388" spans="37:38" s="4" customFormat="1">
      <c r="AK6388" s="3">
        <v>6382</v>
      </c>
      <c r="AL6388" s="163">
        <v>6.2884690800470899</v>
      </c>
    </row>
    <row r="6389" spans="37:38" s="4" customFormat="1">
      <c r="AK6389" s="3">
        <v>6383</v>
      </c>
      <c r="AL6389" s="163">
        <v>6.2892851270493964</v>
      </c>
    </row>
    <row r="6390" spans="37:38" s="4" customFormat="1">
      <c r="AK6390" s="3">
        <v>6384</v>
      </c>
      <c r="AL6390" s="163">
        <v>6.290100933070498</v>
      </c>
    </row>
    <row r="6391" spans="37:38" s="4" customFormat="1">
      <c r="AK6391" s="3">
        <v>6385</v>
      </c>
      <c r="AL6391" s="163">
        <v>6.2909164980352195</v>
      </c>
    </row>
    <row r="6392" spans="37:38" s="4" customFormat="1">
      <c r="AK6392" s="3">
        <v>6386</v>
      </c>
      <c r="AL6392" s="163">
        <v>6.2917318218685914</v>
      </c>
    </row>
    <row r="6393" spans="37:38" s="4" customFormat="1">
      <c r="AK6393" s="3">
        <v>6387</v>
      </c>
      <c r="AL6393" s="163">
        <v>6.2925469044958788</v>
      </c>
    </row>
    <row r="6394" spans="37:38" s="4" customFormat="1">
      <c r="AK6394" s="3">
        <v>6388</v>
      </c>
      <c r="AL6394" s="163">
        <v>6.2933617458426774</v>
      </c>
    </row>
    <row r="6395" spans="37:38" s="4" customFormat="1">
      <c r="AK6395" s="3">
        <v>6389</v>
      </c>
      <c r="AL6395" s="163">
        <v>6.2941763458347531</v>
      </c>
    </row>
    <row r="6396" spans="37:38" s="4" customFormat="1">
      <c r="AK6396" s="3">
        <v>6390</v>
      </c>
      <c r="AL6396" s="163">
        <v>6.294990704398078</v>
      </c>
    </row>
    <row r="6397" spans="37:38" s="4" customFormat="1">
      <c r="AK6397" s="3">
        <v>6391</v>
      </c>
      <c r="AL6397" s="163">
        <v>6.2958048214589972</v>
      </c>
    </row>
    <row r="6398" spans="37:38" s="4" customFormat="1">
      <c r="AK6398" s="3">
        <v>6392</v>
      </c>
      <c r="AL6398" s="163">
        <v>6.2966186969439768</v>
      </c>
    </row>
    <row r="6399" spans="37:38" s="4" customFormat="1">
      <c r="AK6399" s="3">
        <v>6393</v>
      </c>
      <c r="AL6399" s="163">
        <v>6.297432330779781</v>
      </c>
    </row>
    <row r="6400" spans="37:38" s="4" customFormat="1">
      <c r="AK6400" s="3">
        <v>6394</v>
      </c>
      <c r="AL6400" s="163">
        <v>6.2982457228934337</v>
      </c>
    </row>
    <row r="6401" spans="37:38" s="4" customFormat="1">
      <c r="AK6401" s="3">
        <v>6395</v>
      </c>
      <c r="AL6401" s="163">
        <v>6.2990588732121644</v>
      </c>
    </row>
    <row r="6402" spans="37:38" s="4" customFormat="1">
      <c r="AK6402" s="3">
        <v>6396</v>
      </c>
      <c r="AL6402" s="163">
        <v>6.2998717816634979</v>
      </c>
    </row>
    <row r="6403" spans="37:38" s="4" customFormat="1">
      <c r="AK6403" s="3">
        <v>6397</v>
      </c>
      <c r="AL6403" s="163">
        <v>6.3006844481751649</v>
      </c>
    </row>
    <row r="6404" spans="37:38" s="4" customFormat="1">
      <c r="AK6404" s="3">
        <v>6398</v>
      </c>
      <c r="AL6404" s="163">
        <v>6.301496872675127</v>
      </c>
    </row>
    <row r="6405" spans="37:38" s="4" customFormat="1">
      <c r="AK6405" s="3">
        <v>6399</v>
      </c>
      <c r="AL6405" s="163">
        <v>6.302309055091694</v>
      </c>
    </row>
    <row r="6406" spans="37:38" s="4" customFormat="1">
      <c r="AK6406" s="3">
        <v>6400</v>
      </c>
      <c r="AL6406" s="163">
        <v>6.3031209953532645</v>
      </c>
    </row>
    <row r="6407" spans="37:38" s="4" customFormat="1">
      <c r="AK6407" s="3">
        <v>6401</v>
      </c>
      <c r="AL6407" s="163">
        <v>6.3039326933885853</v>
      </c>
    </row>
    <row r="6408" spans="37:38" s="4" customFormat="1">
      <c r="AK6408" s="3">
        <v>6402</v>
      </c>
      <c r="AL6408" s="163">
        <v>6.3047441491267122</v>
      </c>
    </row>
    <row r="6409" spans="37:38" s="4" customFormat="1">
      <c r="AK6409" s="3">
        <v>6403</v>
      </c>
      <c r="AL6409" s="163">
        <v>6.3055553624967615</v>
      </c>
    </row>
    <row r="6410" spans="37:38" s="4" customFormat="1">
      <c r="AK6410" s="3">
        <v>6404</v>
      </c>
      <c r="AL6410" s="163">
        <v>6.3063663334282509</v>
      </c>
    </row>
    <row r="6411" spans="37:38" s="4" customFormat="1">
      <c r="AK6411" s="3">
        <v>6405</v>
      </c>
      <c r="AL6411" s="163">
        <v>6.3071770618509149</v>
      </c>
    </row>
    <row r="6412" spans="37:38" s="4" customFormat="1">
      <c r="AK6412" s="3">
        <v>6406</v>
      </c>
      <c r="AL6412" s="163">
        <v>6.3079875476946761</v>
      </c>
    </row>
    <row r="6413" spans="37:38" s="4" customFormat="1">
      <c r="AK6413" s="3">
        <v>6407</v>
      </c>
      <c r="AL6413" s="163">
        <v>6.3087977908897628</v>
      </c>
    </row>
    <row r="6414" spans="37:38" s="4" customFormat="1">
      <c r="AK6414" s="3">
        <v>6408</v>
      </c>
      <c r="AL6414" s="163">
        <v>6.3096077913666697</v>
      </c>
    </row>
    <row r="6415" spans="37:38" s="4" customFormat="1">
      <c r="AK6415" s="3">
        <v>6409</v>
      </c>
      <c r="AL6415" s="163">
        <v>6.3104175490560728</v>
      </c>
    </row>
    <row r="6416" spans="37:38" s="4" customFormat="1">
      <c r="AK6416" s="3">
        <v>6410</v>
      </c>
      <c r="AL6416" s="163">
        <v>6.3112270638889072</v>
      </c>
    </row>
    <row r="6417" spans="37:38" s="4" customFormat="1">
      <c r="AK6417" s="3">
        <v>6411</v>
      </c>
      <c r="AL6417" s="163">
        <v>6.3120363357964422</v>
      </c>
    </row>
    <row r="6418" spans="37:38" s="4" customFormat="1">
      <c r="AK6418" s="3">
        <v>6412</v>
      </c>
      <c r="AL6418" s="163">
        <v>6.3128453647100997</v>
      </c>
    </row>
    <row r="6419" spans="37:38" s="4" customFormat="1">
      <c r="AK6419" s="3">
        <v>6413</v>
      </c>
      <c r="AL6419" s="163">
        <v>6.3136541505615753</v>
      </c>
    </row>
    <row r="6420" spans="37:38" s="4" customFormat="1">
      <c r="AK6420" s="3">
        <v>6414</v>
      </c>
      <c r="AL6420" s="163">
        <v>6.3144626932828238</v>
      </c>
    </row>
    <row r="6421" spans="37:38" s="4" customFormat="1">
      <c r="AK6421" s="3">
        <v>6415</v>
      </c>
      <c r="AL6421" s="163">
        <v>6.3152709928060773</v>
      </c>
    </row>
    <row r="6422" spans="37:38" s="4" customFormat="1">
      <c r="AK6422" s="3">
        <v>6416</v>
      </c>
      <c r="AL6422" s="163">
        <v>6.3160790490637417</v>
      </c>
    </row>
    <row r="6423" spans="37:38" s="4" customFormat="1">
      <c r="AK6423" s="3">
        <v>6417</v>
      </c>
      <c r="AL6423" s="163">
        <v>6.3168868619885643</v>
      </c>
    </row>
    <row r="6424" spans="37:38" s="4" customFormat="1">
      <c r="AK6424" s="3">
        <v>6418</v>
      </c>
      <c r="AL6424" s="163">
        <v>6.3176944315134769</v>
      </c>
    </row>
    <row r="6425" spans="37:38" s="4" customFormat="1">
      <c r="AK6425" s="3">
        <v>6419</v>
      </c>
      <c r="AL6425" s="163">
        <v>6.3185017575716316</v>
      </c>
    </row>
    <row r="6426" spans="37:38" s="4" customFormat="1">
      <c r="AK6426" s="3">
        <v>6420</v>
      </c>
      <c r="AL6426" s="163">
        <v>6.3193088400965571</v>
      </c>
    </row>
    <row r="6427" spans="37:38" s="4" customFormat="1">
      <c r="AK6427" s="3">
        <v>6421</v>
      </c>
      <c r="AL6427" s="163">
        <v>6.3201156790219351</v>
      </c>
    </row>
    <row r="6428" spans="37:38" s="4" customFormat="1">
      <c r="AK6428" s="3">
        <v>6422</v>
      </c>
      <c r="AL6428" s="163">
        <v>6.3209222742816813</v>
      </c>
    </row>
    <row r="6429" spans="37:38" s="4" customFormat="1">
      <c r="AK6429" s="3">
        <v>6423</v>
      </c>
      <c r="AL6429" s="163">
        <v>6.3217286258100209</v>
      </c>
    </row>
    <row r="6430" spans="37:38" s="4" customFormat="1">
      <c r="AK6430" s="3">
        <v>6424</v>
      </c>
      <c r="AL6430" s="163">
        <v>6.3225347335414135</v>
      </c>
    </row>
    <row r="6431" spans="37:38" s="4" customFormat="1">
      <c r="AK6431" s="3">
        <v>6425</v>
      </c>
      <c r="AL6431" s="163">
        <v>6.3233405974106027</v>
      </c>
    </row>
    <row r="6432" spans="37:38" s="4" customFormat="1">
      <c r="AK6432" s="3">
        <v>6426</v>
      </c>
      <c r="AL6432" s="163">
        <v>6.3241462173524674</v>
      </c>
    </row>
    <row r="6433" spans="37:38" s="4" customFormat="1">
      <c r="AK6433" s="3">
        <v>6427</v>
      </c>
      <c r="AL6433" s="163">
        <v>6.3249515933022558</v>
      </c>
    </row>
    <row r="6434" spans="37:38" s="4" customFormat="1">
      <c r="AK6434" s="3">
        <v>6428</v>
      </c>
      <c r="AL6434" s="163">
        <v>6.3257567251954541</v>
      </c>
    </row>
    <row r="6435" spans="37:38" s="4" customFormat="1">
      <c r="AK6435" s="3">
        <v>6429</v>
      </c>
      <c r="AL6435" s="163">
        <v>6.3265616129677085</v>
      </c>
    </row>
    <row r="6436" spans="37:38" s="4" customFormat="1">
      <c r="AK6436" s="3">
        <v>6430</v>
      </c>
      <c r="AL6436" s="163">
        <v>6.3273662565550168</v>
      </c>
    </row>
    <row r="6437" spans="37:38" s="4" customFormat="1">
      <c r="AK6437" s="3">
        <v>6431</v>
      </c>
      <c r="AL6437" s="163">
        <v>6.3281706558936328</v>
      </c>
    </row>
    <row r="6438" spans="37:38" s="4" customFormat="1">
      <c r="AK6438" s="3">
        <v>6432</v>
      </c>
      <c r="AL6438" s="163">
        <v>6.3289748109199842</v>
      </c>
    </row>
    <row r="6439" spans="37:38" s="4" customFormat="1">
      <c r="AK6439" s="3">
        <v>6433</v>
      </c>
      <c r="AL6439" s="163">
        <v>6.3297787215707935</v>
      </c>
    </row>
    <row r="6440" spans="37:38" s="4" customFormat="1">
      <c r="AK6440" s="3">
        <v>6434</v>
      </c>
      <c r="AL6440" s="163">
        <v>6.3305823877830179</v>
      </c>
    </row>
    <row r="6441" spans="37:38" s="4" customFormat="1">
      <c r="AK6441" s="3">
        <v>6435</v>
      </c>
      <c r="AL6441" s="163">
        <v>6.3313858094939377</v>
      </c>
    </row>
    <row r="6442" spans="37:38" s="4" customFormat="1">
      <c r="AK6442" s="3">
        <v>6436</v>
      </c>
      <c r="AL6442" s="163">
        <v>6.332188986640972</v>
      </c>
    </row>
    <row r="6443" spans="37:38" s="4" customFormat="1">
      <c r="AK6443" s="3">
        <v>6437</v>
      </c>
      <c r="AL6443" s="163">
        <v>6.3329919191618806</v>
      </c>
    </row>
    <row r="6444" spans="37:38" s="4" customFormat="1">
      <c r="AK6444" s="3">
        <v>6438</v>
      </c>
      <c r="AL6444" s="163">
        <v>6.3337946069946582</v>
      </c>
    </row>
    <row r="6445" spans="37:38" s="4" customFormat="1">
      <c r="AK6445" s="3">
        <v>6439</v>
      </c>
      <c r="AL6445" s="163">
        <v>6.3345970500775586</v>
      </c>
    </row>
    <row r="6446" spans="37:38" s="4" customFormat="1">
      <c r="AK6446" s="3">
        <v>6440</v>
      </c>
      <c r="AL6446" s="163">
        <v>6.3353992483490345</v>
      </c>
    </row>
    <row r="6447" spans="37:38" s="4" customFormat="1">
      <c r="AK6447" s="3">
        <v>6441</v>
      </c>
      <c r="AL6447" s="163">
        <v>6.3362012017478548</v>
      </c>
    </row>
    <row r="6448" spans="37:38" s="4" customFormat="1">
      <c r="AK6448" s="3">
        <v>6442</v>
      </c>
      <c r="AL6448" s="163">
        <v>6.3370029102130232</v>
      </c>
    </row>
    <row r="6449" spans="37:38" s="4" customFormat="1">
      <c r="AK6449" s="3">
        <v>6443</v>
      </c>
      <c r="AL6449" s="163">
        <v>6.3378043736838201</v>
      </c>
    </row>
    <row r="6450" spans="37:38" s="4" customFormat="1">
      <c r="AK6450" s="3">
        <v>6444</v>
      </c>
      <c r="AL6450" s="163">
        <v>6.3386055920997144</v>
      </c>
    </row>
    <row r="6451" spans="37:38" s="4" customFormat="1">
      <c r="AK6451" s="3">
        <v>6445</v>
      </c>
      <c r="AL6451" s="163">
        <v>6.3394065654004947</v>
      </c>
    </row>
    <row r="6452" spans="37:38" s="4" customFormat="1">
      <c r="AK6452" s="3">
        <v>6446</v>
      </c>
      <c r="AL6452" s="163">
        <v>6.3402072935261664</v>
      </c>
    </row>
    <row r="6453" spans="37:38" s="4" customFormat="1">
      <c r="AK6453" s="3">
        <v>6447</v>
      </c>
      <c r="AL6453" s="163">
        <v>6.3410077764170332</v>
      </c>
    </row>
    <row r="6454" spans="37:38" s="4" customFormat="1">
      <c r="AK6454" s="3">
        <v>6448</v>
      </c>
      <c r="AL6454" s="163">
        <v>6.3418080140136261</v>
      </c>
    </row>
    <row r="6455" spans="37:38" s="4" customFormat="1">
      <c r="AK6455" s="3">
        <v>6449</v>
      </c>
      <c r="AL6455" s="163">
        <v>6.3426080062566896</v>
      </c>
    </row>
    <row r="6456" spans="37:38" s="4" customFormat="1">
      <c r="AK6456" s="3">
        <v>6450</v>
      </c>
      <c r="AL6456" s="163">
        <v>6.3434077530872948</v>
      </c>
    </row>
    <row r="6457" spans="37:38" s="4" customFormat="1">
      <c r="AK6457" s="3">
        <v>6451</v>
      </c>
      <c r="AL6457" s="163">
        <v>6.3442072544467543</v>
      </c>
    </row>
    <row r="6458" spans="37:38" s="4" customFormat="1">
      <c r="AK6458" s="3">
        <v>6452</v>
      </c>
      <c r="AL6458" s="163">
        <v>6.3450065102766366</v>
      </c>
    </row>
    <row r="6459" spans="37:38" s="4" customFormat="1">
      <c r="AK6459" s="3">
        <v>6453</v>
      </c>
      <c r="AL6459" s="163">
        <v>6.345805520518681</v>
      </c>
    </row>
    <row r="6460" spans="37:38" s="4" customFormat="1">
      <c r="AK6460" s="3">
        <v>6454</v>
      </c>
      <c r="AL6460" s="163">
        <v>6.3466042851150348</v>
      </c>
    </row>
    <row r="6461" spans="37:38" s="4" customFormat="1">
      <c r="AK6461" s="3">
        <v>6455</v>
      </c>
      <c r="AL6461" s="163">
        <v>6.3474028040079702</v>
      </c>
    </row>
    <row r="6462" spans="37:38" s="4" customFormat="1">
      <c r="AK6462" s="3">
        <v>6456</v>
      </c>
      <c r="AL6462" s="163">
        <v>6.3482010771400894</v>
      </c>
    </row>
    <row r="6463" spans="37:38" s="4" customFormat="1">
      <c r="AK6463" s="3">
        <v>6457</v>
      </c>
      <c r="AL6463" s="163">
        <v>6.3489991044542222</v>
      </c>
    </row>
    <row r="6464" spans="37:38" s="4" customFormat="1">
      <c r="AK6464" s="3">
        <v>6458</v>
      </c>
      <c r="AL6464" s="163">
        <v>6.3497968858935074</v>
      </c>
    </row>
    <row r="6465" spans="37:38" s="4" customFormat="1">
      <c r="AK6465" s="3">
        <v>6459</v>
      </c>
      <c r="AL6465" s="163">
        <v>6.350594421401258</v>
      </c>
    </row>
    <row r="6466" spans="37:38" s="4" customFormat="1">
      <c r="AK6466" s="3">
        <v>6460</v>
      </c>
      <c r="AL6466" s="163">
        <v>6.3513917109210674</v>
      </c>
    </row>
    <row r="6467" spans="37:38" s="4" customFormat="1">
      <c r="AK6467" s="3">
        <v>6461</v>
      </c>
      <c r="AL6467" s="163">
        <v>6.3521887543968312</v>
      </c>
    </row>
    <row r="6468" spans="37:38" s="4" customFormat="1">
      <c r="AK6468" s="3">
        <v>6462</v>
      </c>
      <c r="AL6468" s="163">
        <v>6.3529855517726546</v>
      </c>
    </row>
    <row r="6469" spans="37:38" s="4" customFormat="1">
      <c r="AK6469" s="3">
        <v>6463</v>
      </c>
      <c r="AL6469" s="163">
        <v>6.3537821029929518</v>
      </c>
    </row>
    <row r="6470" spans="37:38" s="4" customFormat="1">
      <c r="AK6470" s="3">
        <v>6464</v>
      </c>
      <c r="AL6470" s="163">
        <v>6.3545784080023431</v>
      </c>
    </row>
    <row r="6471" spans="37:38" s="4" customFormat="1">
      <c r="AK6471" s="3">
        <v>6465</v>
      </c>
      <c r="AL6471" s="163">
        <v>6.3553744667457366</v>
      </c>
    </row>
    <row r="6472" spans="37:38" s="4" customFormat="1">
      <c r="AK6472" s="3">
        <v>6466</v>
      </c>
      <c r="AL6472" s="163">
        <v>6.3561702791682784</v>
      </c>
    </row>
    <row r="6473" spans="37:38" s="4" customFormat="1">
      <c r="AK6473" s="3">
        <v>6467</v>
      </c>
      <c r="AL6473" s="163">
        <v>6.3569658452154094</v>
      </c>
    </row>
    <row r="6474" spans="37:38" s="4" customFormat="1">
      <c r="AK6474" s="3">
        <v>6468</v>
      </c>
      <c r="AL6474" s="163">
        <v>6.3577611648327945</v>
      </c>
    </row>
    <row r="6475" spans="37:38" s="4" customFormat="1">
      <c r="AK6475" s="3">
        <v>6469</v>
      </c>
      <c r="AL6475" s="163">
        <v>6.3585562379663756</v>
      </c>
    </row>
    <row r="6476" spans="37:38" s="4" customFormat="1">
      <c r="AK6476" s="3">
        <v>6470</v>
      </c>
      <c r="AL6476" s="163">
        <v>6.3593510645623539</v>
      </c>
    </row>
    <row r="6477" spans="37:38" s="4" customFormat="1">
      <c r="AK6477" s="3">
        <v>6471</v>
      </c>
      <c r="AL6477" s="163">
        <v>6.360145644567158</v>
      </c>
    </row>
    <row r="6478" spans="37:38" s="4" customFormat="1">
      <c r="AK6478" s="3">
        <v>6472</v>
      </c>
      <c r="AL6478" s="163">
        <v>6.3609399779275293</v>
      </c>
    </row>
    <row r="6479" spans="37:38" s="4" customFormat="1">
      <c r="AK6479" s="3">
        <v>6473</v>
      </c>
      <c r="AL6479" s="163">
        <v>6.3617340645904505</v>
      </c>
    </row>
    <row r="6480" spans="37:38" s="4" customFormat="1">
      <c r="AK6480" s="3">
        <v>6474</v>
      </c>
      <c r="AL6480" s="163">
        <v>6.3625279045031355</v>
      </c>
    </row>
    <row r="6481" spans="37:38" s="4" customFormat="1">
      <c r="AK6481" s="3">
        <v>6475</v>
      </c>
      <c r="AL6481" s="163">
        <v>6.3633214976130716</v>
      </c>
    </row>
    <row r="6482" spans="37:38" s="4" customFormat="1">
      <c r="AK6482" s="3">
        <v>6476</v>
      </c>
      <c r="AL6482" s="163">
        <v>6.3641148438680517</v>
      </c>
    </row>
    <row r="6483" spans="37:38" s="4" customFormat="1">
      <c r="AK6483" s="3">
        <v>6477</v>
      </c>
      <c r="AL6483" s="163">
        <v>6.3649079432160605</v>
      </c>
    </row>
    <row r="6484" spans="37:38" s="4" customFormat="1">
      <c r="AK6484" s="3">
        <v>6478</v>
      </c>
      <c r="AL6484" s="163">
        <v>6.3657007956053988</v>
      </c>
    </row>
    <row r="6485" spans="37:38" s="4" customFormat="1">
      <c r="AK6485" s="3">
        <v>6479</v>
      </c>
      <c r="AL6485" s="163">
        <v>6.3664934009845631</v>
      </c>
    </row>
    <row r="6486" spans="37:38" s="4" customFormat="1">
      <c r="AK6486" s="3">
        <v>6480</v>
      </c>
      <c r="AL6486" s="163">
        <v>6.3672857593024155</v>
      </c>
    </row>
    <row r="6487" spans="37:38" s="4" customFormat="1">
      <c r="AK6487" s="3">
        <v>6481</v>
      </c>
      <c r="AL6487" s="163">
        <v>6.3680778705079675</v>
      </c>
    </row>
    <row r="6488" spans="37:38" s="4" customFormat="1">
      <c r="AK6488" s="3">
        <v>6482</v>
      </c>
      <c r="AL6488" s="163">
        <v>6.3688697345505645</v>
      </c>
    </row>
    <row r="6489" spans="37:38" s="4" customFormat="1">
      <c r="AK6489" s="3">
        <v>6483</v>
      </c>
      <c r="AL6489" s="163">
        <v>6.3696613513797722</v>
      </c>
    </row>
    <row r="6490" spans="37:38" s="4" customFormat="1">
      <c r="AK6490" s="3">
        <v>6484</v>
      </c>
      <c r="AL6490" s="163">
        <v>6.3704527209454511</v>
      </c>
    </row>
    <row r="6491" spans="37:38" s="4" customFormat="1">
      <c r="AK6491" s="3">
        <v>6485</v>
      </c>
      <c r="AL6491" s="163">
        <v>6.3712438431977496</v>
      </c>
    </row>
    <row r="6492" spans="37:38" s="4" customFormat="1">
      <c r="AK6492" s="3">
        <v>6486</v>
      </c>
      <c r="AL6492" s="163">
        <v>6.3720347180869794</v>
      </c>
    </row>
    <row r="6493" spans="37:38" s="4" customFormat="1">
      <c r="AK6493" s="3">
        <v>6487</v>
      </c>
      <c r="AL6493" s="163">
        <v>6.3728253455637542</v>
      </c>
    </row>
    <row r="6494" spans="37:38" s="4" customFormat="1">
      <c r="AK6494" s="3">
        <v>6488</v>
      </c>
      <c r="AL6494" s="163">
        <v>6.3736157255790715</v>
      </c>
    </row>
    <row r="6495" spans="37:38" s="4" customFormat="1">
      <c r="AK6495" s="3">
        <v>6489</v>
      </c>
      <c r="AL6495" s="163">
        <v>6.3744058580840033</v>
      </c>
    </row>
    <row r="6496" spans="37:38" s="4" customFormat="1">
      <c r="AK6496" s="3">
        <v>6490</v>
      </c>
      <c r="AL6496" s="163">
        <v>6.3751957430299768</v>
      </c>
    </row>
    <row r="6497" spans="37:38" s="4" customFormat="1">
      <c r="AK6497" s="3">
        <v>6491</v>
      </c>
      <c r="AL6497" s="163">
        <v>6.3759853803687427</v>
      </c>
    </row>
    <row r="6498" spans="37:38" s="4" customFormat="1">
      <c r="AK6498" s="3">
        <v>6492</v>
      </c>
      <c r="AL6498" s="163">
        <v>6.3767747700521547</v>
      </c>
    </row>
    <row r="6499" spans="37:38" s="4" customFormat="1">
      <c r="AK6499" s="3">
        <v>6493</v>
      </c>
      <c r="AL6499" s="163">
        <v>6.3775639120325138</v>
      </c>
    </row>
    <row r="6500" spans="37:38" s="4" customFormat="1">
      <c r="AK6500" s="3">
        <v>6494</v>
      </c>
      <c r="AL6500" s="163">
        <v>6.3783528062622459</v>
      </c>
    </row>
    <row r="6501" spans="37:38" s="4" customFormat="1">
      <c r="AK6501" s="3">
        <v>6495</v>
      </c>
      <c r="AL6501" s="163">
        <v>6.3791414526940997</v>
      </c>
    </row>
    <row r="6502" spans="37:38" s="4" customFormat="1">
      <c r="AK6502" s="3">
        <v>6496</v>
      </c>
      <c r="AL6502" s="163">
        <v>6.3799298512810871</v>
      </c>
    </row>
    <row r="6503" spans="37:38" s="4" customFormat="1">
      <c r="AK6503" s="3">
        <v>6497</v>
      </c>
      <c r="AL6503" s="163">
        <v>6.3807180019764864</v>
      </c>
    </row>
    <row r="6504" spans="37:38" s="4" customFormat="1">
      <c r="AK6504" s="3">
        <v>6498</v>
      </c>
      <c r="AL6504" s="163">
        <v>6.3815059047338032</v>
      </c>
    </row>
    <row r="6505" spans="37:38" s="4" customFormat="1">
      <c r="AK6505" s="3">
        <v>6499</v>
      </c>
      <c r="AL6505" s="163">
        <v>6.382293559506877</v>
      </c>
    </row>
    <row r="6506" spans="37:38" s="4" customFormat="1">
      <c r="AK6506" s="3">
        <v>6500</v>
      </c>
      <c r="AL6506" s="163">
        <v>6.3830809662497323</v>
      </c>
    </row>
    <row r="6507" spans="37:38" s="4" customFormat="1">
      <c r="AK6507" s="3">
        <v>6501</v>
      </c>
      <c r="AL6507" s="163">
        <v>6.3838681249166811</v>
      </c>
    </row>
    <row r="6508" spans="37:38" s="4" customFormat="1">
      <c r="AK6508" s="3">
        <v>6502</v>
      </c>
      <c r="AL6508" s="163">
        <v>6.3846550354623695</v>
      </c>
    </row>
    <row r="6509" spans="37:38" s="4" customFormat="1">
      <c r="AK6509" s="3">
        <v>6503</v>
      </c>
      <c r="AL6509" s="163">
        <v>6.3854416978416317</v>
      </c>
    </row>
    <row r="6510" spans="37:38" s="4" customFormat="1">
      <c r="AK6510" s="3">
        <v>6504</v>
      </c>
      <c r="AL6510" s="163">
        <v>6.3862281120096114</v>
      </c>
    </row>
    <row r="6511" spans="37:38" s="4" customFormat="1">
      <c r="AK6511" s="3">
        <v>6505</v>
      </c>
      <c r="AL6511" s="163">
        <v>6.3870142779216259</v>
      </c>
    </row>
    <row r="6512" spans="37:38" s="4" customFormat="1">
      <c r="AK6512" s="3">
        <v>6506</v>
      </c>
      <c r="AL6512" s="163">
        <v>6.3878001955334156</v>
      </c>
    </row>
    <row r="6513" spans="37:38" s="4" customFormat="1">
      <c r="AK6513" s="3">
        <v>6507</v>
      </c>
      <c r="AL6513" s="163">
        <v>6.388585864800902</v>
      </c>
    </row>
    <row r="6514" spans="37:38" s="4" customFormat="1">
      <c r="AK6514" s="3">
        <v>6508</v>
      </c>
      <c r="AL6514" s="163">
        <v>6.389371285680209</v>
      </c>
    </row>
    <row r="6515" spans="37:38" s="4" customFormat="1">
      <c r="AK6515" s="3">
        <v>6509</v>
      </c>
      <c r="AL6515" s="163">
        <v>6.3901564581278407</v>
      </c>
    </row>
    <row r="6516" spans="37:38" s="4" customFormat="1">
      <c r="AK6516" s="3">
        <v>6510</v>
      </c>
      <c r="AL6516" s="163">
        <v>6.3909413821004968</v>
      </c>
    </row>
    <row r="6517" spans="37:38" s="4" customFormat="1">
      <c r="AK6517" s="3">
        <v>6511</v>
      </c>
      <c r="AL6517" s="163">
        <v>6.3917260575551751</v>
      </c>
    </row>
    <row r="6518" spans="37:38" s="4" customFormat="1">
      <c r="AK6518" s="3">
        <v>6512</v>
      </c>
      <c r="AL6518" s="163">
        <v>6.3925104844491258</v>
      </c>
    </row>
    <row r="6519" spans="37:38" s="4" customFormat="1">
      <c r="AK6519" s="3">
        <v>6513</v>
      </c>
      <c r="AL6519" s="163">
        <v>6.393294662739887</v>
      </c>
    </row>
    <row r="6520" spans="37:38" s="4" customFormat="1">
      <c r="AK6520" s="3">
        <v>6514</v>
      </c>
      <c r="AL6520" s="163">
        <v>6.3940785923852701</v>
      </c>
    </row>
    <row r="6521" spans="37:38" s="4" customFormat="1">
      <c r="AK6521" s="3">
        <v>6515</v>
      </c>
      <c r="AL6521" s="163">
        <v>6.3948622733432465</v>
      </c>
    </row>
    <row r="6522" spans="37:38" s="4" customFormat="1">
      <c r="AK6522" s="3">
        <v>6516</v>
      </c>
      <c r="AL6522" s="163">
        <v>6.3956457055722424</v>
      </c>
    </row>
    <row r="6523" spans="37:38" s="4" customFormat="1">
      <c r="AK6523" s="3">
        <v>6517</v>
      </c>
      <c r="AL6523" s="163">
        <v>6.3964288890307834</v>
      </c>
    </row>
    <row r="6524" spans="37:38" s="4" customFormat="1">
      <c r="AK6524" s="3">
        <v>6518</v>
      </c>
      <c r="AL6524" s="163">
        <v>6.3972118236777611</v>
      </c>
    </row>
    <row r="6525" spans="37:38" s="4" customFormat="1">
      <c r="AK6525" s="3">
        <v>6519</v>
      </c>
      <c r="AL6525" s="163">
        <v>6.3979945094723334</v>
      </c>
    </row>
    <row r="6526" spans="37:38" s="4" customFormat="1">
      <c r="AK6526" s="3">
        <v>6520</v>
      </c>
      <c r="AL6526" s="163">
        <v>6.3987769463738253</v>
      </c>
    </row>
    <row r="6527" spans="37:38" s="4" customFormat="1">
      <c r="AK6527" s="3">
        <v>6521</v>
      </c>
      <c r="AL6527" s="163">
        <v>6.3995591343419669</v>
      </c>
    </row>
    <row r="6528" spans="37:38" s="4" customFormat="1">
      <c r="AK6528" s="3">
        <v>6522</v>
      </c>
      <c r="AL6528" s="163">
        <v>6.4003410733366586</v>
      </c>
    </row>
    <row r="6529" spans="37:38" s="4" customFormat="1">
      <c r="AK6529" s="3">
        <v>6523</v>
      </c>
      <c r="AL6529" s="163">
        <v>6.4011227633181313</v>
      </c>
    </row>
    <row r="6530" spans="37:38" s="4" customFormat="1">
      <c r="AK6530" s="3">
        <v>6524</v>
      </c>
      <c r="AL6530" s="163">
        <v>6.401904204246879</v>
      </c>
    </row>
    <row r="6531" spans="37:38" s="4" customFormat="1">
      <c r="AK6531" s="3">
        <v>6525</v>
      </c>
      <c r="AL6531" s="163">
        <v>6.4026853960836192</v>
      </c>
    </row>
    <row r="6532" spans="37:38" s="4" customFormat="1">
      <c r="AK6532" s="3">
        <v>6526</v>
      </c>
      <c r="AL6532" s="163">
        <v>6.4034663387893396</v>
      </c>
    </row>
    <row r="6533" spans="37:38" s="4" customFormat="1">
      <c r="AK6533" s="3">
        <v>6527</v>
      </c>
      <c r="AL6533" s="163">
        <v>6.404247032325376</v>
      </c>
    </row>
    <row r="6534" spans="37:38" s="4" customFormat="1">
      <c r="AK6534" s="3">
        <v>6528</v>
      </c>
      <c r="AL6534" s="163">
        <v>6.4050274766532489</v>
      </c>
    </row>
    <row r="6535" spans="37:38" s="4" customFormat="1">
      <c r="AK6535" s="3">
        <v>6529</v>
      </c>
      <c r="AL6535" s="163">
        <v>6.4058076717348236</v>
      </c>
    </row>
    <row r="6536" spans="37:38" s="4" customFormat="1">
      <c r="AK6536" s="3">
        <v>6530</v>
      </c>
      <c r="AL6536" s="163">
        <v>6.4065876175321463</v>
      </c>
    </row>
    <row r="6537" spans="37:38" s="4" customFormat="1">
      <c r="AK6537" s="3">
        <v>6531</v>
      </c>
      <c r="AL6537" s="163">
        <v>6.4073673140075691</v>
      </c>
    </row>
    <row r="6538" spans="37:38" s="4" customFormat="1">
      <c r="AK6538" s="3">
        <v>6532</v>
      </c>
      <c r="AL6538" s="163">
        <v>6.4081467611238061</v>
      </c>
    </row>
    <row r="6539" spans="37:38" s="4" customFormat="1">
      <c r="AK6539" s="3">
        <v>6533</v>
      </c>
      <c r="AL6539" s="163">
        <v>6.4089259588436995</v>
      </c>
    </row>
    <row r="6540" spans="37:38" s="4" customFormat="1">
      <c r="AK6540" s="3">
        <v>6534</v>
      </c>
      <c r="AL6540" s="163">
        <v>6.4097049071304433</v>
      </c>
    </row>
    <row r="6541" spans="37:38" s="4" customFormat="1">
      <c r="AK6541" s="3">
        <v>6535</v>
      </c>
      <c r="AL6541" s="163">
        <v>6.4104836059475261</v>
      </c>
    </row>
    <row r="6542" spans="37:38" s="4" customFormat="1">
      <c r="AK6542" s="3">
        <v>6536</v>
      </c>
      <c r="AL6542" s="163">
        <v>6.4112620552586073</v>
      </c>
    </row>
    <row r="6543" spans="37:38" s="4" customFormat="1">
      <c r="AK6543" s="3">
        <v>6537</v>
      </c>
      <c r="AL6543" s="163">
        <v>6.4120402550277227</v>
      </c>
    </row>
    <row r="6544" spans="37:38" s="4" customFormat="1">
      <c r="AK6544" s="3">
        <v>6538</v>
      </c>
      <c r="AL6544" s="163">
        <v>6.4128182052191001</v>
      </c>
    </row>
    <row r="6545" spans="37:38" s="4" customFormat="1">
      <c r="AK6545" s="3">
        <v>6539</v>
      </c>
      <c r="AL6545" s="163">
        <v>6.4135959057973437</v>
      </c>
    </row>
    <row r="6546" spans="37:38" s="4" customFormat="1">
      <c r="AK6546" s="3">
        <v>6540</v>
      </c>
      <c r="AL6546" s="163">
        <v>6.414373356727161</v>
      </c>
    </row>
    <row r="6547" spans="37:38" s="4" customFormat="1">
      <c r="AK6547" s="3">
        <v>6541</v>
      </c>
      <c r="AL6547" s="163">
        <v>6.4151505579737211</v>
      </c>
    </row>
    <row r="6548" spans="37:38" s="4" customFormat="1">
      <c r="AK6548" s="3">
        <v>6542</v>
      </c>
      <c r="AL6548" s="163">
        <v>6.4159275095023425</v>
      </c>
    </row>
    <row r="6549" spans="37:38" s="4" customFormat="1">
      <c r="AK6549" s="3">
        <v>6543</v>
      </c>
      <c r="AL6549" s="163">
        <v>6.416704211278681</v>
      </c>
    </row>
    <row r="6550" spans="37:38" s="4" customFormat="1">
      <c r="AK6550" s="3">
        <v>6544</v>
      </c>
      <c r="AL6550" s="163">
        <v>6.4174806632685915</v>
      </c>
    </row>
    <row r="6551" spans="37:38" s="4" customFormat="1">
      <c r="AK6551" s="3">
        <v>6545</v>
      </c>
      <c r="AL6551" s="163">
        <v>6.4182568654382699</v>
      </c>
    </row>
    <row r="6552" spans="37:38" s="4" customFormat="1">
      <c r="AK6552" s="3">
        <v>6546</v>
      </c>
      <c r="AL6552" s="163">
        <v>6.4190328177541609</v>
      </c>
    </row>
    <row r="6553" spans="37:38" s="4" customFormat="1">
      <c r="AK6553" s="3">
        <v>6547</v>
      </c>
      <c r="AL6553" s="163">
        <v>6.4198085201829791</v>
      </c>
    </row>
    <row r="6554" spans="37:38" s="4" customFormat="1">
      <c r="AK6554" s="3">
        <v>6548</v>
      </c>
      <c r="AL6554" s="163">
        <v>6.4205839726917482</v>
      </c>
    </row>
    <row r="6555" spans="37:38" s="4" customFormat="1">
      <c r="AK6555" s="3">
        <v>6549</v>
      </c>
      <c r="AL6555" s="163">
        <v>6.4213591752476979</v>
      </c>
    </row>
    <row r="6556" spans="37:38" s="4" customFormat="1">
      <c r="AK6556" s="3">
        <v>6550</v>
      </c>
      <c r="AL6556" s="163">
        <v>6.4221341278183708</v>
      </c>
    </row>
    <row r="6557" spans="37:38" s="4" customFormat="1">
      <c r="AK6557" s="3">
        <v>6551</v>
      </c>
      <c r="AL6557" s="163">
        <v>6.4229088303716111</v>
      </c>
    </row>
    <row r="6558" spans="37:38" s="4" customFormat="1">
      <c r="AK6558" s="3">
        <v>6552</v>
      </c>
      <c r="AL6558" s="163">
        <v>6.4236832828755084</v>
      </c>
    </row>
    <row r="6559" spans="37:38" s="4" customFormat="1">
      <c r="AK6559" s="3">
        <v>6553</v>
      </c>
      <c r="AL6559" s="163">
        <v>6.4244574852983867</v>
      </c>
    </row>
    <row r="6560" spans="37:38" s="4" customFormat="1">
      <c r="AK6560" s="3">
        <v>6554</v>
      </c>
      <c r="AL6560" s="163">
        <v>6.4252314376088968</v>
      </c>
    </row>
    <row r="6561" spans="37:38" s="4" customFormat="1">
      <c r="AK6561" s="3">
        <v>6555</v>
      </c>
      <c r="AL6561" s="163">
        <v>6.4260051397760058</v>
      </c>
    </row>
    <row r="6562" spans="37:38" s="4" customFormat="1">
      <c r="AK6562" s="3">
        <v>6556</v>
      </c>
      <c r="AL6562" s="163">
        <v>6.4267785917688585</v>
      </c>
    </row>
    <row r="6563" spans="37:38" s="4" customFormat="1">
      <c r="AK6563" s="3">
        <v>6557</v>
      </c>
      <c r="AL6563" s="163">
        <v>6.4275517935569368</v>
      </c>
    </row>
    <row r="6564" spans="37:38" s="4" customFormat="1">
      <c r="AK6564" s="3">
        <v>6558</v>
      </c>
      <c r="AL6564" s="163">
        <v>6.4283247451099257</v>
      </c>
    </row>
    <row r="6565" spans="37:38" s="4" customFormat="1">
      <c r="AK6565" s="3">
        <v>6559</v>
      </c>
      <c r="AL6565" s="163">
        <v>6.4290974463979289</v>
      </c>
    </row>
    <row r="6566" spans="37:38" s="4" customFormat="1">
      <c r="AK6566" s="3">
        <v>6560</v>
      </c>
      <c r="AL6566" s="163">
        <v>6.4298698973912032</v>
      </c>
    </row>
    <row r="6567" spans="37:38" s="4" customFormat="1">
      <c r="AK6567" s="3">
        <v>6561</v>
      </c>
      <c r="AL6567" s="163">
        <v>6.430642098060293</v>
      </c>
    </row>
    <row r="6568" spans="37:38" s="4" customFormat="1">
      <c r="AK6568" s="3">
        <v>6562</v>
      </c>
      <c r="AL6568" s="163">
        <v>6.4314140483760802</v>
      </c>
    </row>
    <row r="6569" spans="37:38" s="4" customFormat="1">
      <c r="AK6569" s="3">
        <v>6563</v>
      </c>
      <c r="AL6569" s="163">
        <v>6.4321857483096387</v>
      </c>
    </row>
    <row r="6570" spans="37:38" s="4" customFormat="1">
      <c r="AK6570" s="3">
        <v>6564</v>
      </c>
      <c r="AL6570" s="163">
        <v>6.4329571978324331</v>
      </c>
    </row>
    <row r="6571" spans="37:38" s="4" customFormat="1">
      <c r="AK6571" s="3">
        <v>6565</v>
      </c>
      <c r="AL6571" s="163">
        <v>6.4337283969160772</v>
      </c>
    </row>
    <row r="6572" spans="37:38" s="4" customFormat="1">
      <c r="AK6572" s="3">
        <v>6566</v>
      </c>
      <c r="AL6572" s="163">
        <v>6.4344993455325508</v>
      </c>
    </row>
    <row r="6573" spans="37:38" s="4" customFormat="1">
      <c r="AK6573" s="3">
        <v>6567</v>
      </c>
      <c r="AL6573" s="163">
        <v>6.4352700436540822</v>
      </c>
    </row>
    <row r="6574" spans="37:38" s="4" customFormat="1">
      <c r="AK6574" s="3">
        <v>6568</v>
      </c>
      <c r="AL6574" s="163">
        <v>6.4360404912531521</v>
      </c>
    </row>
    <row r="6575" spans="37:38" s="4" customFormat="1">
      <c r="AK6575" s="3">
        <v>6569</v>
      </c>
      <c r="AL6575" s="163">
        <v>6.4368106883026037</v>
      </c>
    </row>
    <row r="6576" spans="37:38" s="4" customFormat="1">
      <c r="AK6576" s="3">
        <v>6570</v>
      </c>
      <c r="AL6576" s="163">
        <v>6.4375806347754434</v>
      </c>
    </row>
    <row r="6577" spans="37:38" s="4" customFormat="1">
      <c r="AK6577" s="3">
        <v>6571</v>
      </c>
      <c r="AL6577" s="163">
        <v>6.43835033064504</v>
      </c>
    </row>
    <row r="6578" spans="37:38" s="4" customFormat="1">
      <c r="AK6578" s="3">
        <v>6572</v>
      </c>
      <c r="AL6578" s="163">
        <v>6.4391197758849685</v>
      </c>
    </row>
    <row r="6579" spans="37:38" s="4" customFormat="1">
      <c r="AK6579" s="3">
        <v>6573</v>
      </c>
      <c r="AL6579" s="163">
        <v>6.4398889704691875</v>
      </c>
    </row>
    <row r="6580" spans="37:38" s="4" customFormat="1">
      <c r="AK6580" s="3">
        <v>6574</v>
      </c>
      <c r="AL6580" s="163">
        <v>6.440657914371819</v>
      </c>
    </row>
    <row r="6581" spans="37:38" s="4" customFormat="1">
      <c r="AK6581" s="3">
        <v>6575</v>
      </c>
      <c r="AL6581" s="163">
        <v>6.441426607567351</v>
      </c>
    </row>
    <row r="6582" spans="37:38" s="4" customFormat="1">
      <c r="AK6582" s="3">
        <v>6576</v>
      </c>
      <c r="AL6582" s="163">
        <v>6.4421950500305201</v>
      </c>
    </row>
    <row r="6583" spans="37:38" s="4" customFormat="1">
      <c r="AK6583" s="3">
        <v>6577</v>
      </c>
      <c r="AL6583" s="163">
        <v>6.4429632417362726</v>
      </c>
    </row>
    <row r="6584" spans="37:38" s="4" customFormat="1">
      <c r="AK6584" s="3">
        <v>6578</v>
      </c>
      <c r="AL6584" s="163">
        <v>6.4437311826599704</v>
      </c>
    </row>
    <row r="6585" spans="37:38" s="4" customFormat="1">
      <c r="AK6585" s="3">
        <v>6579</v>
      </c>
      <c r="AL6585" s="163">
        <v>6.4444988727771673</v>
      </c>
    </row>
    <row r="6586" spans="37:38" s="4" customFormat="1">
      <c r="AK6586" s="3">
        <v>6580</v>
      </c>
      <c r="AL6586" s="163">
        <v>6.4452663120636799</v>
      </c>
    </row>
    <row r="6587" spans="37:38" s="4" customFormat="1">
      <c r="AK6587" s="3">
        <v>6581</v>
      </c>
      <c r="AL6587" s="163">
        <v>6.4460335004956875</v>
      </c>
    </row>
    <row r="6588" spans="37:38" s="4" customFormat="1">
      <c r="AK6588" s="3">
        <v>6582</v>
      </c>
      <c r="AL6588" s="163">
        <v>6.4468004380495394</v>
      </c>
    </row>
    <row r="6589" spans="37:38" s="4" customFormat="1">
      <c r="AK6589" s="3">
        <v>6583</v>
      </c>
      <c r="AL6589" s="163">
        <v>6.4475671247019513</v>
      </c>
    </row>
    <row r="6590" spans="37:38" s="4" customFormat="1">
      <c r="AK6590" s="3">
        <v>6584</v>
      </c>
      <c r="AL6590" s="163">
        <v>6.4483335604299299</v>
      </c>
    </row>
    <row r="6591" spans="37:38" s="4" customFormat="1">
      <c r="AK6591" s="3">
        <v>6585</v>
      </c>
      <c r="AL6591" s="163">
        <v>6.4490997452106669</v>
      </c>
    </row>
    <row r="6592" spans="37:38" s="4" customFormat="1">
      <c r="AK6592" s="3">
        <v>6586</v>
      </c>
      <c r="AL6592" s="163">
        <v>6.4498656790217233</v>
      </c>
    </row>
    <row r="6593" spans="37:38" s="4" customFormat="1">
      <c r="AK6593" s="3">
        <v>6587</v>
      </c>
      <c r="AL6593" s="163">
        <v>6.4506313618409088</v>
      </c>
    </row>
    <row r="6594" spans="37:38" s="4" customFormat="1">
      <c r="AK6594" s="3">
        <v>6588</v>
      </c>
      <c r="AL6594" s="163">
        <v>6.4513967936463281</v>
      </c>
    </row>
    <row r="6595" spans="37:38" s="4" customFormat="1">
      <c r="AK6595" s="3">
        <v>6589</v>
      </c>
      <c r="AL6595" s="163">
        <v>6.4521619744163132</v>
      </c>
    </row>
    <row r="6596" spans="37:38" s="4" customFormat="1">
      <c r="AK6596" s="3">
        <v>6590</v>
      </c>
      <c r="AL6596" s="163">
        <v>6.4529269041295656</v>
      </c>
    </row>
    <row r="6597" spans="37:38" s="4" customFormat="1">
      <c r="AK6597" s="3">
        <v>6591</v>
      </c>
      <c r="AL6597" s="163">
        <v>6.4536915827649892</v>
      </c>
    </row>
    <row r="6598" spans="37:38" s="4" customFormat="1">
      <c r="AK6598" s="3">
        <v>6592</v>
      </c>
      <c r="AL6598" s="163">
        <v>6.4544560103018007</v>
      </c>
    </row>
    <row r="6599" spans="37:38" s="4" customFormat="1">
      <c r="AK6599" s="3">
        <v>6593</v>
      </c>
      <c r="AL6599" s="163">
        <v>6.4552201867195222</v>
      </c>
    </row>
    <row r="6600" spans="37:38" s="4" customFormat="1">
      <c r="AK6600" s="3">
        <v>6594</v>
      </c>
      <c r="AL6600" s="163">
        <v>6.4559841119979353</v>
      </c>
    </row>
    <row r="6601" spans="37:38" s="4" customFormat="1">
      <c r="AK6601" s="3">
        <v>6595</v>
      </c>
      <c r="AL6601" s="163">
        <v>6.4567477861170843</v>
      </c>
    </row>
    <row r="6602" spans="37:38" s="4" customFormat="1">
      <c r="AK6602" s="3">
        <v>6596</v>
      </c>
      <c r="AL6602" s="163">
        <v>6.4575112090573512</v>
      </c>
    </row>
    <row r="6603" spans="37:38" s="4" customFormat="1">
      <c r="AK6603" s="3">
        <v>6597</v>
      </c>
      <c r="AL6603" s="163">
        <v>6.4582743807993381</v>
      </c>
    </row>
    <row r="6604" spans="37:38" s="4" customFormat="1">
      <c r="AK6604" s="3">
        <v>6598</v>
      </c>
      <c r="AL6604" s="163">
        <v>6.4590373013239528</v>
      </c>
    </row>
    <row r="6605" spans="37:38" s="4" customFormat="1">
      <c r="AK6605" s="3">
        <v>6599</v>
      </c>
      <c r="AL6605" s="163">
        <v>6.4597999706124014</v>
      </c>
    </row>
    <row r="6606" spans="37:38" s="4" customFormat="1">
      <c r="AK6606" s="3">
        <v>6600</v>
      </c>
      <c r="AL6606" s="163">
        <v>6.4605623886461814</v>
      </c>
    </row>
    <row r="6607" spans="37:38" s="4" customFormat="1">
      <c r="AK6607" s="3">
        <v>6601</v>
      </c>
      <c r="AL6607" s="163">
        <v>6.4613245554070176</v>
      </c>
    </row>
    <row r="6608" spans="37:38" s="4" customFormat="1">
      <c r="AK6608" s="3">
        <v>6602</v>
      </c>
      <c r="AL6608" s="163">
        <v>6.4620864708769723</v>
      </c>
    </row>
    <row r="6609" spans="37:38" s="4" customFormat="1">
      <c r="AK6609" s="3">
        <v>6603</v>
      </c>
      <c r="AL6609" s="163">
        <v>6.462848135038378</v>
      </c>
    </row>
    <row r="6610" spans="37:38" s="4" customFormat="1">
      <c r="AK6610" s="3">
        <v>6604</v>
      </c>
      <c r="AL6610" s="163">
        <v>6.4636095478738724</v>
      </c>
    </row>
    <row r="6611" spans="37:38" s="4" customFormat="1">
      <c r="AK6611" s="3">
        <v>6605</v>
      </c>
      <c r="AL6611" s="163">
        <v>6.4643707093663245</v>
      </c>
    </row>
    <row r="6612" spans="37:38" s="4" customFormat="1">
      <c r="AK6612" s="3">
        <v>6606</v>
      </c>
      <c r="AL6612" s="163">
        <v>6.4651316194989228</v>
      </c>
    </row>
    <row r="6613" spans="37:38" s="4" customFormat="1">
      <c r="AK6613" s="3">
        <v>6607</v>
      </c>
      <c r="AL6613" s="163">
        <v>6.4658922782551436</v>
      </c>
    </row>
    <row r="6614" spans="37:38" s="4" customFormat="1">
      <c r="AK6614" s="3">
        <v>6608</v>
      </c>
      <c r="AL6614" s="163">
        <v>6.4666526856186977</v>
      </c>
    </row>
    <row r="6615" spans="37:38" s="4" customFormat="1">
      <c r="AK6615" s="3">
        <v>6609</v>
      </c>
      <c r="AL6615" s="163">
        <v>6.4674128415736867</v>
      </c>
    </row>
    <row r="6616" spans="37:38" s="4" customFormat="1">
      <c r="AK6616" s="3">
        <v>6610</v>
      </c>
      <c r="AL6616" s="163">
        <v>6.4681727461043934</v>
      </c>
    </row>
    <row r="6617" spans="37:38" s="4" customFormat="1">
      <c r="AK6617" s="3">
        <v>6611</v>
      </c>
      <c r="AL6617" s="163">
        <v>6.4689323991954311</v>
      </c>
    </row>
    <row r="6618" spans="37:38" s="4" customFormat="1">
      <c r="AK6618" s="3">
        <v>6612</v>
      </c>
      <c r="AL6618" s="163">
        <v>6.4696918008317041</v>
      </c>
    </row>
    <row r="6619" spans="37:38" s="4" customFormat="1">
      <c r="AK6619" s="3">
        <v>6613</v>
      </c>
      <c r="AL6619" s="163">
        <v>6.4704509509983552</v>
      </c>
    </row>
    <row r="6620" spans="37:38" s="4" customFormat="1">
      <c r="AK6620" s="3">
        <v>6614</v>
      </c>
      <c r="AL6620" s="163">
        <v>6.4712098496808821</v>
      </c>
    </row>
    <row r="6621" spans="37:38" s="4" customFormat="1">
      <c r="AK6621" s="3">
        <v>6615</v>
      </c>
      <c r="AL6621" s="163">
        <v>6.4719684968650455</v>
      </c>
    </row>
    <row r="6622" spans="37:38" s="4" customFormat="1">
      <c r="AK6622" s="3">
        <v>6616</v>
      </c>
      <c r="AL6622" s="163">
        <v>6.4727268925368513</v>
      </c>
    </row>
    <row r="6623" spans="37:38" s="4" customFormat="1">
      <c r="AK6623" s="3">
        <v>6617</v>
      </c>
      <c r="AL6623" s="163">
        <v>6.4734850366826109</v>
      </c>
    </row>
    <row r="6624" spans="37:38" s="4" customFormat="1">
      <c r="AK6624" s="3">
        <v>6618</v>
      </c>
      <c r="AL6624" s="163">
        <v>6.4742429292889696</v>
      </c>
    </row>
    <row r="6625" spans="37:38" s="4" customFormat="1">
      <c r="AK6625" s="3">
        <v>6619</v>
      </c>
      <c r="AL6625" s="163">
        <v>6.4750005703427931</v>
      </c>
    </row>
    <row r="6626" spans="37:38" s="4" customFormat="1">
      <c r="AK6626" s="3">
        <v>6620</v>
      </c>
      <c r="AL6626" s="163">
        <v>6.4757579598313377</v>
      </c>
    </row>
    <row r="6627" spans="37:38" s="4" customFormat="1">
      <c r="AK6627" s="3">
        <v>6621</v>
      </c>
      <c r="AL6627" s="163">
        <v>6.4765150977419559</v>
      </c>
    </row>
    <row r="6628" spans="37:38" s="4" customFormat="1">
      <c r="AK6628" s="3">
        <v>6622</v>
      </c>
      <c r="AL6628" s="163">
        <v>6.4772719840624617</v>
      </c>
    </row>
    <row r="6629" spans="37:38" s="4" customFormat="1">
      <c r="AK6629" s="3">
        <v>6623</v>
      </c>
      <c r="AL6629" s="163">
        <v>6.4780286187809182</v>
      </c>
    </row>
    <row r="6630" spans="37:38" s="4" customFormat="1">
      <c r="AK6630" s="3">
        <v>6624</v>
      </c>
      <c r="AL6630" s="163">
        <v>6.4787850018856474</v>
      </c>
    </row>
    <row r="6631" spans="37:38" s="4" customFormat="1">
      <c r="AK6631" s="3">
        <v>6625</v>
      </c>
      <c r="AL6631" s="163">
        <v>6.4795411333652524</v>
      </c>
    </row>
    <row r="6632" spans="37:38" s="4" customFormat="1">
      <c r="AK6632" s="3">
        <v>6626</v>
      </c>
      <c r="AL6632" s="163">
        <v>6.4802970132086557</v>
      </c>
    </row>
    <row r="6633" spans="37:38" s="4" customFormat="1">
      <c r="AK6633" s="3">
        <v>6627</v>
      </c>
      <c r="AL6633" s="163">
        <v>6.4810526414050642</v>
      </c>
    </row>
    <row r="6634" spans="37:38" s="4" customFormat="1">
      <c r="AK6634" s="3">
        <v>6628</v>
      </c>
      <c r="AL6634" s="163">
        <v>6.4818080179439121</v>
      </c>
    </row>
    <row r="6635" spans="37:38" s="4" customFormat="1">
      <c r="AK6635" s="3">
        <v>6629</v>
      </c>
      <c r="AL6635" s="163">
        <v>6.4825631428150174</v>
      </c>
    </row>
    <row r="6636" spans="37:38" s="4" customFormat="1">
      <c r="AK6636" s="3">
        <v>6630</v>
      </c>
      <c r="AL6636" s="163">
        <v>6.483318016008468</v>
      </c>
    </row>
    <row r="6637" spans="37:38" s="4" customFormat="1">
      <c r="AK6637" s="3">
        <v>6631</v>
      </c>
      <c r="AL6637" s="163">
        <v>6.484072637514565</v>
      </c>
    </row>
    <row r="6638" spans="37:38" s="4" customFormat="1">
      <c r="AK6638" s="3">
        <v>6632</v>
      </c>
      <c r="AL6638" s="163">
        <v>6.4848270073239611</v>
      </c>
    </row>
    <row r="6639" spans="37:38" s="4" customFormat="1">
      <c r="AK6639" s="3">
        <v>6633</v>
      </c>
      <c r="AL6639" s="163">
        <v>6.4855811254275544</v>
      </c>
    </row>
    <row r="6640" spans="37:38" s="4" customFormat="1">
      <c r="AK6640" s="3">
        <v>6634</v>
      </c>
      <c r="AL6640" s="163">
        <v>6.4863349918166371</v>
      </c>
    </row>
    <row r="6641" spans="37:38" s="4" customFormat="1">
      <c r="AK6641" s="3">
        <v>6635</v>
      </c>
      <c r="AL6641" s="163">
        <v>6.4870886064826649</v>
      </c>
    </row>
    <row r="6642" spans="37:38" s="4" customFormat="1">
      <c r="AK6642" s="3">
        <v>6636</v>
      </c>
      <c r="AL6642" s="163">
        <v>6.487841969417449</v>
      </c>
    </row>
    <row r="6643" spans="37:38" s="4" customFormat="1">
      <c r="AK6643" s="3">
        <v>6637</v>
      </c>
      <c r="AL6643" s="163">
        <v>6.4885950806130879</v>
      </c>
    </row>
    <row r="6644" spans="37:38" s="4" customFormat="1">
      <c r="AK6644" s="3">
        <v>6638</v>
      </c>
      <c r="AL6644" s="163">
        <v>6.4893479400619505</v>
      </c>
    </row>
    <row r="6645" spans="37:38" s="4" customFormat="1">
      <c r="AK6645" s="3">
        <v>6639</v>
      </c>
      <c r="AL6645" s="163">
        <v>6.4901005477566862</v>
      </c>
    </row>
    <row r="6646" spans="37:38" s="4" customFormat="1">
      <c r="AK6646" s="3">
        <v>6640</v>
      </c>
      <c r="AL6646" s="163">
        <v>6.4908529036902962</v>
      </c>
    </row>
    <row r="6647" spans="37:38" s="4" customFormat="1">
      <c r="AK6647" s="3">
        <v>6641</v>
      </c>
      <c r="AL6647" s="163">
        <v>6.491605007856009</v>
      </c>
    </row>
    <row r="6648" spans="37:38" s="4" customFormat="1">
      <c r="AK6648" s="3">
        <v>6642</v>
      </c>
      <c r="AL6648" s="163">
        <v>6.4923568602473445</v>
      </c>
    </row>
    <row r="6649" spans="37:38" s="4" customFormat="1">
      <c r="AK6649" s="3">
        <v>6643</v>
      </c>
      <c r="AL6649" s="163">
        <v>6.4931084608581671</v>
      </c>
    </row>
    <row r="6650" spans="37:38" s="4" customFormat="1">
      <c r="AK6650" s="3">
        <v>6644</v>
      </c>
      <c r="AL6650" s="163">
        <v>6.4938598096825828</v>
      </c>
    </row>
    <row r="6651" spans="37:38" s="4" customFormat="1">
      <c r="AK6651" s="3">
        <v>6645</v>
      </c>
      <c r="AL6651" s="163">
        <v>6.4946109067150353</v>
      </c>
    </row>
    <row r="6652" spans="37:38" s="4" customFormat="1">
      <c r="AK6652" s="3">
        <v>6646</v>
      </c>
      <c r="AL6652" s="163">
        <v>6.4953617519501883</v>
      </c>
    </row>
    <row r="6653" spans="37:38" s="4" customFormat="1">
      <c r="AK6653" s="3">
        <v>6647</v>
      </c>
      <c r="AL6653" s="163">
        <v>6.4961123453830893</v>
      </c>
    </row>
    <row r="6654" spans="37:38" s="4" customFormat="1">
      <c r="AK6654" s="3">
        <v>6648</v>
      </c>
      <c r="AL6654" s="163">
        <v>6.4968626870089743</v>
      </c>
    </row>
    <row r="6655" spans="37:38" s="4" customFormat="1">
      <c r="AK6655" s="3">
        <v>6649</v>
      </c>
      <c r="AL6655" s="163">
        <v>6.4976127768234768</v>
      </c>
    </row>
    <row r="6656" spans="37:38" s="4" customFormat="1">
      <c r="AK6656" s="3">
        <v>6650</v>
      </c>
      <c r="AL6656" s="163">
        <v>6.4983626148224403</v>
      </c>
    </row>
    <row r="6657" spans="37:38" s="4" customFormat="1">
      <c r="AK6657" s="3">
        <v>6651</v>
      </c>
      <c r="AL6657" s="163">
        <v>6.4991122010020348</v>
      </c>
    </row>
    <row r="6658" spans="37:38" s="4" customFormat="1">
      <c r="AK6658" s="3">
        <v>6652</v>
      </c>
      <c r="AL6658" s="163">
        <v>6.4998615353587503</v>
      </c>
    </row>
    <row r="6659" spans="37:38" s="4" customFormat="1">
      <c r="AK6659" s="3">
        <v>6653</v>
      </c>
      <c r="AL6659" s="163">
        <v>6.5006106178893361</v>
      </c>
    </row>
    <row r="6660" spans="37:38" s="4" customFormat="1">
      <c r="AK6660" s="3">
        <v>6654</v>
      </c>
      <c r="AL6660" s="163">
        <v>6.5013594485907937</v>
      </c>
    </row>
    <row r="6661" spans="37:38" s="4" customFormat="1">
      <c r="AK6661" s="3">
        <v>6655</v>
      </c>
      <c r="AL6661" s="163">
        <v>6.5021080274605119</v>
      </c>
    </row>
    <row r="6662" spans="37:38" s="4" customFormat="1">
      <c r="AK6662" s="3">
        <v>6656</v>
      </c>
      <c r="AL6662" s="163">
        <v>6.5028563544960925</v>
      </c>
    </row>
    <row r="6663" spans="37:38" s="4" customFormat="1">
      <c r="AK6663" s="3">
        <v>6657</v>
      </c>
      <c r="AL6663" s="163">
        <v>6.5036044296954785</v>
      </c>
    </row>
    <row r="6664" spans="37:38" s="4" customFormat="1">
      <c r="AK6664" s="3">
        <v>6658</v>
      </c>
      <c r="AL6664" s="163">
        <v>6.5043522530569042</v>
      </c>
    </row>
    <row r="6665" spans="37:38" s="4" customFormat="1">
      <c r="AK6665" s="3">
        <v>6659</v>
      </c>
      <c r="AL6665" s="163">
        <v>6.5050998245788598</v>
      </c>
    </row>
    <row r="6666" spans="37:38" s="4" customFormat="1">
      <c r="AK6666" s="3">
        <v>6660</v>
      </c>
      <c r="AL6666" s="163">
        <v>6.5058471442601515</v>
      </c>
    </row>
    <row r="6667" spans="37:38" s="4" customFormat="1">
      <c r="AK6667" s="3">
        <v>6661</v>
      </c>
      <c r="AL6667" s="163">
        <v>6.5065942120999338</v>
      </c>
    </row>
    <row r="6668" spans="37:38" s="4" customFormat="1">
      <c r="AK6668" s="3">
        <v>6662</v>
      </c>
      <c r="AL6668" s="163">
        <v>6.5073410280975601</v>
      </c>
    </row>
    <row r="6669" spans="37:38" s="4" customFormat="1">
      <c r="AK6669" s="3">
        <v>6663</v>
      </c>
      <c r="AL6669" s="163">
        <v>6.5080875922527248</v>
      </c>
    </row>
    <row r="6670" spans="37:38" s="4" customFormat="1">
      <c r="AK6670" s="3">
        <v>6664</v>
      </c>
      <c r="AL6670" s="163">
        <v>6.5088339045654529</v>
      </c>
    </row>
    <row r="6671" spans="37:38" s="4" customFormat="1">
      <c r="AK6671" s="3">
        <v>6665</v>
      </c>
      <c r="AL6671" s="163">
        <v>6.5095799650359574</v>
      </c>
    </row>
    <row r="6672" spans="37:38" s="4" customFormat="1">
      <c r="AK6672" s="3">
        <v>6666</v>
      </c>
      <c r="AL6672" s="163">
        <v>6.5103257736649276</v>
      </c>
    </row>
    <row r="6673" spans="37:38" s="4" customFormat="1">
      <c r="AK6673" s="3">
        <v>6667</v>
      </c>
      <c r="AL6673" s="163">
        <v>6.5110713304531309</v>
      </c>
    </row>
    <row r="6674" spans="37:38" s="4" customFormat="1">
      <c r="AK6674" s="3">
        <v>6668</v>
      </c>
      <c r="AL6674" s="163">
        <v>6.511816635401793</v>
      </c>
    </row>
    <row r="6675" spans="37:38" s="4" customFormat="1">
      <c r="AK6675" s="3">
        <v>6669</v>
      </c>
      <c r="AL6675" s="163">
        <v>6.5125616885123812</v>
      </c>
    </row>
    <row r="6676" spans="37:38" s="4" customFormat="1">
      <c r="AK6676" s="3">
        <v>6670</v>
      </c>
      <c r="AL6676" s="163">
        <v>6.5133064897866326</v>
      </c>
    </row>
    <row r="6677" spans="37:38" s="4" customFormat="1">
      <c r="AK6677" s="3">
        <v>6671</v>
      </c>
      <c r="AL6677" s="163">
        <v>6.5140510392265973</v>
      </c>
    </row>
    <row r="6678" spans="37:38" s="4" customFormat="1">
      <c r="AK6678" s="3">
        <v>6672</v>
      </c>
      <c r="AL6678" s="163">
        <v>6.5147953368346982</v>
      </c>
    </row>
    <row r="6679" spans="37:38" s="4" customFormat="1">
      <c r="AK6679" s="3">
        <v>6673</v>
      </c>
      <c r="AL6679" s="163">
        <v>6.5155393826135182</v>
      </c>
    </row>
    <row r="6680" spans="37:38" s="4" customFormat="1">
      <c r="AK6680" s="3">
        <v>6674</v>
      </c>
      <c r="AL6680" s="163">
        <v>6.5162831765660414</v>
      </c>
    </row>
    <row r="6681" spans="37:38" s="4" customFormat="1">
      <c r="AK6681" s="3">
        <v>6675</v>
      </c>
      <c r="AL6681" s="163">
        <v>6.5170267186955009</v>
      </c>
    </row>
    <row r="6682" spans="37:38" s="4" customFormat="1">
      <c r="AK6682" s="3">
        <v>6676</v>
      </c>
      <c r="AL6682" s="163">
        <v>6.5177700090054493</v>
      </c>
    </row>
    <row r="6683" spans="37:38" s="4" customFormat="1">
      <c r="AK6683" s="3">
        <v>6677</v>
      </c>
      <c r="AL6683" s="163">
        <v>6.5185130474996953</v>
      </c>
    </row>
    <row r="6684" spans="37:38" s="4" customFormat="1">
      <c r="AK6684" s="3">
        <v>6678</v>
      </c>
      <c r="AL6684" s="163">
        <v>6.5192558341824167</v>
      </c>
    </row>
    <row r="6685" spans="37:38" s="4" customFormat="1">
      <c r="AK6685" s="3">
        <v>6679</v>
      </c>
      <c r="AL6685" s="163">
        <v>6.5199983690580225</v>
      </c>
    </row>
    <row r="6686" spans="37:38" s="4" customFormat="1">
      <c r="AK6686" s="3">
        <v>6680</v>
      </c>
      <c r="AL6686" s="163">
        <v>6.5207406521312699</v>
      </c>
    </row>
    <row r="6687" spans="37:38" s="4" customFormat="1">
      <c r="AK6687" s="3">
        <v>6681</v>
      </c>
      <c r="AL6687" s="163">
        <v>6.5214826834071999</v>
      </c>
    </row>
    <row r="6688" spans="37:38" s="4" customFormat="1">
      <c r="AK6688" s="3">
        <v>6682</v>
      </c>
      <c r="AL6688" s="163">
        <v>6.5222244628911135</v>
      </c>
    </row>
    <row r="6689" spans="37:38" s="4" customFormat="1">
      <c r="AK6689" s="3">
        <v>6683</v>
      </c>
      <c r="AL6689" s="163">
        <v>6.5229659905886095</v>
      </c>
    </row>
    <row r="6690" spans="37:38" s="4" customFormat="1">
      <c r="AK6690" s="3">
        <v>6684</v>
      </c>
      <c r="AL6690" s="163">
        <v>6.5237072665056957</v>
      </c>
    </row>
    <row r="6691" spans="37:38" s="4" customFormat="1">
      <c r="AK6691" s="3">
        <v>6685</v>
      </c>
      <c r="AL6691" s="163">
        <v>6.5244482906485324</v>
      </c>
    </row>
    <row r="6692" spans="37:38" s="4" customFormat="1">
      <c r="AK6692" s="3">
        <v>6686</v>
      </c>
      <c r="AL6692" s="163">
        <v>6.5251890630236744</v>
      </c>
    </row>
    <row r="6693" spans="37:38" s="4" customFormat="1">
      <c r="AK6693" s="3">
        <v>6687</v>
      </c>
      <c r="AL6693" s="163">
        <v>6.5259295836379714</v>
      </c>
    </row>
    <row r="6694" spans="37:38" s="4" customFormat="1">
      <c r="AK6694" s="3">
        <v>6688</v>
      </c>
      <c r="AL6694" s="163">
        <v>6.5266698524984506</v>
      </c>
    </row>
    <row r="6695" spans="37:38" s="4" customFormat="1">
      <c r="AK6695" s="3">
        <v>6689</v>
      </c>
      <c r="AL6695" s="163">
        <v>6.5274098696126437</v>
      </c>
    </row>
    <row r="6696" spans="37:38" s="4" customFormat="1">
      <c r="AK6696" s="3">
        <v>6690</v>
      </c>
      <c r="AL6696" s="163">
        <v>6.5281496349882531</v>
      </c>
    </row>
    <row r="6697" spans="37:38" s="4" customFormat="1">
      <c r="AK6697" s="3">
        <v>6691</v>
      </c>
      <c r="AL6697" s="163">
        <v>6.5288891486332332</v>
      </c>
    </row>
    <row r="6698" spans="37:38" s="4" customFormat="1">
      <c r="AK6698" s="3">
        <v>6692</v>
      </c>
      <c r="AL6698" s="163">
        <v>6.529628410555997</v>
      </c>
    </row>
    <row r="6699" spans="37:38" s="4" customFormat="1">
      <c r="AK6699" s="3">
        <v>6693</v>
      </c>
      <c r="AL6699" s="163">
        <v>6.530367420765085</v>
      </c>
    </row>
    <row r="6700" spans="37:38" s="4" customFormat="1">
      <c r="AK6700" s="3">
        <v>6694</v>
      </c>
      <c r="AL6700" s="163">
        <v>6.5311061792694858</v>
      </c>
    </row>
    <row r="6701" spans="37:38" s="4" customFormat="1">
      <c r="AK6701" s="3">
        <v>6695</v>
      </c>
      <c r="AL6701" s="163">
        <v>6.5318446860783972</v>
      </c>
    </row>
    <row r="6702" spans="37:38" s="4" customFormat="1">
      <c r="AK6702" s="3">
        <v>6696</v>
      </c>
      <c r="AL6702" s="163">
        <v>6.5325829412013654</v>
      </c>
    </row>
    <row r="6703" spans="37:38" s="4" customFormat="1">
      <c r="AK6703" s="3">
        <v>6697</v>
      </c>
      <c r="AL6703" s="163">
        <v>6.5333209446481675</v>
      </c>
    </row>
    <row r="6704" spans="37:38" s="4" customFormat="1">
      <c r="AK6704" s="3">
        <v>6698</v>
      </c>
      <c r="AL6704" s="163">
        <v>6.5340586964289713</v>
      </c>
    </row>
    <row r="6705" spans="37:38" s="4" customFormat="1">
      <c r="AK6705" s="3">
        <v>6699</v>
      </c>
      <c r="AL6705" s="163">
        <v>6.5347961965542147</v>
      </c>
    </row>
    <row r="6706" spans="37:38" s="4" customFormat="1">
      <c r="AK6706" s="3">
        <v>6700</v>
      </c>
      <c r="AL6706" s="163">
        <v>6.535533445034595</v>
      </c>
    </row>
    <row r="6707" spans="37:38" s="4" customFormat="1">
      <c r="AK6707" s="3">
        <v>6701</v>
      </c>
      <c r="AL6707" s="163">
        <v>6.5362704418811965</v>
      </c>
    </row>
    <row r="6708" spans="37:38" s="4" customFormat="1">
      <c r="AK6708" s="3">
        <v>6702</v>
      </c>
      <c r="AL6708" s="163">
        <v>6.5370071871052886</v>
      </c>
    </row>
    <row r="6709" spans="37:38" s="4" customFormat="1">
      <c r="AK6709" s="3">
        <v>6703</v>
      </c>
      <c r="AL6709" s="163">
        <v>6.5377436807185454</v>
      </c>
    </row>
    <row r="6710" spans="37:38" s="4" customFormat="1">
      <c r="AK6710" s="3">
        <v>6704</v>
      </c>
      <c r="AL6710" s="163">
        <v>6.5384799227329324</v>
      </c>
    </row>
    <row r="6711" spans="37:38" s="4" customFormat="1">
      <c r="AK6711" s="3">
        <v>6705</v>
      </c>
      <c r="AL6711" s="163">
        <v>6.5392159131606071</v>
      </c>
    </row>
    <row r="6712" spans="37:38" s="4" customFormat="1">
      <c r="AK6712" s="3">
        <v>6706</v>
      </c>
      <c r="AL6712" s="163">
        <v>6.5399516520141745</v>
      </c>
    </row>
    <row r="6713" spans="37:38" s="4" customFormat="1">
      <c r="AK6713" s="3">
        <v>6707</v>
      </c>
      <c r="AL6713" s="163">
        <v>6.5406871393064989</v>
      </c>
    </row>
    <row r="6714" spans="37:38" s="4" customFormat="1">
      <c r="AK6714" s="3">
        <v>6708</v>
      </c>
      <c r="AL6714" s="163">
        <v>6.541422375050697</v>
      </c>
    </row>
    <row r="6715" spans="37:38" s="4" customFormat="1">
      <c r="AK6715" s="3">
        <v>6709</v>
      </c>
      <c r="AL6715" s="163">
        <v>6.5421573592602478</v>
      </c>
    </row>
    <row r="6716" spans="37:38" s="4" customFormat="1">
      <c r="AK6716" s="3">
        <v>6710</v>
      </c>
      <c r="AL6716" s="163">
        <v>6.5428920919488647</v>
      </c>
    </row>
    <row r="6717" spans="37:38" s="4" customFormat="1">
      <c r="AK6717" s="3">
        <v>6711</v>
      </c>
      <c r="AL6717" s="163">
        <v>6.5436265731306555</v>
      </c>
    </row>
    <row r="6718" spans="37:38" s="4" customFormat="1">
      <c r="AK6718" s="3">
        <v>6712</v>
      </c>
      <c r="AL6718" s="163">
        <v>6.5443608028199343</v>
      </c>
    </row>
    <row r="6719" spans="37:38" s="4" customFormat="1">
      <c r="AK6719" s="3">
        <v>6713</v>
      </c>
      <c r="AL6719" s="163">
        <v>6.5450947810314375</v>
      </c>
    </row>
    <row r="6720" spans="37:38" s="4" customFormat="1">
      <c r="AK6720" s="3">
        <v>6714</v>
      </c>
      <c r="AL6720" s="163">
        <v>6.5458285077800866</v>
      </c>
    </row>
    <row r="6721" spans="37:38" s="4" customFormat="1">
      <c r="AK6721" s="3">
        <v>6715</v>
      </c>
      <c r="AL6721" s="163">
        <v>6.5465619830811761</v>
      </c>
    </row>
    <row r="6722" spans="37:38" s="4" customFormat="1">
      <c r="AK6722" s="3">
        <v>6716</v>
      </c>
      <c r="AL6722" s="163">
        <v>6.5472952069502703</v>
      </c>
    </row>
    <row r="6723" spans="37:38" s="4" customFormat="1">
      <c r="AK6723" s="3">
        <v>6717</v>
      </c>
      <c r="AL6723" s="163">
        <v>6.5480281794032607</v>
      </c>
    </row>
    <row r="6724" spans="37:38" s="4" customFormat="1">
      <c r="AK6724" s="3">
        <v>6718</v>
      </c>
      <c r="AL6724" s="163">
        <v>6.5487609004564078</v>
      </c>
    </row>
    <row r="6725" spans="37:38" s="4" customFormat="1">
      <c r="AK6725" s="3">
        <v>6719</v>
      </c>
      <c r="AL6725" s="163">
        <v>6.5494933701260898</v>
      </c>
    </row>
    <row r="6726" spans="37:38" s="4" customFormat="1">
      <c r="AK6726" s="3">
        <v>6720</v>
      </c>
      <c r="AL6726" s="163">
        <v>6.5502255884291856</v>
      </c>
    </row>
    <row r="6727" spans="37:38" s="4" customFormat="1">
      <c r="AK6727" s="3">
        <v>6721</v>
      </c>
      <c r="AL6727" s="163">
        <v>6.5509575553827624</v>
      </c>
    </row>
    <row r="6728" spans="37:38" s="4" customFormat="1">
      <c r="AK6728" s="3">
        <v>6722</v>
      </c>
      <c r="AL6728" s="163">
        <v>6.5516892710042711</v>
      </c>
    </row>
    <row r="6729" spans="37:38" s="4" customFormat="1">
      <c r="AK6729" s="3">
        <v>6723</v>
      </c>
      <c r="AL6729" s="163">
        <v>6.5524207353114434</v>
      </c>
    </row>
    <row r="6730" spans="37:38" s="4" customFormat="1">
      <c r="AK6730" s="3">
        <v>6724</v>
      </c>
      <c r="AL6730" s="163">
        <v>6.5531519483222311</v>
      </c>
    </row>
    <row r="6731" spans="37:38" s="4" customFormat="1">
      <c r="AK6731" s="3">
        <v>6725</v>
      </c>
      <c r="AL6731" s="163">
        <v>6.5538829100550267</v>
      </c>
    </row>
    <row r="6732" spans="37:38" s="4" customFormat="1">
      <c r="AK6732" s="3">
        <v>6726</v>
      </c>
      <c r="AL6732" s="163">
        <v>6.5546136205284284</v>
      </c>
    </row>
    <row r="6733" spans="37:38" s="4" customFormat="1">
      <c r="AK6733" s="3">
        <v>6727</v>
      </c>
      <c r="AL6733" s="163">
        <v>6.5553440797614186</v>
      </c>
    </row>
    <row r="6734" spans="37:38" s="4" customFormat="1">
      <c r="AK6734" s="3">
        <v>6728</v>
      </c>
      <c r="AL6734" s="163">
        <v>6.5560742877732423</v>
      </c>
    </row>
    <row r="6735" spans="37:38" s="4" customFormat="1">
      <c r="AK6735" s="3">
        <v>6729</v>
      </c>
      <c r="AL6735" s="163">
        <v>6.5568042445834003</v>
      </c>
    </row>
    <row r="6736" spans="37:38" s="4" customFormat="1">
      <c r="AK6736" s="3">
        <v>6730</v>
      </c>
      <c r="AL6736" s="163">
        <v>6.5575339502118091</v>
      </c>
    </row>
    <row r="6737" spans="37:38" s="4" customFormat="1">
      <c r="AK6737" s="3">
        <v>6731</v>
      </c>
      <c r="AL6737" s="163">
        <v>6.5582634046786517</v>
      </c>
    </row>
    <row r="6738" spans="37:38" s="4" customFormat="1">
      <c r="AK6738" s="3">
        <v>6732</v>
      </c>
      <c r="AL6738" s="163">
        <v>6.5589926080043739</v>
      </c>
    </row>
    <row r="6739" spans="37:38" s="4" customFormat="1">
      <c r="AK6739" s="3">
        <v>6733</v>
      </c>
      <c r="AL6739" s="163">
        <v>6.5597215602098125</v>
      </c>
    </row>
    <row r="6740" spans="37:38" s="4" customFormat="1">
      <c r="AK6740" s="3">
        <v>6734</v>
      </c>
      <c r="AL6740" s="163">
        <v>6.5604502613159568</v>
      </c>
    </row>
    <row r="6741" spans="37:38" s="4" customFormat="1">
      <c r="AK6741" s="3">
        <v>6735</v>
      </c>
      <c r="AL6741" s="163">
        <v>6.5611787113443256</v>
      </c>
    </row>
    <row r="6742" spans="37:38" s="4" customFormat="1">
      <c r="AK6742" s="3">
        <v>6736</v>
      </c>
      <c r="AL6742" s="163">
        <v>6.561906910316587</v>
      </c>
    </row>
    <row r="6743" spans="37:38" s="4" customFormat="1">
      <c r="AK6743" s="3">
        <v>6737</v>
      </c>
      <c r="AL6743" s="163">
        <v>6.5626348582547216</v>
      </c>
    </row>
    <row r="6744" spans="37:38" s="4" customFormat="1">
      <c r="AK6744" s="3">
        <v>6738</v>
      </c>
      <c r="AL6744" s="163">
        <v>6.5633625551811114</v>
      </c>
    </row>
    <row r="6745" spans="37:38" s="4" customFormat="1">
      <c r="AK6745" s="3">
        <v>6739</v>
      </c>
      <c r="AL6745" s="163">
        <v>6.5640900011183767</v>
      </c>
    </row>
    <row r="6746" spans="37:38" s="4" customFormat="1">
      <c r="AK6746" s="3">
        <v>6740</v>
      </c>
      <c r="AL6746" s="163">
        <v>6.5648171960894501</v>
      </c>
    </row>
    <row r="6747" spans="37:38" s="4" customFormat="1">
      <c r="AK6747" s="3">
        <v>6741</v>
      </c>
      <c r="AL6747" s="163">
        <v>6.5655441401175878</v>
      </c>
    </row>
    <row r="6748" spans="37:38" s="4" customFormat="1">
      <c r="AK6748" s="3">
        <v>6742</v>
      </c>
      <c r="AL6748" s="163">
        <v>6.5662708332263797</v>
      </c>
    </row>
    <row r="6749" spans="37:38" s="4" customFormat="1">
      <c r="AK6749" s="3">
        <v>6743</v>
      </c>
      <c r="AL6749" s="163">
        <v>6.5669972754396788</v>
      </c>
    </row>
    <row r="6750" spans="37:38" s="4" customFormat="1">
      <c r="AK6750" s="3">
        <v>6744</v>
      </c>
      <c r="AL6750" s="163">
        <v>6.567723466781672</v>
      </c>
    </row>
    <row r="6751" spans="37:38" s="4" customFormat="1">
      <c r="AK6751" s="3">
        <v>6745</v>
      </c>
      <c r="AL6751" s="163">
        <v>6.5684494072768587</v>
      </c>
    </row>
    <row r="6752" spans="37:38" s="4" customFormat="1">
      <c r="AK6752" s="3">
        <v>6746</v>
      </c>
      <c r="AL6752" s="163">
        <v>6.5691750969500262</v>
      </c>
    </row>
    <row r="6753" spans="37:38" s="4" customFormat="1">
      <c r="AK6753" s="3">
        <v>6747</v>
      </c>
      <c r="AL6753" s="163">
        <v>6.5699005358262852</v>
      </c>
    </row>
    <row r="6754" spans="37:38" s="4" customFormat="1">
      <c r="AK6754" s="3">
        <v>6748</v>
      </c>
      <c r="AL6754" s="163">
        <v>6.5706257239310766</v>
      </c>
    </row>
    <row r="6755" spans="37:38" s="4" customFormat="1">
      <c r="AK6755" s="3">
        <v>6749</v>
      </c>
      <c r="AL6755" s="163">
        <v>6.5713506612901575</v>
      </c>
    </row>
    <row r="6756" spans="37:38" s="4" customFormat="1">
      <c r="AK6756" s="3">
        <v>6750</v>
      </c>
      <c r="AL6756" s="163">
        <v>6.5720753479295091</v>
      </c>
    </row>
    <row r="6757" spans="37:38" s="4" customFormat="1">
      <c r="AK6757" s="3">
        <v>6751</v>
      </c>
      <c r="AL6757" s="163">
        <v>6.5727997838755385</v>
      </c>
    </row>
    <row r="6758" spans="37:38" s="4" customFormat="1">
      <c r="AK6758" s="3">
        <v>6752</v>
      </c>
      <c r="AL6758" s="163">
        <v>6.5735239691549054</v>
      </c>
    </row>
    <row r="6759" spans="37:38" s="4" customFormat="1">
      <c r="AK6759" s="3">
        <v>6753</v>
      </c>
      <c r="AL6759" s="163">
        <v>6.5742479037945607</v>
      </c>
    </row>
    <row r="6760" spans="37:38" s="4" customFormat="1">
      <c r="AK6760" s="3">
        <v>6754</v>
      </c>
      <c r="AL6760" s="163">
        <v>6.5749715878218602</v>
      </c>
    </row>
    <row r="6761" spans="37:38" s="4" customFormat="1">
      <c r="AK6761" s="3">
        <v>6755</v>
      </c>
      <c r="AL6761" s="163">
        <v>6.5756950212643233</v>
      </c>
    </row>
    <row r="6762" spans="37:38" s="4" customFormat="1">
      <c r="AK6762" s="3">
        <v>6756</v>
      </c>
      <c r="AL6762" s="163">
        <v>6.5764182041499062</v>
      </c>
    </row>
    <row r="6763" spans="37:38" s="4" customFormat="1">
      <c r="AK6763" s="3">
        <v>6757</v>
      </c>
      <c r="AL6763" s="163">
        <v>6.5771411365068495</v>
      </c>
    </row>
    <row r="6764" spans="37:38" s="4" customFormat="1">
      <c r="AK6764" s="3">
        <v>6758</v>
      </c>
      <c r="AL6764" s="163">
        <v>6.5778638183636815</v>
      </c>
    </row>
    <row r="6765" spans="37:38" s="4" customFormat="1">
      <c r="AK6765" s="3">
        <v>6759</v>
      </c>
      <c r="AL6765" s="163">
        <v>6.5785862497491934</v>
      </c>
    </row>
    <row r="6766" spans="37:38" s="4" customFormat="1">
      <c r="AK6766" s="3">
        <v>6760</v>
      </c>
      <c r="AL6766" s="163">
        <v>6.5793084306926275</v>
      </c>
    </row>
    <row r="6767" spans="37:38" s="4" customFormat="1">
      <c r="AK6767" s="3">
        <v>6761</v>
      </c>
      <c r="AL6767" s="163">
        <v>6.5800303612234288</v>
      </c>
    </row>
    <row r="6768" spans="37:38" s="4" customFormat="1">
      <c r="AK6768" s="3">
        <v>6762</v>
      </c>
      <c r="AL6768" s="163">
        <v>6.5807520413713902</v>
      </c>
    </row>
    <row r="6769" spans="37:38" s="4" customFormat="1">
      <c r="AK6769" s="3">
        <v>6763</v>
      </c>
      <c r="AL6769" s="163">
        <v>6.5814734711666247</v>
      </c>
    </row>
    <row r="6770" spans="37:38" s="4" customFormat="1">
      <c r="AK6770" s="3">
        <v>6764</v>
      </c>
      <c r="AL6770" s="163">
        <v>6.5821946506395186</v>
      </c>
    </row>
    <row r="6771" spans="37:38" s="4" customFormat="1">
      <c r="AK6771" s="3">
        <v>6765</v>
      </c>
      <c r="AL6771" s="163">
        <v>6.5829155798208134</v>
      </c>
    </row>
    <row r="6772" spans="37:38" s="4" customFormat="1">
      <c r="AK6772" s="3">
        <v>6766</v>
      </c>
      <c r="AL6772" s="163">
        <v>6.5836362587415671</v>
      </c>
    </row>
    <row r="6773" spans="37:38" s="4" customFormat="1">
      <c r="AK6773" s="3">
        <v>6767</v>
      </c>
      <c r="AL6773" s="163">
        <v>6.5843566874331181</v>
      </c>
    </row>
    <row r="6774" spans="37:38" s="4" customFormat="1">
      <c r="AK6774" s="3">
        <v>6768</v>
      </c>
      <c r="AL6774" s="163">
        <v>6.5850768659271495</v>
      </c>
    </row>
    <row r="6775" spans="37:38" s="4" customFormat="1">
      <c r="AK6775" s="3">
        <v>6769</v>
      </c>
      <c r="AL6775" s="163">
        <v>6.5857967942556215</v>
      </c>
    </row>
    <row r="6776" spans="37:38" s="4" customFormat="1">
      <c r="AK6776" s="3">
        <v>6770</v>
      </c>
      <c r="AL6776" s="163">
        <v>6.5865164724508602</v>
      </c>
    </row>
    <row r="6777" spans="37:38" s="4" customFormat="1">
      <c r="AK6777" s="3">
        <v>6771</v>
      </c>
      <c r="AL6777" s="163">
        <v>6.587235900545501</v>
      </c>
    </row>
    <row r="6778" spans="37:38" s="4" customFormat="1">
      <c r="AK6778" s="3">
        <v>6772</v>
      </c>
      <c r="AL6778" s="163">
        <v>6.587955078572417</v>
      </c>
    </row>
    <row r="6779" spans="37:38" s="4" customFormat="1">
      <c r="AK6779" s="3">
        <v>6773</v>
      </c>
      <c r="AL6779" s="163">
        <v>6.5886740065648688</v>
      </c>
    </row>
    <row r="6780" spans="37:38" s="4" customFormat="1">
      <c r="AK6780" s="3">
        <v>6774</v>
      </c>
      <c r="AL6780" s="163">
        <v>6.5893926845564472</v>
      </c>
    </row>
    <row r="6781" spans="37:38" s="4" customFormat="1">
      <c r="AK6781" s="3">
        <v>6775</v>
      </c>
      <c r="AL6781" s="163">
        <v>6.590111112581031</v>
      </c>
    </row>
    <row r="6782" spans="37:38" s="4" customFormat="1">
      <c r="AK6782" s="3">
        <v>6776</v>
      </c>
      <c r="AL6782" s="163">
        <v>6.5908292906727439</v>
      </c>
    </row>
    <row r="6783" spans="37:38" s="4" customFormat="1">
      <c r="AK6783" s="3">
        <v>6777</v>
      </c>
      <c r="AL6783" s="163">
        <v>6.591547218866129</v>
      </c>
    </row>
    <row r="6784" spans="37:38" s="4" customFormat="1">
      <c r="AK6784" s="3">
        <v>6778</v>
      </c>
      <c r="AL6784" s="163">
        <v>6.5922648971960172</v>
      </c>
    </row>
    <row r="6785" spans="37:38" s="4" customFormat="1">
      <c r="AK6785" s="3">
        <v>6779</v>
      </c>
      <c r="AL6785" s="163">
        <v>6.5929823256975553</v>
      </c>
    </row>
    <row r="6786" spans="37:38" s="4" customFormat="1">
      <c r="AK6786" s="3">
        <v>6780</v>
      </c>
      <c r="AL6786" s="163">
        <v>6.5936995044061639</v>
      </c>
    </row>
    <row r="6787" spans="37:38" s="4" customFormat="1">
      <c r="AK6787" s="3">
        <v>6781</v>
      </c>
      <c r="AL6787" s="163">
        <v>6.5944164333576296</v>
      </c>
    </row>
    <row r="6788" spans="37:38" s="4" customFormat="1">
      <c r="AK6788" s="3">
        <v>6782</v>
      </c>
      <c r="AL6788" s="163">
        <v>6.5951331125880763</v>
      </c>
    </row>
    <row r="6789" spans="37:38" s="4" customFormat="1">
      <c r="AK6789" s="3">
        <v>6783</v>
      </c>
      <c r="AL6789" s="163">
        <v>6.595849542133859</v>
      </c>
    </row>
    <row r="6790" spans="37:38" s="4" customFormat="1">
      <c r="AK6790" s="3">
        <v>6784</v>
      </c>
      <c r="AL6790" s="163">
        <v>6.5965657220317055</v>
      </c>
    </row>
    <row r="6791" spans="37:38" s="4" customFormat="1">
      <c r="AK6791" s="3">
        <v>6785</v>
      </c>
      <c r="AL6791" s="163">
        <v>6.5972816523186495</v>
      </c>
    </row>
    <row r="6792" spans="37:38" s="4" customFormat="1">
      <c r="AK6792" s="3">
        <v>6786</v>
      </c>
      <c r="AL6792" s="163">
        <v>6.597997333032076</v>
      </c>
    </row>
    <row r="6793" spans="37:38" s="4" customFormat="1">
      <c r="AK6793" s="3">
        <v>6787</v>
      </c>
      <c r="AL6793" s="163">
        <v>6.5987127642096617</v>
      </c>
    </row>
    <row r="6794" spans="37:38" s="4" customFormat="1">
      <c r="AK6794" s="3">
        <v>6788</v>
      </c>
      <c r="AL6794" s="163">
        <v>6.5994279458893459</v>
      </c>
    </row>
    <row r="6795" spans="37:38" s="4" customFormat="1">
      <c r="AK6795" s="3">
        <v>6789</v>
      </c>
      <c r="AL6795" s="163">
        <v>6.6001428781094731</v>
      </c>
    </row>
    <row r="6796" spans="37:38" s="4" customFormat="1">
      <c r="AK6796" s="3">
        <v>6790</v>
      </c>
      <c r="AL6796" s="163">
        <v>6.6008575609086755</v>
      </c>
    </row>
    <row r="6797" spans="37:38" s="4" customFormat="1">
      <c r="AK6797" s="3">
        <v>6791</v>
      </c>
      <c r="AL6797" s="163">
        <v>6.6015719943258802</v>
      </c>
    </row>
    <row r="6798" spans="37:38" s="4" customFormat="1">
      <c r="AK6798" s="3">
        <v>6792</v>
      </c>
      <c r="AL6798" s="163">
        <v>6.6022861784003553</v>
      </c>
    </row>
    <row r="6799" spans="37:38" s="4" customFormat="1">
      <c r="AK6799" s="3">
        <v>6793</v>
      </c>
      <c r="AL6799" s="163">
        <v>6.60300011317171</v>
      </c>
    </row>
    <row r="6800" spans="37:38" s="4" customFormat="1">
      <c r="AK6800" s="3">
        <v>6794</v>
      </c>
      <c r="AL6800" s="163">
        <v>6.60371379867982</v>
      </c>
    </row>
    <row r="6801" spans="37:38" s="4" customFormat="1">
      <c r="AK6801" s="3">
        <v>6795</v>
      </c>
      <c r="AL6801" s="163">
        <v>6.6044272349648772</v>
      </c>
    </row>
    <row r="6802" spans="37:38" s="4" customFormat="1">
      <c r="AK6802" s="3">
        <v>6796</v>
      </c>
      <c r="AL6802" s="163">
        <v>6.6051404220674819</v>
      </c>
    </row>
    <row r="6803" spans="37:38" s="4" customFormat="1">
      <c r="AK6803" s="3">
        <v>6797</v>
      </c>
      <c r="AL6803" s="163">
        <v>6.6058533600284548</v>
      </c>
    </row>
    <row r="6804" spans="37:38" s="4" customFormat="1">
      <c r="AK6804" s="3">
        <v>6798</v>
      </c>
      <c r="AL6804" s="163">
        <v>6.6065660488889968</v>
      </c>
    </row>
    <row r="6805" spans="37:38" s="4" customFormat="1">
      <c r="AK6805" s="3">
        <v>6799</v>
      </c>
      <c r="AL6805" s="163">
        <v>6.6072784886905929</v>
      </c>
    </row>
    <row r="6806" spans="37:38" s="4" customFormat="1">
      <c r="AK6806" s="3">
        <v>6800</v>
      </c>
      <c r="AL6806" s="163">
        <v>6.6079906794750656</v>
      </c>
    </row>
    <row r="6807" spans="37:38" s="4" customFormat="1">
      <c r="AK6807" s="3">
        <v>6801</v>
      </c>
      <c r="AL6807" s="163">
        <v>6.6087026212845323</v>
      </c>
    </row>
    <row r="6808" spans="37:38" s="4" customFormat="1">
      <c r="AK6808" s="3">
        <v>6802</v>
      </c>
      <c r="AL6808" s="163">
        <v>6.6094143141614659</v>
      </c>
    </row>
    <row r="6809" spans="37:38" s="4" customFormat="1">
      <c r="AK6809" s="3">
        <v>6803</v>
      </c>
      <c r="AL6809" s="163">
        <v>6.6101257581486585</v>
      </c>
    </row>
    <row r="6810" spans="37:38" s="4" customFormat="1">
      <c r="AK6810" s="3">
        <v>6804</v>
      </c>
      <c r="AL6810" s="163">
        <v>6.6108369532892404</v>
      </c>
    </row>
    <row r="6811" spans="37:38" s="4" customFormat="1">
      <c r="AK6811" s="3">
        <v>6805</v>
      </c>
      <c r="AL6811" s="163">
        <v>6.6115478996265331</v>
      </c>
    </row>
    <row r="6812" spans="37:38" s="4" customFormat="1">
      <c r="AK6812" s="3">
        <v>6806</v>
      </c>
      <c r="AL6812" s="163">
        <v>6.6122585972043737</v>
      </c>
    </row>
    <row r="6813" spans="37:38" s="4" customFormat="1">
      <c r="AK6813" s="3">
        <v>6807</v>
      </c>
      <c r="AL6813" s="163">
        <v>6.612969046066798</v>
      </c>
    </row>
    <row r="6814" spans="37:38" s="4" customFormat="1">
      <c r="AK6814" s="3">
        <v>6808</v>
      </c>
      <c r="AL6814" s="163">
        <v>6.6136792462581617</v>
      </c>
    </row>
    <row r="6815" spans="37:38" s="4" customFormat="1">
      <c r="AK6815" s="3">
        <v>6809</v>
      </c>
      <c r="AL6815" s="163">
        <v>6.6143891978232112</v>
      </c>
    </row>
    <row r="6816" spans="37:38" s="4" customFormat="1">
      <c r="AK6816" s="3">
        <v>6810</v>
      </c>
      <c r="AL6816" s="163">
        <v>6.6150989008069452</v>
      </c>
    </row>
    <row r="6817" spans="37:38" s="4" customFormat="1">
      <c r="AK6817" s="3">
        <v>6811</v>
      </c>
      <c r="AL6817" s="163">
        <v>6.615808355254746</v>
      </c>
    </row>
    <row r="6818" spans="37:38" s="4" customFormat="1">
      <c r="AK6818" s="3">
        <v>6812</v>
      </c>
      <c r="AL6818" s="163">
        <v>6.6165175612122162</v>
      </c>
    </row>
    <row r="6819" spans="37:38" s="4" customFormat="1">
      <c r="AK6819" s="3">
        <v>6813</v>
      </c>
      <c r="AL6819" s="163">
        <v>6.6172265187254204</v>
      </c>
    </row>
    <row r="6820" spans="37:38" s="4" customFormat="1">
      <c r="AK6820" s="3">
        <v>6814</v>
      </c>
      <c r="AL6820" s="163">
        <v>6.6179352278406576</v>
      </c>
    </row>
    <row r="6821" spans="37:38" s="4" customFormat="1">
      <c r="AK6821" s="3">
        <v>6815</v>
      </c>
      <c r="AL6821" s="163">
        <v>6.6186436886045819</v>
      </c>
    </row>
    <row r="6822" spans="37:38" s="4" customFormat="1">
      <c r="AK6822" s="3">
        <v>6816</v>
      </c>
      <c r="AL6822" s="163">
        <v>6.6193519010641317</v>
      </c>
    </row>
    <row r="6823" spans="37:38" s="4" customFormat="1">
      <c r="AK6823" s="3">
        <v>6817</v>
      </c>
      <c r="AL6823" s="163">
        <v>6.6200598652666116</v>
      </c>
    </row>
    <row r="6824" spans="37:38" s="4" customFormat="1">
      <c r="AK6824" s="3">
        <v>6818</v>
      </c>
      <c r="AL6824" s="163">
        <v>6.620767581259571</v>
      </c>
    </row>
    <row r="6825" spans="37:38" s="4" customFormat="1">
      <c r="AK6825" s="3">
        <v>6819</v>
      </c>
      <c r="AL6825" s="163">
        <v>6.621475049091039</v>
      </c>
    </row>
    <row r="6826" spans="37:38" s="4" customFormat="1">
      <c r="AK6826" s="3">
        <v>6820</v>
      </c>
      <c r="AL6826" s="163">
        <v>6.622182268809194</v>
      </c>
    </row>
    <row r="6827" spans="37:38" s="4" customFormat="1">
      <c r="AK6827" s="3">
        <v>6821</v>
      </c>
      <c r="AL6827" s="163">
        <v>6.6228892404626691</v>
      </c>
    </row>
    <row r="6828" spans="37:38" s="4" customFormat="1">
      <c r="AK6828" s="3">
        <v>6822</v>
      </c>
      <c r="AL6828" s="163">
        <v>6.6235959641003106</v>
      </c>
    </row>
    <row r="6829" spans="37:38" s="4" customFormat="1">
      <c r="AK6829" s="3">
        <v>6823</v>
      </c>
      <c r="AL6829" s="163">
        <v>6.6243024397714017</v>
      </c>
    </row>
    <row r="6830" spans="37:38" s="4" customFormat="1">
      <c r="AK6830" s="3">
        <v>6824</v>
      </c>
      <c r="AL6830" s="163">
        <v>6.6250086675254778</v>
      </c>
    </row>
    <row r="6831" spans="37:38" s="4" customFormat="1">
      <c r="AK6831" s="3">
        <v>6825</v>
      </c>
      <c r="AL6831" s="163">
        <v>6.6257146474124013</v>
      </c>
    </row>
    <row r="6832" spans="37:38" s="4" customFormat="1">
      <c r="AK6832" s="3">
        <v>6826</v>
      </c>
      <c r="AL6832" s="163">
        <v>6.626420379482397</v>
      </c>
    </row>
    <row r="6833" spans="37:38" s="4" customFormat="1">
      <c r="AK6833" s="3">
        <v>6827</v>
      </c>
      <c r="AL6833" s="163">
        <v>6.6271258637859809</v>
      </c>
    </row>
    <row r="6834" spans="37:38" s="4" customFormat="1">
      <c r="AK6834" s="3">
        <v>6828</v>
      </c>
      <c r="AL6834" s="163">
        <v>6.6278311003739709</v>
      </c>
    </row>
    <row r="6835" spans="37:38" s="4" customFormat="1">
      <c r="AK6835" s="3">
        <v>6829</v>
      </c>
      <c r="AL6835" s="163">
        <v>6.6285360892975973</v>
      </c>
    </row>
    <row r="6836" spans="37:38" s="4" customFormat="1">
      <c r="AK6836" s="3">
        <v>6830</v>
      </c>
      <c r="AL6836" s="163">
        <v>6.6292408306083672</v>
      </c>
    </row>
    <row r="6837" spans="37:38" s="4" customFormat="1">
      <c r="AK6837" s="3">
        <v>6831</v>
      </c>
      <c r="AL6837" s="163">
        <v>6.6299453243580331</v>
      </c>
    </row>
    <row r="6838" spans="37:38" s="4" customFormat="1">
      <c r="AK6838" s="3">
        <v>6832</v>
      </c>
      <c r="AL6838" s="163">
        <v>6.6306495705988304</v>
      </c>
    </row>
    <row r="6839" spans="37:38" s="4" customFormat="1">
      <c r="AK6839" s="3">
        <v>6833</v>
      </c>
      <c r="AL6839" s="163">
        <v>6.6313535693832044</v>
      </c>
    </row>
    <row r="6840" spans="37:38" s="4" customFormat="1">
      <c r="AK6840" s="3">
        <v>6834</v>
      </c>
      <c r="AL6840" s="163">
        <v>6.6320573207639484</v>
      </c>
    </row>
    <row r="6841" spans="37:38" s="4" customFormat="1">
      <c r="AK6841" s="3">
        <v>6835</v>
      </c>
      <c r="AL6841" s="163">
        <v>6.632760824794218</v>
      </c>
    </row>
    <row r="6842" spans="37:38" s="4" customFormat="1">
      <c r="AK6842" s="3">
        <v>6836</v>
      </c>
      <c r="AL6842" s="163">
        <v>6.6334640815274533</v>
      </c>
    </row>
    <row r="6843" spans="37:38" s="4" customFormat="1">
      <c r="AK6843" s="3">
        <v>6837</v>
      </c>
      <c r="AL6843" s="163">
        <v>6.6341670910174813</v>
      </c>
    </row>
    <row r="6844" spans="37:38" s="4" customFormat="1">
      <c r="AK6844" s="3">
        <v>6838</v>
      </c>
      <c r="AL6844" s="163">
        <v>6.6348698533183708</v>
      </c>
    </row>
    <row r="6845" spans="37:38" s="4" customFormat="1">
      <c r="AK6845" s="3">
        <v>6839</v>
      </c>
      <c r="AL6845" s="163">
        <v>6.6355723684845778</v>
      </c>
    </row>
    <row r="6846" spans="37:38" s="4" customFormat="1">
      <c r="AK6846" s="3">
        <v>6840</v>
      </c>
      <c r="AL6846" s="163">
        <v>6.6362746365708674</v>
      </c>
    </row>
    <row r="6847" spans="37:38" s="4" customFormat="1">
      <c r="AK6847" s="3">
        <v>6841</v>
      </c>
      <c r="AL6847" s="163">
        <v>6.6369766576323386</v>
      </c>
    </row>
    <row r="6848" spans="37:38" s="4" customFormat="1">
      <c r="AK6848" s="3">
        <v>6842</v>
      </c>
      <c r="AL6848" s="163">
        <v>6.6376784317243853</v>
      </c>
    </row>
    <row r="6849" spans="37:38" s="4" customFormat="1">
      <c r="AK6849" s="3">
        <v>6843</v>
      </c>
      <c r="AL6849" s="163">
        <v>6.6383799589028385</v>
      </c>
    </row>
    <row r="6850" spans="37:38" s="4" customFormat="1">
      <c r="AK6850" s="3">
        <v>6844</v>
      </c>
      <c r="AL6850" s="163">
        <v>6.6390812392236924</v>
      </c>
    </row>
    <row r="6851" spans="37:38" s="4" customFormat="1">
      <c r="AK6851" s="3">
        <v>6845</v>
      </c>
      <c r="AL6851" s="163">
        <v>6.6397822727433677</v>
      </c>
    </row>
    <row r="6852" spans="37:38" s="4" customFormat="1">
      <c r="AK6852" s="3">
        <v>6846</v>
      </c>
      <c r="AL6852" s="163">
        <v>6.6404830595186155</v>
      </c>
    </row>
    <row r="6853" spans="37:38" s="4" customFormat="1">
      <c r="AK6853" s="3">
        <v>6847</v>
      </c>
      <c r="AL6853" s="163">
        <v>6.6411835996065101</v>
      </c>
    </row>
    <row r="6854" spans="37:38" s="4" customFormat="1">
      <c r="AK6854" s="3">
        <v>6848</v>
      </c>
      <c r="AL6854" s="163">
        <v>6.6418838930644348</v>
      </c>
    </row>
    <row r="6855" spans="37:38" s="4" customFormat="1">
      <c r="AK6855" s="3">
        <v>6849</v>
      </c>
      <c r="AL6855" s="163">
        <v>6.6425839399501072</v>
      </c>
    </row>
    <row r="6856" spans="37:38" s="4" customFormat="1">
      <c r="AK6856" s="3">
        <v>6850</v>
      </c>
      <c r="AL6856" s="163">
        <v>6.6432837403215714</v>
      </c>
    </row>
    <row r="6857" spans="37:38" s="4" customFormat="1">
      <c r="AK6857" s="3">
        <v>6851</v>
      </c>
      <c r="AL6857" s="163">
        <v>6.643983294237259</v>
      </c>
    </row>
    <row r="6858" spans="37:38" s="4" customFormat="1">
      <c r="AK6858" s="3">
        <v>6852</v>
      </c>
      <c r="AL6858" s="163">
        <v>6.6446826017557825</v>
      </c>
    </row>
    <row r="6859" spans="37:38" s="4" customFormat="1">
      <c r="AK6859" s="3">
        <v>6853</v>
      </c>
      <c r="AL6859" s="163">
        <v>6.6453816629362379</v>
      </c>
    </row>
    <row r="6860" spans="37:38" s="4" customFormat="1">
      <c r="AK6860" s="3">
        <v>6854</v>
      </c>
      <c r="AL6860" s="163">
        <v>6.6460804778380052</v>
      </c>
    </row>
    <row r="6861" spans="37:38" s="4" customFormat="1">
      <c r="AK6861" s="3">
        <v>6855</v>
      </c>
      <c r="AL6861" s="163">
        <v>6.6467790465207521</v>
      </c>
    </row>
    <row r="6862" spans="37:38" s="4" customFormat="1">
      <c r="AK6862" s="3">
        <v>6856</v>
      </c>
      <c r="AL6862" s="163">
        <v>6.647477369044509</v>
      </c>
    </row>
    <row r="6863" spans="37:38" s="4" customFormat="1">
      <c r="AK6863" s="3">
        <v>6857</v>
      </c>
      <c r="AL6863" s="163">
        <v>6.6481754454696897</v>
      </c>
    </row>
    <row r="6864" spans="37:38" s="4" customFormat="1">
      <c r="AK6864" s="3">
        <v>6858</v>
      </c>
      <c r="AL6864" s="163">
        <v>6.6488732758569107</v>
      </c>
    </row>
    <row r="6865" spans="37:38" s="4" customFormat="1">
      <c r="AK6865" s="3">
        <v>6859</v>
      </c>
      <c r="AL6865" s="163">
        <v>6.6495708602672465</v>
      </c>
    </row>
    <row r="6866" spans="37:38" s="4" customFormat="1">
      <c r="AK6866" s="3">
        <v>6860</v>
      </c>
      <c r="AL6866" s="163">
        <v>6.6502681987620278</v>
      </c>
    </row>
    <row r="6867" spans="37:38" s="4" customFormat="1">
      <c r="AK6867" s="3">
        <v>6861</v>
      </c>
      <c r="AL6867" s="163">
        <v>6.6509652914029189</v>
      </c>
    </row>
    <row r="6868" spans="37:38" s="4" customFormat="1">
      <c r="AK6868" s="3">
        <v>6862</v>
      </c>
      <c r="AL6868" s="163">
        <v>6.6516621382519681</v>
      </c>
    </row>
    <row r="6869" spans="37:38" s="4" customFormat="1">
      <c r="AK6869" s="3">
        <v>6863</v>
      </c>
      <c r="AL6869" s="163">
        <v>6.6523587393715147</v>
      </c>
    </row>
    <row r="6870" spans="37:38" s="4" customFormat="1">
      <c r="AK6870" s="3">
        <v>6864</v>
      </c>
      <c r="AL6870" s="163">
        <v>6.6530550948242109</v>
      </c>
    </row>
    <row r="6871" spans="37:38" s="4" customFormat="1">
      <c r="AK6871" s="3">
        <v>6865</v>
      </c>
      <c r="AL6871" s="163">
        <v>6.6537512046731351</v>
      </c>
    </row>
    <row r="6872" spans="37:38" s="4" customFormat="1">
      <c r="AK6872" s="3">
        <v>6866</v>
      </c>
      <c r="AL6872" s="163">
        <v>6.6544470689815007</v>
      </c>
    </row>
    <row r="6873" spans="37:38" s="4" customFormat="1">
      <c r="AK6873" s="3">
        <v>6867</v>
      </c>
      <c r="AL6873" s="163">
        <v>6.6551426878130968</v>
      </c>
    </row>
    <row r="6874" spans="37:38" s="4" customFormat="1">
      <c r="AK6874" s="3">
        <v>6868</v>
      </c>
      <c r="AL6874" s="163">
        <v>6.6558380612318793</v>
      </c>
    </row>
    <row r="6875" spans="37:38" s="4" customFormat="1">
      <c r="AK6875" s="3">
        <v>6869</v>
      </c>
      <c r="AL6875" s="163">
        <v>6.6565331893022091</v>
      </c>
    </row>
    <row r="6876" spans="37:38" s="4" customFormat="1">
      <c r="AK6876" s="3">
        <v>6870</v>
      </c>
      <c r="AL6876" s="163">
        <v>6.6572280720887527</v>
      </c>
    </row>
    <row r="6877" spans="37:38" s="4" customFormat="1">
      <c r="AK6877" s="3">
        <v>6871</v>
      </c>
      <c r="AL6877" s="163">
        <v>6.657922709656507</v>
      </c>
    </row>
    <row r="6878" spans="37:38" s="4" customFormat="1">
      <c r="AK6878" s="3">
        <v>6872</v>
      </c>
      <c r="AL6878" s="163">
        <v>6.6586171020707923</v>
      </c>
    </row>
    <row r="6879" spans="37:38" s="4" customFormat="1">
      <c r="AK6879" s="3">
        <v>6873</v>
      </c>
      <c r="AL6879" s="163">
        <v>6.6593112493973123</v>
      </c>
    </row>
    <row r="6880" spans="37:38" s="4" customFormat="1">
      <c r="AK6880" s="3">
        <v>6874</v>
      </c>
      <c r="AL6880" s="163">
        <v>6.6600051517020695</v>
      </c>
    </row>
    <row r="6881" spans="37:38" s="4" customFormat="1">
      <c r="AK6881" s="3">
        <v>6875</v>
      </c>
      <c r="AL6881" s="163">
        <v>6.6606988090514143</v>
      </c>
    </row>
    <row r="6882" spans="37:38" s="4" customFormat="1">
      <c r="AK6882" s="3">
        <v>6876</v>
      </c>
      <c r="AL6882" s="163">
        <v>6.6613922215119565</v>
      </c>
    </row>
    <row r="6883" spans="37:38" s="4" customFormat="1">
      <c r="AK6883" s="3">
        <v>6877</v>
      </c>
      <c r="AL6883" s="163">
        <v>6.6620853891507714</v>
      </c>
    </row>
    <row r="6884" spans="37:38" s="4" customFormat="1">
      <c r="AK6884" s="3">
        <v>6878</v>
      </c>
      <c r="AL6884" s="163">
        <v>6.6627783120351545</v>
      </c>
    </row>
    <row r="6885" spans="37:38" s="4" customFormat="1">
      <c r="AK6885" s="3">
        <v>6879</v>
      </c>
      <c r="AL6885" s="163">
        <v>6.6634709902328062</v>
      </c>
    </row>
    <row r="6886" spans="37:38" s="4" customFormat="1">
      <c r="AK6886" s="3">
        <v>6880</v>
      </c>
      <c r="AL6886" s="163">
        <v>6.6641634238117149</v>
      </c>
    </row>
    <row r="6887" spans="37:38" s="4" customFormat="1">
      <c r="AK6887" s="3">
        <v>6881</v>
      </c>
      <c r="AL6887" s="163">
        <v>6.6648556128402525</v>
      </c>
    </row>
    <row r="6888" spans="37:38" s="4" customFormat="1">
      <c r="AK6888" s="3">
        <v>6882</v>
      </c>
      <c r="AL6888" s="163">
        <v>6.6655475573871179</v>
      </c>
    </row>
    <row r="6889" spans="37:38" s="4" customFormat="1">
      <c r="AK6889" s="3">
        <v>6883</v>
      </c>
      <c r="AL6889" s="163">
        <v>6.6662392575212408</v>
      </c>
    </row>
    <row r="6890" spans="37:38" s="4" customFormat="1">
      <c r="AK6890" s="3">
        <v>6884</v>
      </c>
      <c r="AL6890" s="163">
        <v>6.6669307133120235</v>
      </c>
    </row>
    <row r="6891" spans="37:38" s="4" customFormat="1">
      <c r="AK6891" s="3">
        <v>6885</v>
      </c>
      <c r="AL6891" s="163">
        <v>6.6676219248291879</v>
      </c>
    </row>
    <row r="6892" spans="37:38" s="4" customFormat="1">
      <c r="AK6892" s="3">
        <v>6886</v>
      </c>
      <c r="AL6892" s="163">
        <v>6.6683128921427084</v>
      </c>
    </row>
    <row r="6893" spans="37:38" s="4" customFormat="1">
      <c r="AK6893" s="3">
        <v>6887</v>
      </c>
      <c r="AL6893" s="163">
        <v>6.6690036153229535</v>
      </c>
    </row>
    <row r="6894" spans="37:38" s="4" customFormat="1">
      <c r="AK6894" s="3">
        <v>6888</v>
      </c>
      <c r="AL6894" s="163">
        <v>6.6696940944406435</v>
      </c>
    </row>
    <row r="6895" spans="37:38" s="4" customFormat="1">
      <c r="AK6895" s="3">
        <v>6889</v>
      </c>
      <c r="AL6895" s="163">
        <v>6.6703843295667369</v>
      </c>
    </row>
    <row r="6896" spans="37:38" s="4" customFormat="1">
      <c r="AK6896" s="3">
        <v>6890</v>
      </c>
      <c r="AL6896" s="163">
        <v>6.6710743207726857</v>
      </c>
    </row>
    <row r="6897" spans="37:38" s="4" customFormat="1">
      <c r="AK6897" s="3">
        <v>6891</v>
      </c>
      <c r="AL6897" s="163">
        <v>6.671764068130134</v>
      </c>
    </row>
    <row r="6898" spans="37:38" s="4" customFormat="1">
      <c r="AK6898" s="3">
        <v>6892</v>
      </c>
      <c r="AL6898" s="163">
        <v>6.672453571711177</v>
      </c>
    </row>
    <row r="6899" spans="37:38" s="4" customFormat="1">
      <c r="AK6899" s="3">
        <v>6893</v>
      </c>
      <c r="AL6899" s="163">
        <v>6.6731428315881018</v>
      </c>
    </row>
    <row r="6900" spans="37:38" s="4" customFormat="1">
      <c r="AK6900" s="3">
        <v>6894</v>
      </c>
      <c r="AL6900" s="163">
        <v>6.6738318478337035</v>
      </c>
    </row>
    <row r="6901" spans="37:38" s="4" customFormat="1">
      <c r="AK6901" s="3">
        <v>6895</v>
      </c>
      <c r="AL6901" s="163">
        <v>6.6745206205209975</v>
      </c>
    </row>
    <row r="6902" spans="37:38" s="4" customFormat="1">
      <c r="AK6902" s="3">
        <v>6896</v>
      </c>
      <c r="AL6902" s="163">
        <v>6.6752091497234041</v>
      </c>
    </row>
    <row r="6903" spans="37:38" s="4" customFormat="1">
      <c r="AK6903" s="3">
        <v>6897</v>
      </c>
      <c r="AL6903" s="163">
        <v>6.6758974355145959</v>
      </c>
    </row>
    <row r="6904" spans="37:38" s="4" customFormat="1">
      <c r="AK6904" s="3">
        <v>6898</v>
      </c>
      <c r="AL6904" s="163">
        <v>6.6765854779687039</v>
      </c>
    </row>
    <row r="6905" spans="37:38" s="4" customFormat="1">
      <c r="AK6905" s="3">
        <v>6899</v>
      </c>
      <c r="AL6905" s="163">
        <v>6.67727327716009</v>
      </c>
    </row>
    <row r="6906" spans="37:38" s="4" customFormat="1">
      <c r="AK6906" s="3">
        <v>6900</v>
      </c>
      <c r="AL6906" s="163">
        <v>6.6779608331634925</v>
      </c>
    </row>
    <row r="6907" spans="37:38" s="4" customFormat="1">
      <c r="AK6907" s="3">
        <v>6901</v>
      </c>
      <c r="AL6907" s="163">
        <v>6.6786481460540088</v>
      </c>
    </row>
    <row r="6908" spans="37:38" s="4" customFormat="1">
      <c r="AK6908" s="3">
        <v>6902</v>
      </c>
      <c r="AL6908" s="163">
        <v>6.679335215907038</v>
      </c>
    </row>
    <row r="6909" spans="37:38" s="4" customFormat="1">
      <c r="AK6909" s="3">
        <v>6903</v>
      </c>
      <c r="AL6909" s="163">
        <v>6.680022042798381</v>
      </c>
    </row>
    <row r="6910" spans="37:38" s="4" customFormat="1">
      <c r="AK6910" s="3">
        <v>6904</v>
      </c>
      <c r="AL6910" s="163">
        <v>6.6807086268040621</v>
      </c>
    </row>
    <row r="6911" spans="37:38" s="4" customFormat="1">
      <c r="AK6911" s="3">
        <v>6905</v>
      </c>
      <c r="AL6911" s="163">
        <v>6.6813949680005962</v>
      </c>
    </row>
    <row r="6912" spans="37:38" s="4" customFormat="1">
      <c r="AK6912" s="3">
        <v>6906</v>
      </c>
      <c r="AL6912" s="163">
        <v>6.6820810664647219</v>
      </c>
    </row>
    <row r="6913" spans="37:38" s="4" customFormat="1">
      <c r="AK6913" s="3">
        <v>6907</v>
      </c>
      <c r="AL6913" s="163">
        <v>6.6827669222735189</v>
      </c>
    </row>
    <row r="6914" spans="37:38" s="4" customFormat="1">
      <c r="AK6914" s="3">
        <v>6908</v>
      </c>
      <c r="AL6914" s="163">
        <v>6.6834525355045216</v>
      </c>
    </row>
    <row r="6915" spans="37:38" s="4" customFormat="1">
      <c r="AK6915" s="3">
        <v>6909</v>
      </c>
      <c r="AL6915" s="163">
        <v>6.6841379062354136</v>
      </c>
    </row>
    <row r="6916" spans="37:38" s="4" customFormat="1">
      <c r="AK6916" s="3">
        <v>6910</v>
      </c>
      <c r="AL6916" s="163">
        <v>6.6848230345444435</v>
      </c>
    </row>
    <row r="6917" spans="37:38" s="4" customFormat="1">
      <c r="AK6917" s="3">
        <v>6911</v>
      </c>
      <c r="AL6917" s="163">
        <v>6.6855079205100374</v>
      </c>
    </row>
    <row r="6918" spans="37:38" s="4" customFormat="1">
      <c r="AK6918" s="3">
        <v>6912</v>
      </c>
      <c r="AL6918" s="163">
        <v>6.6861925642109732</v>
      </c>
    </row>
    <row r="6919" spans="37:38" s="4" customFormat="1">
      <c r="AK6919" s="3">
        <v>6913</v>
      </c>
      <c r="AL6919" s="163">
        <v>6.6868769657264799</v>
      </c>
    </row>
    <row r="6920" spans="37:38" s="4" customFormat="1">
      <c r="AK6920" s="3">
        <v>6914</v>
      </c>
      <c r="AL6920" s="163">
        <v>6.6875611251360425</v>
      </c>
    </row>
    <row r="6921" spans="37:38" s="4" customFormat="1">
      <c r="AK6921" s="3">
        <v>6915</v>
      </c>
      <c r="AL6921" s="163">
        <v>6.6882450425194051</v>
      </c>
    </row>
    <row r="6922" spans="37:38" s="4" customFormat="1">
      <c r="AK6922" s="3">
        <v>6916</v>
      </c>
      <c r="AL6922" s="163">
        <v>6.6889287179568662</v>
      </c>
    </row>
    <row r="6923" spans="37:38" s="4" customFormat="1">
      <c r="AK6923" s="3">
        <v>6917</v>
      </c>
      <c r="AL6923" s="163">
        <v>6.6896121515288947</v>
      </c>
    </row>
    <row r="6924" spans="37:38" s="4" customFormat="1">
      <c r="AK6924" s="3">
        <v>6918</v>
      </c>
      <c r="AL6924" s="163">
        <v>6.6902953433163432</v>
      </c>
    </row>
    <row r="6925" spans="37:38" s="4" customFormat="1">
      <c r="AK6925" s="3">
        <v>6919</v>
      </c>
      <c r="AL6925" s="163">
        <v>6.6909782934004554</v>
      </c>
    </row>
    <row r="6926" spans="37:38" s="4" customFormat="1">
      <c r="AK6926" s="3">
        <v>6920</v>
      </c>
      <c r="AL6926" s="163">
        <v>6.6916610018626841</v>
      </c>
    </row>
    <row r="6927" spans="37:38" s="4" customFormat="1">
      <c r="AK6927" s="3">
        <v>6921</v>
      </c>
      <c r="AL6927" s="163">
        <v>6.6923434687850616</v>
      </c>
    </row>
    <row r="6928" spans="37:38" s="4" customFormat="1">
      <c r="AK6928" s="3">
        <v>6922</v>
      </c>
      <c r="AL6928" s="163">
        <v>6.693025694249723</v>
      </c>
    </row>
    <row r="6929" spans="37:38" s="4" customFormat="1">
      <c r="AK6929" s="3">
        <v>6923</v>
      </c>
      <c r="AL6929" s="163">
        <v>6.6937076783392229</v>
      </c>
    </row>
    <row r="6930" spans="37:38" s="4" customFormat="1">
      <c r="AK6930" s="3">
        <v>6924</v>
      </c>
      <c r="AL6930" s="163">
        <v>6.6943894211365453</v>
      </c>
    </row>
    <row r="6931" spans="37:38" s="4" customFormat="1">
      <c r="AK6931" s="3">
        <v>6925</v>
      </c>
      <c r="AL6931" s="163">
        <v>6.695070922724927</v>
      </c>
    </row>
    <row r="6932" spans="37:38" s="4" customFormat="1">
      <c r="AK6932" s="3">
        <v>6926</v>
      </c>
      <c r="AL6932" s="163">
        <v>6.6957521831879312</v>
      </c>
    </row>
    <row r="6933" spans="37:38" s="4" customFormat="1">
      <c r="AK6933" s="3">
        <v>6927</v>
      </c>
      <c r="AL6933" s="163">
        <v>6.6964332026095619</v>
      </c>
    </row>
    <row r="6934" spans="37:38" s="4" customFormat="1">
      <c r="AK6934" s="3">
        <v>6928</v>
      </c>
      <c r="AL6934" s="163">
        <v>6.6971139810740432</v>
      </c>
    </row>
    <row r="6935" spans="37:38" s="4" customFormat="1">
      <c r="AK6935" s="3">
        <v>6929</v>
      </c>
      <c r="AL6935" s="163">
        <v>6.6977945186660826</v>
      </c>
    </row>
    <row r="6936" spans="37:38" s="4" customFormat="1">
      <c r="AK6936" s="3">
        <v>6930</v>
      </c>
      <c r="AL6936" s="163">
        <v>6.6984748154706111</v>
      </c>
    </row>
    <row r="6937" spans="37:38" s="4" customFormat="1">
      <c r="AK6937" s="3">
        <v>6931</v>
      </c>
      <c r="AL6937" s="163">
        <v>6.6991548715729081</v>
      </c>
    </row>
    <row r="6938" spans="37:38" s="4" customFormat="1">
      <c r="AK6938" s="3">
        <v>6932</v>
      </c>
      <c r="AL6938" s="163">
        <v>6.6998346870587433</v>
      </c>
    </row>
    <row r="6939" spans="37:38" s="4" customFormat="1">
      <c r="AK6939" s="3">
        <v>6933</v>
      </c>
      <c r="AL6939" s="163">
        <v>6.7005142620140532</v>
      </c>
    </row>
    <row r="6940" spans="37:38" s="4" customFormat="1">
      <c r="AK6940" s="3">
        <v>6934</v>
      </c>
      <c r="AL6940" s="163">
        <v>6.7011935965252007</v>
      </c>
    </row>
    <row r="6941" spans="37:38" s="4" customFormat="1">
      <c r="AK6941" s="3">
        <v>6935</v>
      </c>
      <c r="AL6941" s="163">
        <v>6.7018726906788793</v>
      </c>
    </row>
    <row r="6942" spans="37:38" s="4" customFormat="1">
      <c r="AK6942" s="3">
        <v>6936</v>
      </c>
      <c r="AL6942" s="163">
        <v>6.7025515445621338</v>
      </c>
    </row>
    <row r="6943" spans="37:38" s="4" customFormat="1">
      <c r="AK6943" s="3">
        <v>6937</v>
      </c>
      <c r="AL6943" s="163">
        <v>6.703230158262393</v>
      </c>
    </row>
    <row r="6944" spans="37:38" s="4" customFormat="1">
      <c r="AK6944" s="3">
        <v>6938</v>
      </c>
      <c r="AL6944" s="163">
        <v>6.7039085318673344</v>
      </c>
    </row>
    <row r="6945" spans="37:38" s="4" customFormat="1">
      <c r="AK6945" s="3">
        <v>6939</v>
      </c>
      <c r="AL6945" s="163">
        <v>6.7045866654650546</v>
      </c>
    </row>
    <row r="6946" spans="37:38" s="4" customFormat="1">
      <c r="AK6946" s="3">
        <v>6940</v>
      </c>
      <c r="AL6946" s="163">
        <v>6.7052645591439628</v>
      </c>
    </row>
    <row r="6947" spans="37:38" s="4" customFormat="1">
      <c r="AK6947" s="3">
        <v>6941</v>
      </c>
      <c r="AL6947" s="163">
        <v>6.705942212992916</v>
      </c>
    </row>
    <row r="6948" spans="37:38" s="4" customFormat="1">
      <c r="AK6948" s="3">
        <v>6942</v>
      </c>
      <c r="AL6948" s="163">
        <v>6.706619627100892</v>
      </c>
    </row>
    <row r="6949" spans="37:38" s="4" customFormat="1">
      <c r="AK6949" s="3">
        <v>6943</v>
      </c>
      <c r="AL6949" s="163">
        <v>6.7072968015574688</v>
      </c>
    </row>
    <row r="6950" spans="37:38" s="4" customFormat="1">
      <c r="AK6950" s="3">
        <v>6944</v>
      </c>
      <c r="AL6950" s="163">
        <v>6.7079737364523879</v>
      </c>
    </row>
    <row r="6951" spans="37:38" s="4" customFormat="1">
      <c r="AK6951" s="3">
        <v>6945</v>
      </c>
      <c r="AL6951" s="163">
        <v>6.70865043187586</v>
      </c>
    </row>
    <row r="6952" spans="37:38" s="4" customFormat="1">
      <c r="AK6952" s="3">
        <v>6946</v>
      </c>
      <c r="AL6952" s="163">
        <v>6.7093268879183228</v>
      </c>
    </row>
    <row r="6953" spans="37:38" s="4" customFormat="1">
      <c r="AK6953" s="3">
        <v>6947</v>
      </c>
      <c r="AL6953" s="163">
        <v>6.7100031046706583</v>
      </c>
    </row>
    <row r="6954" spans="37:38" s="4" customFormat="1">
      <c r="AK6954" s="3">
        <v>6948</v>
      </c>
      <c r="AL6954" s="163">
        <v>6.7106790822240967</v>
      </c>
    </row>
    <row r="6955" spans="37:38" s="4" customFormat="1">
      <c r="AK6955" s="3">
        <v>6949</v>
      </c>
      <c r="AL6955" s="163">
        <v>6.7113548206701168</v>
      </c>
    </row>
    <row r="6956" spans="37:38" s="4" customFormat="1">
      <c r="AK6956" s="3">
        <v>6950</v>
      </c>
      <c r="AL6956" s="163">
        <v>6.7120303201006344</v>
      </c>
    </row>
    <row r="6957" spans="37:38" s="4" customFormat="1">
      <c r="AK6957" s="3">
        <v>6951</v>
      </c>
      <c r="AL6957" s="163">
        <v>6.7127055806079348</v>
      </c>
    </row>
    <row r="6958" spans="37:38" s="4" customFormat="1">
      <c r="AK6958" s="3">
        <v>6952</v>
      </c>
      <c r="AL6958" s="163">
        <v>6.7133806022845484</v>
      </c>
    </row>
    <row r="6959" spans="37:38" s="4" customFormat="1">
      <c r="AK6959" s="3">
        <v>6953</v>
      </c>
      <c r="AL6959" s="163">
        <v>6.7140553852233786</v>
      </c>
    </row>
    <row r="6960" spans="37:38" s="4" customFormat="1">
      <c r="AK6960" s="3">
        <v>6954</v>
      </c>
      <c r="AL6960" s="163">
        <v>6.714729929517798</v>
      </c>
    </row>
    <row r="6961" spans="37:38" s="4" customFormat="1">
      <c r="AK6961" s="3">
        <v>6955</v>
      </c>
      <c r="AL6961" s="163">
        <v>6.7154042352614205</v>
      </c>
    </row>
    <row r="6962" spans="37:38" s="4" customFormat="1">
      <c r="AK6962" s="3">
        <v>6956</v>
      </c>
      <c r="AL6962" s="163">
        <v>6.7160783025481727</v>
      </c>
    </row>
    <row r="6963" spans="37:38" s="4" customFormat="1">
      <c r="AK6963" s="3">
        <v>6957</v>
      </c>
      <c r="AL6963" s="163">
        <v>6.7167521314724041</v>
      </c>
    </row>
    <row r="6964" spans="37:38" s="4" customFormat="1">
      <c r="AK6964" s="3">
        <v>6958</v>
      </c>
      <c r="AL6964" s="163">
        <v>6.7174257221288087</v>
      </c>
    </row>
    <row r="6965" spans="37:38" s="4" customFormat="1">
      <c r="AK6965" s="3">
        <v>6959</v>
      </c>
      <c r="AL6965" s="163">
        <v>6.718099074612411</v>
      </c>
    </row>
    <row r="6966" spans="37:38" s="4" customFormat="1">
      <c r="AK6966" s="3">
        <v>6960</v>
      </c>
      <c r="AL6966" s="163">
        <v>6.7187721890185905</v>
      </c>
    </row>
    <row r="6967" spans="37:38" s="4" customFormat="1">
      <c r="AK6967" s="3">
        <v>6961</v>
      </c>
      <c r="AL6967" s="163">
        <v>6.7194450654430291</v>
      </c>
    </row>
    <row r="6968" spans="37:38" s="4" customFormat="1">
      <c r="AK6968" s="3">
        <v>6962</v>
      </c>
      <c r="AL6968" s="163">
        <v>6.7201177039818525</v>
      </c>
    </row>
    <row r="6969" spans="37:38" s="4" customFormat="1">
      <c r="AK6969" s="3">
        <v>6963</v>
      </c>
      <c r="AL6969" s="163">
        <v>6.7207901047315026</v>
      </c>
    </row>
    <row r="6970" spans="37:38" s="4" customFormat="1">
      <c r="AK6970" s="3">
        <v>6964</v>
      </c>
      <c r="AL6970" s="163">
        <v>6.7214622677886773</v>
      </c>
    </row>
    <row r="6971" spans="37:38" s="4" customFormat="1">
      <c r="AK6971" s="3">
        <v>6965</v>
      </c>
      <c r="AL6971" s="163">
        <v>6.722134193250568</v>
      </c>
    </row>
    <row r="6972" spans="37:38" s="4" customFormat="1">
      <c r="AK6972" s="3">
        <v>6966</v>
      </c>
      <c r="AL6972" s="163">
        <v>6.7228058812146401</v>
      </c>
    </row>
    <row r="6973" spans="37:38" s="4" customFormat="1">
      <c r="AK6973" s="3">
        <v>6967</v>
      </c>
      <c r="AL6973" s="163">
        <v>6.723477331778696</v>
      </c>
    </row>
    <row r="6974" spans="37:38" s="4" customFormat="1">
      <c r="AK6974" s="3">
        <v>6968</v>
      </c>
      <c r="AL6974" s="163">
        <v>6.7241485450409222</v>
      </c>
    </row>
    <row r="6975" spans="37:38" s="4" customFormat="1">
      <c r="AK6975" s="3">
        <v>6969</v>
      </c>
      <c r="AL6975" s="163">
        <v>6.7248195210998745</v>
      </c>
    </row>
    <row r="6976" spans="37:38" s="4" customFormat="1">
      <c r="AK6976" s="3">
        <v>6970</v>
      </c>
      <c r="AL6976" s="163">
        <v>6.7254902600543964</v>
      </c>
    </row>
    <row r="6977" spans="37:38" s="4" customFormat="1">
      <c r="AK6977" s="3">
        <v>6971</v>
      </c>
      <c r="AL6977" s="163">
        <v>6.7261607620037331</v>
      </c>
    </row>
    <row r="6978" spans="37:38" s="4" customFormat="1">
      <c r="AK6978" s="3">
        <v>6972</v>
      </c>
      <c r="AL6978" s="163">
        <v>6.7268310270474529</v>
      </c>
    </row>
    <row r="6979" spans="37:38" s="4" customFormat="1">
      <c r="AK6979" s="3">
        <v>6973</v>
      </c>
      <c r="AL6979" s="163">
        <v>6.7275010552855363</v>
      </c>
    </row>
    <row r="6980" spans="37:38" s="4" customFormat="1">
      <c r="AK6980" s="3">
        <v>6974</v>
      </c>
      <c r="AL6980" s="163">
        <v>6.7281708468182195</v>
      </c>
    </row>
    <row r="6981" spans="37:38" s="4" customFormat="1">
      <c r="AK6981" s="3">
        <v>6975</v>
      </c>
      <c r="AL6981" s="163">
        <v>6.7288404017461403</v>
      </c>
    </row>
    <row r="6982" spans="37:38" s="4" customFormat="1">
      <c r="AK6982" s="3">
        <v>6976</v>
      </c>
      <c r="AL6982" s="163">
        <v>6.7295097201703342</v>
      </c>
    </row>
    <row r="6983" spans="37:38" s="4" customFormat="1">
      <c r="AK6983" s="3">
        <v>6977</v>
      </c>
      <c r="AL6983" s="163">
        <v>6.7301788021920963</v>
      </c>
    </row>
    <row r="6984" spans="37:38" s="4" customFormat="1">
      <c r="AK6984" s="3">
        <v>6978</v>
      </c>
      <c r="AL6984" s="163">
        <v>6.7308476479131798</v>
      </c>
    </row>
    <row r="6985" spans="37:38" s="4" customFormat="1">
      <c r="AK6985" s="3">
        <v>6979</v>
      </c>
      <c r="AL6985" s="163">
        <v>6.7315162574355547</v>
      </c>
    </row>
    <row r="6986" spans="37:38" s="4" customFormat="1">
      <c r="AK6986" s="3">
        <v>6980</v>
      </c>
      <c r="AL6986" s="163">
        <v>6.7321846308617026</v>
      </c>
    </row>
    <row r="6987" spans="37:38" s="4" customFormat="1">
      <c r="AK6987" s="3">
        <v>6981</v>
      </c>
      <c r="AL6987" s="163">
        <v>6.7328527682943182</v>
      </c>
    </row>
    <row r="6988" spans="37:38" s="4" customFormat="1">
      <c r="AK6988" s="3">
        <v>6982</v>
      </c>
      <c r="AL6988" s="163">
        <v>6.7335206698364907</v>
      </c>
    </row>
    <row r="6989" spans="37:38" s="4" customFormat="1">
      <c r="AK6989" s="3">
        <v>6983</v>
      </c>
      <c r="AL6989" s="163">
        <v>6.7341883355917638</v>
      </c>
    </row>
    <row r="6990" spans="37:38" s="4" customFormat="1">
      <c r="AK6990" s="3">
        <v>6984</v>
      </c>
      <c r="AL6990" s="163">
        <v>6.7348557656639016</v>
      </c>
    </row>
    <row r="6991" spans="37:38" s="4" customFormat="1">
      <c r="AK6991" s="3">
        <v>6985</v>
      </c>
      <c r="AL6991" s="163">
        <v>6.7355229601570912</v>
      </c>
    </row>
    <row r="6992" spans="37:38" s="4" customFormat="1">
      <c r="AK6992" s="3">
        <v>6986</v>
      </c>
      <c r="AL6992" s="163">
        <v>6.7361899191758212</v>
      </c>
    </row>
    <row r="6993" spans="37:38" s="4" customFormat="1">
      <c r="AK6993" s="3">
        <v>6987</v>
      </c>
      <c r="AL6993" s="163">
        <v>6.7368566428250318</v>
      </c>
    </row>
    <row r="6994" spans="37:38" s="4" customFormat="1">
      <c r="AK6994" s="3">
        <v>6988</v>
      </c>
      <c r="AL6994" s="163">
        <v>6.7375231312098762</v>
      </c>
    </row>
    <row r="6995" spans="37:38" s="4" customFormat="1">
      <c r="AK6995" s="3">
        <v>6989</v>
      </c>
      <c r="AL6995" s="163">
        <v>6.7381893844360086</v>
      </c>
    </row>
    <row r="6996" spans="37:38" s="4" customFormat="1">
      <c r="AK6996" s="3">
        <v>6990</v>
      </c>
      <c r="AL6996" s="163">
        <v>6.7388554026093246</v>
      </c>
    </row>
    <row r="6997" spans="37:38" s="4" customFormat="1">
      <c r="AK6997" s="3">
        <v>6991</v>
      </c>
      <c r="AL6997" s="163">
        <v>6.7395211858361819</v>
      </c>
    </row>
    <row r="6998" spans="37:38" s="4" customFormat="1">
      <c r="AK6998" s="3">
        <v>6992</v>
      </c>
      <c r="AL6998" s="163">
        <v>6.740186734223137</v>
      </c>
    </row>
    <row r="6999" spans="37:38" s="4" customFormat="1">
      <c r="AK6999" s="3">
        <v>6993</v>
      </c>
      <c r="AL6999" s="163">
        <v>6.7408520478772793</v>
      </c>
    </row>
    <row r="7000" spans="37:38" s="4" customFormat="1">
      <c r="AK7000" s="3">
        <v>6994</v>
      </c>
      <c r="AL7000" s="163">
        <v>6.7415171269059186</v>
      </c>
    </row>
    <row r="7001" spans="37:38" s="4" customFormat="1">
      <c r="AK7001" s="3">
        <v>6995</v>
      </c>
      <c r="AL7001" s="163">
        <v>6.7421819714168052</v>
      </c>
    </row>
    <row r="7002" spans="37:38" s="4" customFormat="1">
      <c r="AK7002" s="3">
        <v>6996</v>
      </c>
      <c r="AL7002" s="163">
        <v>6.7428465815180374</v>
      </c>
    </row>
    <row r="7003" spans="37:38" s="4" customFormat="1">
      <c r="AK7003" s="3">
        <v>6997</v>
      </c>
      <c r="AL7003" s="163">
        <v>6.7435109573179624</v>
      </c>
    </row>
    <row r="7004" spans="37:38" s="4" customFormat="1">
      <c r="AK7004" s="3">
        <v>6998</v>
      </c>
      <c r="AL7004" s="163">
        <v>6.7441750989254494</v>
      </c>
    </row>
    <row r="7005" spans="37:38" s="4" customFormat="1">
      <c r="AK7005" s="3">
        <v>6999</v>
      </c>
      <c r="AL7005" s="163">
        <v>6.744839006449606</v>
      </c>
    </row>
    <row r="7006" spans="37:38" s="4" customFormat="1">
      <c r="AK7006" s="3">
        <v>7000</v>
      </c>
      <c r="AL7006" s="163">
        <v>6.7455026799999303</v>
      </c>
    </row>
    <row r="7007" spans="37:38" s="4" customFormat="1">
      <c r="AK7007" s="3">
        <v>7001</v>
      </c>
      <c r="AL7007" s="163">
        <v>6.7461661196862792</v>
      </c>
    </row>
    <row r="7008" spans="37:38" s="4" customFormat="1">
      <c r="AK7008" s="3">
        <v>7002</v>
      </c>
      <c r="AL7008" s="163">
        <v>6.7468293256188758</v>
      </c>
    </row>
    <row r="7009" spans="37:38" s="4" customFormat="1">
      <c r="AK7009" s="3">
        <v>7003</v>
      </c>
      <c r="AL7009" s="163">
        <v>6.7474922979082912</v>
      </c>
    </row>
    <row r="7010" spans="37:38" s="4" customFormat="1">
      <c r="AK7010" s="3">
        <v>7004</v>
      </c>
      <c r="AL7010" s="163">
        <v>6.7481550366654375</v>
      </c>
    </row>
    <row r="7011" spans="37:38" s="4" customFormat="1">
      <c r="AK7011" s="3">
        <v>7005</v>
      </c>
      <c r="AL7011" s="163">
        <v>6.7488175420016283</v>
      </c>
    </row>
    <row r="7012" spans="37:38" s="4" customFormat="1">
      <c r="AK7012" s="3">
        <v>7006</v>
      </c>
      <c r="AL7012" s="163">
        <v>6.7494798140284757</v>
      </c>
    </row>
    <row r="7013" spans="37:38" s="4" customFormat="1">
      <c r="AK7013" s="3">
        <v>7007</v>
      </c>
      <c r="AL7013" s="163">
        <v>6.7501418528580217</v>
      </c>
    </row>
    <row r="7014" spans="37:38" s="4" customFormat="1">
      <c r="AK7014" s="3">
        <v>7008</v>
      </c>
      <c r="AL7014" s="163">
        <v>6.7508036586025959</v>
      </c>
    </row>
    <row r="7015" spans="37:38" s="4" customFormat="1">
      <c r="AK7015" s="3">
        <v>7009</v>
      </c>
      <c r="AL7015" s="163">
        <v>6.7514652313749046</v>
      </c>
    </row>
    <row r="7016" spans="37:38" s="4" customFormat="1">
      <c r="AK7016" s="3">
        <v>7010</v>
      </c>
      <c r="AL7016" s="163">
        <v>6.7521265712880556</v>
      </c>
    </row>
    <row r="7017" spans="37:38" s="4" customFormat="1">
      <c r="AK7017" s="3">
        <v>7011</v>
      </c>
      <c r="AL7017" s="163">
        <v>6.7527876784554586</v>
      </c>
    </row>
    <row r="7018" spans="37:38" s="4" customFormat="1">
      <c r="AK7018" s="3">
        <v>7012</v>
      </c>
      <c r="AL7018" s="163">
        <v>6.7534485529909176</v>
      </c>
    </row>
    <row r="7019" spans="37:38" s="4" customFormat="1">
      <c r="AK7019" s="3">
        <v>7013</v>
      </c>
      <c r="AL7019" s="163">
        <v>6.7541091950086347</v>
      </c>
    </row>
    <row r="7020" spans="37:38" s="4" customFormat="1">
      <c r="AK7020" s="3">
        <v>7014</v>
      </c>
      <c r="AL7020" s="163">
        <v>6.7547696046230392</v>
      </c>
    </row>
    <row r="7021" spans="37:38" s="4" customFormat="1">
      <c r="AK7021" s="3">
        <v>7015</v>
      </c>
      <c r="AL7021" s="163">
        <v>6.7554297819490401</v>
      </c>
    </row>
    <row r="7022" spans="37:38" s="4" customFormat="1">
      <c r="AK7022" s="3">
        <v>7016</v>
      </c>
      <c r="AL7022" s="163">
        <v>6.7560897271018625</v>
      </c>
    </row>
    <row r="7023" spans="37:38" s="4" customFormat="1">
      <c r="AK7023" s="3">
        <v>7017</v>
      </c>
      <c r="AL7023" s="163">
        <v>6.7567494401971118</v>
      </c>
    </row>
    <row r="7024" spans="37:38" s="4" customFormat="1">
      <c r="AK7024" s="3">
        <v>7018</v>
      </c>
      <c r="AL7024" s="163">
        <v>6.7574089213507449</v>
      </c>
    </row>
    <row r="7025" spans="37:38" s="4" customFormat="1">
      <c r="AK7025" s="3">
        <v>7019</v>
      </c>
      <c r="AL7025" s="163">
        <v>6.7580681706790315</v>
      </c>
    </row>
    <row r="7026" spans="37:38" s="4" customFormat="1">
      <c r="AK7026" s="3">
        <v>7020</v>
      </c>
      <c r="AL7026" s="163">
        <v>6.7587271882986784</v>
      </c>
    </row>
    <row r="7027" spans="37:38" s="4" customFormat="1">
      <c r="AK7027" s="3">
        <v>7021</v>
      </c>
      <c r="AL7027" s="163">
        <v>6.7593859743267437</v>
      </c>
    </row>
    <row r="7028" spans="37:38" s="4" customFormat="1">
      <c r="AK7028" s="3">
        <v>7022</v>
      </c>
      <c r="AL7028" s="163">
        <v>6.7600445288805417</v>
      </c>
    </row>
    <row r="7029" spans="37:38" s="4" customFormat="1">
      <c r="AK7029" s="3">
        <v>7023</v>
      </c>
      <c r="AL7029" s="163">
        <v>6.7607028520778911</v>
      </c>
    </row>
    <row r="7030" spans="37:38" s="4" customFormat="1">
      <c r="AK7030" s="3">
        <v>7024</v>
      </c>
      <c r="AL7030" s="163">
        <v>6.7613609440369302</v>
      </c>
    </row>
    <row r="7031" spans="37:38" s="4" customFormat="1">
      <c r="AK7031" s="3">
        <v>7025</v>
      </c>
      <c r="AL7031" s="163">
        <v>6.7620188048760674</v>
      </c>
    </row>
    <row r="7032" spans="37:38" s="4" customFormat="1">
      <c r="AK7032" s="3">
        <v>7026</v>
      </c>
      <c r="AL7032" s="163">
        <v>6.7626764347141481</v>
      </c>
    </row>
    <row r="7033" spans="37:38" s="4" customFormat="1">
      <c r="AK7033" s="3">
        <v>7027</v>
      </c>
      <c r="AL7033" s="163">
        <v>6.7633338336703979</v>
      </c>
    </row>
    <row r="7034" spans="37:38" s="4" customFormat="1">
      <c r="AK7034" s="3">
        <v>7028</v>
      </c>
      <c r="AL7034" s="163">
        <v>6.7639910018643903</v>
      </c>
    </row>
    <row r="7035" spans="37:38" s="4" customFormat="1">
      <c r="AK7035" s="3">
        <v>7029</v>
      </c>
      <c r="AL7035" s="163">
        <v>6.7646479394160082</v>
      </c>
    </row>
    <row r="7036" spans="37:38" s="4" customFormat="1">
      <c r="AK7036" s="3">
        <v>7030</v>
      </c>
      <c r="AL7036" s="163">
        <v>6.7653046464455322</v>
      </c>
    </row>
    <row r="7037" spans="37:38" s="4" customFormat="1">
      <c r="AK7037" s="3">
        <v>7031</v>
      </c>
      <c r="AL7037" s="163">
        <v>6.7659611230737084</v>
      </c>
    </row>
    <row r="7038" spans="37:38" s="4" customFormat="1">
      <c r="AK7038" s="3">
        <v>7032</v>
      </c>
      <c r="AL7038" s="163">
        <v>6.7666173694214322</v>
      </c>
    </row>
    <row r="7039" spans="37:38" s="4" customFormat="1">
      <c r="AK7039" s="3">
        <v>7033</v>
      </c>
      <c r="AL7039" s="163">
        <v>6.7672733856101139</v>
      </c>
    </row>
    <row r="7040" spans="37:38" s="4" customFormat="1">
      <c r="AK7040" s="3">
        <v>7034</v>
      </c>
      <c r="AL7040" s="163">
        <v>6.7679291717614944</v>
      </c>
    </row>
    <row r="7041" spans="37:38" s="4" customFormat="1">
      <c r="AK7041" s="3">
        <v>7035</v>
      </c>
      <c r="AL7041" s="163">
        <v>6.7685847279976699</v>
      </c>
    </row>
    <row r="7042" spans="37:38" s="4" customFormat="1">
      <c r="AK7042" s="3">
        <v>7036</v>
      </c>
      <c r="AL7042" s="163">
        <v>6.7692400544411306</v>
      </c>
    </row>
    <row r="7043" spans="37:38" s="4" customFormat="1">
      <c r="AK7043" s="3">
        <v>7037</v>
      </c>
      <c r="AL7043" s="163">
        <v>6.7698951512146586</v>
      </c>
    </row>
    <row r="7044" spans="37:38" s="4" customFormat="1">
      <c r="AK7044" s="3">
        <v>7038</v>
      </c>
      <c r="AL7044" s="163">
        <v>6.7705500184414511</v>
      </c>
    </row>
    <row r="7045" spans="37:38" s="4" customFormat="1">
      <c r="AK7045" s="3">
        <v>7039</v>
      </c>
      <c r="AL7045" s="163">
        <v>6.7712046562450965</v>
      </c>
    </row>
    <row r="7046" spans="37:38" s="4" customFormat="1">
      <c r="AK7046" s="3">
        <v>7040</v>
      </c>
      <c r="AL7046" s="163">
        <v>6.7718590647494707</v>
      </c>
    </row>
    <row r="7047" spans="37:38" s="4" customFormat="1">
      <c r="AK7047" s="3">
        <v>7041</v>
      </c>
      <c r="AL7047" s="163">
        <v>6.7725132440788798</v>
      </c>
    </row>
    <row r="7048" spans="37:38" s="4" customFormat="1">
      <c r="AK7048" s="3">
        <v>7042</v>
      </c>
      <c r="AL7048" s="163">
        <v>6.7731671943579634</v>
      </c>
    </row>
    <row r="7049" spans="37:38" s="4" customFormat="1">
      <c r="AK7049" s="3">
        <v>7043</v>
      </c>
      <c r="AL7049" s="163">
        <v>6.773820915711724</v>
      </c>
    </row>
    <row r="7050" spans="37:38" s="4" customFormat="1">
      <c r="AK7050" s="3">
        <v>7044</v>
      </c>
      <c r="AL7050" s="163">
        <v>6.7744744082655544</v>
      </c>
    </row>
    <row r="7051" spans="37:38" s="4" customFormat="1">
      <c r="AK7051" s="3">
        <v>7045</v>
      </c>
      <c r="AL7051" s="163">
        <v>6.7751276721451568</v>
      </c>
    </row>
    <row r="7052" spans="37:38" s="4" customFormat="1">
      <c r="AK7052" s="3">
        <v>7046</v>
      </c>
      <c r="AL7052" s="163">
        <v>6.7757807074766845</v>
      </c>
    </row>
    <row r="7053" spans="37:38" s="4" customFormat="1">
      <c r="AK7053" s="3">
        <v>7047</v>
      </c>
      <c r="AL7053" s="163">
        <v>6.7764335143865715</v>
      </c>
    </row>
    <row r="7054" spans="37:38" s="4" customFormat="1">
      <c r="AK7054" s="3">
        <v>7048</v>
      </c>
      <c r="AL7054" s="163">
        <v>6.7770860930016994</v>
      </c>
    </row>
    <row r="7055" spans="37:38" s="4" customFormat="1">
      <c r="AK7055" s="3">
        <v>7049</v>
      </c>
      <c r="AL7055" s="163">
        <v>6.7777384434492056</v>
      </c>
    </row>
    <row r="7056" spans="37:38" s="4" customFormat="1">
      <c r="AK7056" s="3">
        <v>7050</v>
      </c>
      <c r="AL7056" s="163">
        <v>6.7783905658567001</v>
      </c>
    </row>
    <row r="7057" spans="37:38" s="4" customFormat="1">
      <c r="AK7057" s="3">
        <v>7051</v>
      </c>
      <c r="AL7057" s="163">
        <v>6.7790424603520982</v>
      </c>
    </row>
    <row r="7058" spans="37:38" s="4" customFormat="1">
      <c r="AK7058" s="3">
        <v>7052</v>
      </c>
      <c r="AL7058" s="163">
        <v>6.7796941270637454</v>
      </c>
    </row>
    <row r="7059" spans="37:38" s="4" customFormat="1">
      <c r="AK7059" s="3">
        <v>7053</v>
      </c>
      <c r="AL7059" s="163">
        <v>6.7803455661202499</v>
      </c>
    </row>
    <row r="7060" spans="37:38" s="4" customFormat="1">
      <c r="AK7060" s="3">
        <v>7054</v>
      </c>
      <c r="AL7060" s="163">
        <v>6.7809967776506888</v>
      </c>
    </row>
    <row r="7061" spans="37:38" s="4" customFormat="1">
      <c r="AK7061" s="3">
        <v>7055</v>
      </c>
      <c r="AL7061" s="163">
        <v>6.7816477617843738</v>
      </c>
    </row>
    <row r="7062" spans="37:38" s="4" customFormat="1">
      <c r="AK7062" s="3">
        <v>7056</v>
      </c>
      <c r="AL7062" s="163">
        <v>6.7822985186511637</v>
      </c>
    </row>
    <row r="7063" spans="37:38" s="4" customFormat="1">
      <c r="AK7063" s="3">
        <v>7057</v>
      </c>
      <c r="AL7063" s="163">
        <v>6.7829490483811838</v>
      </c>
    </row>
    <row r="7064" spans="37:38" s="4" customFormat="1">
      <c r="AK7064" s="3">
        <v>7058</v>
      </c>
      <c r="AL7064" s="163">
        <v>6.7835993511049182</v>
      </c>
    </row>
    <row r="7065" spans="37:38" s="4" customFormat="1">
      <c r="AK7065" s="3">
        <v>7059</v>
      </c>
      <c r="AL7065" s="163">
        <v>6.7842494269532168</v>
      </c>
    </row>
    <row r="7066" spans="37:38" s="4" customFormat="1">
      <c r="AK7066" s="3">
        <v>7060</v>
      </c>
      <c r="AL7066" s="163">
        <v>6.7848992760573346</v>
      </c>
    </row>
    <row r="7067" spans="37:38" s="4" customFormat="1">
      <c r="AK7067" s="3">
        <v>7061</v>
      </c>
      <c r="AL7067" s="163">
        <v>6.7855488985488961</v>
      </c>
    </row>
    <row r="7068" spans="37:38" s="4" customFormat="1">
      <c r="AK7068" s="3">
        <v>7062</v>
      </c>
      <c r="AL7068" s="163">
        <v>6.7861982945598029</v>
      </c>
    </row>
    <row r="7069" spans="37:38" s="4" customFormat="1">
      <c r="AK7069" s="3">
        <v>7063</v>
      </c>
      <c r="AL7069" s="163">
        <v>6.7868474642224612</v>
      </c>
    </row>
    <row r="7070" spans="37:38" s="4" customFormat="1">
      <c r="AK7070" s="3">
        <v>7064</v>
      </c>
      <c r="AL7070" s="163">
        <v>6.7874964076695719</v>
      </c>
    </row>
    <row r="7071" spans="37:38" s="4" customFormat="1">
      <c r="AK7071" s="3">
        <v>7065</v>
      </c>
      <c r="AL7071" s="163">
        <v>6.788145125034184</v>
      </c>
    </row>
    <row r="7072" spans="37:38" s="4" customFormat="1">
      <c r="AK7072" s="3">
        <v>7066</v>
      </c>
      <c r="AL7072" s="163">
        <v>6.7887936164497731</v>
      </c>
    </row>
    <row r="7073" spans="37:38" s="4" customFormat="1">
      <c r="AK7073" s="3">
        <v>7067</v>
      </c>
      <c r="AL7073" s="163">
        <v>6.7894418820501592</v>
      </c>
    </row>
    <row r="7074" spans="37:38" s="4" customFormat="1">
      <c r="AK7074" s="3">
        <v>7068</v>
      </c>
      <c r="AL7074" s="163">
        <v>6.7900899219694537</v>
      </c>
    </row>
    <row r="7075" spans="37:38" s="4" customFormat="1">
      <c r="AK7075" s="3">
        <v>7069</v>
      </c>
      <c r="AL7075" s="163">
        <v>6.7907377363423009</v>
      </c>
    </row>
    <row r="7076" spans="37:38" s="4" customFormat="1">
      <c r="AK7076" s="3">
        <v>7070</v>
      </c>
      <c r="AL7076" s="163">
        <v>6.7913853253035903</v>
      </c>
    </row>
    <row r="7077" spans="37:38" s="4" customFormat="1">
      <c r="AK7077" s="3">
        <v>7071</v>
      </c>
      <c r="AL7077" s="163">
        <v>6.7920326889885985</v>
      </c>
    </row>
    <row r="7078" spans="37:38" s="4" customFormat="1">
      <c r="AK7078" s="3">
        <v>7072</v>
      </c>
      <c r="AL7078" s="163">
        <v>6.7926798275330142</v>
      </c>
    </row>
    <row r="7079" spans="37:38" s="4" customFormat="1">
      <c r="AK7079" s="3">
        <v>7073</v>
      </c>
      <c r="AL7079" s="163">
        <v>6.7933267410728391</v>
      </c>
    </row>
    <row r="7080" spans="37:38" s="4" customFormat="1">
      <c r="AK7080" s="3">
        <v>7074</v>
      </c>
      <c r="AL7080" s="163">
        <v>6.7939734297445007</v>
      </c>
    </row>
    <row r="7081" spans="37:38" s="4" customFormat="1">
      <c r="AK7081" s="3">
        <v>7075</v>
      </c>
      <c r="AL7081" s="163">
        <v>6.794619893684775</v>
      </c>
    </row>
    <row r="7082" spans="37:38" s="4" customFormat="1">
      <c r="AK7082" s="3">
        <v>7076</v>
      </c>
      <c r="AL7082" s="163">
        <v>6.7952661330308004</v>
      </c>
    </row>
    <row r="7083" spans="37:38" s="4" customFormat="1">
      <c r="AK7083" s="3">
        <v>7077</v>
      </c>
      <c r="AL7083" s="163">
        <v>6.7959121479200846</v>
      </c>
    </row>
    <row r="7084" spans="37:38" s="4" customFormat="1">
      <c r="AK7084" s="3">
        <v>7078</v>
      </c>
      <c r="AL7084" s="163">
        <v>6.7965579384905155</v>
      </c>
    </row>
    <row r="7085" spans="37:38" s="4" customFormat="1">
      <c r="AK7085" s="3">
        <v>7079</v>
      </c>
      <c r="AL7085" s="163">
        <v>6.7972035048803647</v>
      </c>
    </row>
    <row r="7086" spans="37:38" s="4" customFormat="1">
      <c r="AK7086" s="3">
        <v>7080</v>
      </c>
      <c r="AL7086" s="163">
        <v>6.7978488472282201</v>
      </c>
    </row>
    <row r="7087" spans="37:38" s="4" customFormat="1">
      <c r="AK7087" s="3">
        <v>7081</v>
      </c>
      <c r="AL7087" s="163">
        <v>6.7984939656731385</v>
      </c>
    </row>
    <row r="7088" spans="37:38" s="4" customFormat="1">
      <c r="AK7088" s="3">
        <v>7082</v>
      </c>
      <c r="AL7088" s="163">
        <v>6.7991388603544145</v>
      </c>
    </row>
    <row r="7089" spans="37:38" s="4" customFormat="1">
      <c r="AK7089" s="3">
        <v>7083</v>
      </c>
      <c r="AL7089" s="163">
        <v>6.7997835314118724</v>
      </c>
    </row>
    <row r="7090" spans="37:38" s="4" customFormat="1">
      <c r="AK7090" s="3">
        <v>7084</v>
      </c>
      <c r="AL7090" s="163">
        <v>6.8004279789856028</v>
      </c>
    </row>
    <row r="7091" spans="37:38" s="4" customFormat="1">
      <c r="AK7091" s="3">
        <v>7085</v>
      </c>
      <c r="AL7091" s="163">
        <v>6.8010722032160693</v>
      </c>
    </row>
    <row r="7092" spans="37:38" s="4" customFormat="1">
      <c r="AK7092" s="3">
        <v>7086</v>
      </c>
      <c r="AL7092" s="163">
        <v>6.8017162042441441</v>
      </c>
    </row>
    <row r="7093" spans="37:38" s="4" customFormat="1">
      <c r="AK7093" s="3">
        <v>7087</v>
      </c>
      <c r="AL7093" s="163">
        <v>6.8023599822110832</v>
      </c>
    </row>
    <row r="7094" spans="37:38" s="4" customFormat="1">
      <c r="AK7094" s="3">
        <v>7088</v>
      </c>
      <c r="AL7094" s="163">
        <v>6.8030035372584514</v>
      </c>
    </row>
    <row r="7095" spans="37:38" s="4" customFormat="1">
      <c r="AK7095" s="3">
        <v>7089</v>
      </c>
      <c r="AL7095" s="163">
        <v>6.8036468695282935</v>
      </c>
    </row>
    <row r="7096" spans="37:38" s="4" customFormat="1">
      <c r="AK7096" s="3">
        <v>7090</v>
      </c>
      <c r="AL7096" s="163">
        <v>6.8042899791628813</v>
      </c>
    </row>
    <row r="7097" spans="37:38" s="4" customFormat="1">
      <c r="AK7097" s="3">
        <v>7091</v>
      </c>
      <c r="AL7097" s="163">
        <v>6.8049328663049415</v>
      </c>
    </row>
    <row r="7098" spans="37:38" s="4" customFormat="1">
      <c r="AK7098" s="3">
        <v>7092</v>
      </c>
      <c r="AL7098" s="163">
        <v>6.8055755310976593</v>
      </c>
    </row>
    <row r="7099" spans="37:38" s="4" customFormat="1">
      <c r="AK7099" s="3">
        <v>7093</v>
      </c>
      <c r="AL7099" s="163">
        <v>6.8062179736844328</v>
      </c>
    </row>
    <row r="7100" spans="37:38" s="4" customFormat="1">
      <c r="AK7100" s="3">
        <v>7094</v>
      </c>
      <c r="AL7100" s="163">
        <v>6.8068601942091398</v>
      </c>
    </row>
    <row r="7101" spans="37:38" s="4" customFormat="1">
      <c r="AK7101" s="3">
        <v>7095</v>
      </c>
      <c r="AL7101" s="163">
        <v>6.8075021928159813</v>
      </c>
    </row>
    <row r="7102" spans="37:38" s="4" customFormat="1">
      <c r="AK7102" s="3">
        <v>7096</v>
      </c>
      <c r="AL7102" s="163">
        <v>6.8081439696495778</v>
      </c>
    </row>
    <row r="7103" spans="37:38" s="4" customFormat="1">
      <c r="AK7103" s="3">
        <v>7097</v>
      </c>
      <c r="AL7103" s="163">
        <v>6.8087855248548763</v>
      </c>
    </row>
    <row r="7104" spans="37:38" s="4" customFormat="1">
      <c r="AK7104" s="3">
        <v>7098</v>
      </c>
      <c r="AL7104" s="163">
        <v>6.8094268585772433</v>
      </c>
    </row>
    <row r="7105" spans="37:38" s="4" customFormat="1">
      <c r="AK7105" s="3">
        <v>7099</v>
      </c>
      <c r="AL7105" s="163">
        <v>6.810067970962379</v>
      </c>
    </row>
    <row r="7106" spans="37:38" s="4" customFormat="1">
      <c r="AK7106" s="3">
        <v>7100</v>
      </c>
      <c r="AL7106" s="163">
        <v>6.8107088621563712</v>
      </c>
    </row>
    <row r="7107" spans="37:38" s="4" customFormat="1">
      <c r="AK7107" s="3">
        <v>7101</v>
      </c>
      <c r="AL7107" s="163">
        <v>6.8113495323056945</v>
      </c>
    </row>
    <row r="7108" spans="37:38" s="4" customFormat="1">
      <c r="AK7108" s="3">
        <v>7102</v>
      </c>
      <c r="AL7108" s="163">
        <v>6.8119899815572111</v>
      </c>
    </row>
    <row r="7109" spans="37:38" s="4" customFormat="1">
      <c r="AK7109" s="3">
        <v>7103</v>
      </c>
      <c r="AL7109" s="163">
        <v>6.8126302100581064</v>
      </c>
    </row>
    <row r="7110" spans="37:38" s="4" customFormat="1">
      <c r="AK7110" s="3">
        <v>7104</v>
      </c>
      <c r="AL7110" s="163">
        <v>6.8132702179560241</v>
      </c>
    </row>
    <row r="7111" spans="37:38" s="4" customFormat="1">
      <c r="AK7111" s="3">
        <v>7105</v>
      </c>
      <c r="AL7111" s="163">
        <v>6.8139100053989239</v>
      </c>
    </row>
    <row r="7112" spans="37:38" s="4" customFormat="1">
      <c r="AK7112" s="3">
        <v>7106</v>
      </c>
      <c r="AL7112" s="163">
        <v>6.8145495725351068</v>
      </c>
    </row>
    <row r="7113" spans="37:38" s="4" customFormat="1">
      <c r="AK7113" s="3">
        <v>7107</v>
      </c>
      <c r="AL7113" s="163">
        <v>6.8151889195133322</v>
      </c>
    </row>
    <row r="7114" spans="37:38" s="4" customFormat="1">
      <c r="AK7114" s="3">
        <v>7108</v>
      </c>
      <c r="AL7114" s="163">
        <v>6.8158280464827321</v>
      </c>
    </row>
    <row r="7115" spans="37:38" s="4" customFormat="1">
      <c r="AK7115" s="3">
        <v>7109</v>
      </c>
      <c r="AL7115" s="163">
        <v>6.8164669535927054</v>
      </c>
    </row>
    <row r="7116" spans="37:38" s="4" customFormat="1">
      <c r="AK7116" s="3">
        <v>7110</v>
      </c>
      <c r="AL7116" s="163">
        <v>6.8171056409931836</v>
      </c>
    </row>
    <row r="7117" spans="37:38" s="4" customFormat="1">
      <c r="AK7117" s="3">
        <v>7111</v>
      </c>
      <c r="AL7117" s="163">
        <v>6.8177441088343613</v>
      </c>
    </row>
    <row r="7118" spans="37:38" s="4" customFormat="1">
      <c r="AK7118" s="3">
        <v>7112</v>
      </c>
      <c r="AL7118" s="163">
        <v>6.8183823572668558</v>
      </c>
    </row>
    <row r="7119" spans="37:38" s="4" customFormat="1">
      <c r="AK7119" s="3">
        <v>7113</v>
      </c>
      <c r="AL7119" s="163">
        <v>6.8190203864416219</v>
      </c>
    </row>
    <row r="7120" spans="37:38" s="4" customFormat="1">
      <c r="AK7120" s="3">
        <v>7114</v>
      </c>
      <c r="AL7120" s="163">
        <v>6.8196581965100833</v>
      </c>
    </row>
    <row r="7121" spans="37:38" s="4" customFormat="1">
      <c r="AK7121" s="3">
        <v>7115</v>
      </c>
      <c r="AL7121" s="163">
        <v>6.8202957876239267</v>
      </c>
    </row>
    <row r="7122" spans="37:38" s="4" customFormat="1">
      <c r="AK7122" s="3">
        <v>7116</v>
      </c>
      <c r="AL7122" s="163">
        <v>6.8209331599353149</v>
      </c>
    </row>
    <row r="7123" spans="37:38" s="4" customFormat="1">
      <c r="AK7123" s="3">
        <v>7117</v>
      </c>
      <c r="AL7123" s="163">
        <v>6.821570313596709</v>
      </c>
    </row>
    <row r="7124" spans="37:38" s="4" customFormat="1">
      <c r="AK7124" s="3">
        <v>7118</v>
      </c>
      <c r="AL7124" s="163">
        <v>6.8222072487610177</v>
      </c>
    </row>
    <row r="7125" spans="37:38" s="4" customFormat="1">
      <c r="AK7125" s="3">
        <v>7119</v>
      </c>
      <c r="AL7125" s="163">
        <v>6.8228439655814519</v>
      </c>
    </row>
    <row r="7126" spans="37:38" s="4" customFormat="1">
      <c r="AK7126" s="3">
        <v>7120</v>
      </c>
      <c r="AL7126" s="163">
        <v>6.8234804642116984</v>
      </c>
    </row>
    <row r="7127" spans="37:38" s="4" customFormat="1">
      <c r="AK7127" s="3">
        <v>7121</v>
      </c>
      <c r="AL7127" s="163">
        <v>6.8241167448057034</v>
      </c>
    </row>
    <row r="7128" spans="37:38" s="4" customFormat="1">
      <c r="AK7128" s="3">
        <v>7122</v>
      </c>
      <c r="AL7128" s="163">
        <v>6.8247528075179353</v>
      </c>
    </row>
    <row r="7129" spans="37:38" s="4" customFormat="1">
      <c r="AK7129" s="3">
        <v>7123</v>
      </c>
      <c r="AL7129" s="163">
        <v>6.8253886525030971</v>
      </c>
    </row>
    <row r="7130" spans="37:38" s="4" customFormat="1">
      <c r="AK7130" s="3">
        <v>7124</v>
      </c>
      <c r="AL7130" s="163">
        <v>6.8260242799163855</v>
      </c>
    </row>
    <row r="7131" spans="37:38" s="4" customFormat="1">
      <c r="AK7131" s="3">
        <v>7125</v>
      </c>
      <c r="AL7131" s="163">
        <v>6.8266596899132885</v>
      </c>
    </row>
    <row r="7132" spans="37:38" s="4" customFormat="1">
      <c r="AK7132" s="3">
        <v>7126</v>
      </c>
      <c r="AL7132" s="163">
        <v>6.8272948826497597</v>
      </c>
    </row>
    <row r="7133" spans="37:38" s="4" customFormat="1">
      <c r="AK7133" s="3">
        <v>7127</v>
      </c>
      <c r="AL7133" s="163">
        <v>6.8279298582820722</v>
      </c>
    </row>
    <row r="7134" spans="37:38" s="4" customFormat="1">
      <c r="AK7134" s="3">
        <v>7128</v>
      </c>
      <c r="AL7134" s="163">
        <v>6.8285646169668617</v>
      </c>
    </row>
    <row r="7135" spans="37:38" s="4" customFormat="1">
      <c r="AK7135" s="3">
        <v>7129</v>
      </c>
      <c r="AL7135" s="163">
        <v>6.8291991588611971</v>
      </c>
    </row>
    <row r="7136" spans="37:38" s="4" customFormat="1">
      <c r="AK7136" s="3">
        <v>7130</v>
      </c>
      <c r="AL7136" s="163">
        <v>6.8298334841225703</v>
      </c>
    </row>
    <row r="7137" spans="37:38" s="4" customFormat="1">
      <c r="AK7137" s="3">
        <v>7131</v>
      </c>
      <c r="AL7137" s="163">
        <v>6.8304675929086969</v>
      </c>
    </row>
    <row r="7138" spans="37:38" s="4" customFormat="1">
      <c r="AK7138" s="3">
        <v>7132</v>
      </c>
      <c r="AL7138" s="163">
        <v>6.8311014853778289</v>
      </c>
    </row>
    <row r="7139" spans="37:38" s="4" customFormat="1">
      <c r="AK7139" s="3">
        <v>7133</v>
      </c>
      <c r="AL7139" s="163">
        <v>6.8317351616884956</v>
      </c>
    </row>
    <row r="7140" spans="37:38" s="4" customFormat="1">
      <c r="AK7140" s="3">
        <v>7134</v>
      </c>
      <c r="AL7140" s="163">
        <v>6.8323686219997057</v>
      </c>
    </row>
    <row r="7141" spans="37:38" s="4" customFormat="1">
      <c r="AK7141" s="3">
        <v>7135</v>
      </c>
      <c r="AL7141" s="163">
        <v>6.8330018664707488</v>
      </c>
    </row>
    <row r="7142" spans="37:38" s="4" customFormat="1">
      <c r="AK7142" s="3">
        <v>7136</v>
      </c>
      <c r="AL7142" s="163">
        <v>6.8336348952613619</v>
      </c>
    </row>
    <row r="7143" spans="37:38" s="4" customFormat="1">
      <c r="AK7143" s="3">
        <v>7137</v>
      </c>
      <c r="AL7143" s="163">
        <v>6.8342677085316126</v>
      </c>
    </row>
    <row r="7144" spans="37:38" s="4" customFormat="1">
      <c r="AK7144" s="3">
        <v>7138</v>
      </c>
      <c r="AL7144" s="163">
        <v>6.8349003064420231</v>
      </c>
    </row>
    <row r="7145" spans="37:38" s="4" customFormat="1">
      <c r="AK7145" s="3">
        <v>7139</v>
      </c>
      <c r="AL7145" s="163">
        <v>6.8355326891534673</v>
      </c>
    </row>
    <row r="7146" spans="37:38" s="4" customFormat="1">
      <c r="AK7146" s="3">
        <v>7140</v>
      </c>
      <c r="AL7146" s="163">
        <v>6.836164856827132</v>
      </c>
    </row>
    <row r="7147" spans="37:38" s="4" customFormat="1">
      <c r="AK7147" s="3">
        <v>7141</v>
      </c>
      <c r="AL7147" s="163">
        <v>6.8367968096247189</v>
      </c>
    </row>
    <row r="7148" spans="37:38" s="4" customFormat="1">
      <c r="AK7148" s="3">
        <v>7142</v>
      </c>
      <c r="AL7148" s="163">
        <v>6.8374285477081642</v>
      </c>
    </row>
    <row r="7149" spans="37:38" s="4" customFormat="1">
      <c r="AK7149" s="3">
        <v>7143</v>
      </c>
      <c r="AL7149" s="163">
        <v>6.8380600712399264</v>
      </c>
    </row>
    <row r="7150" spans="37:38" s="4" customFormat="1">
      <c r="AK7150" s="3">
        <v>7144</v>
      </c>
      <c r="AL7150" s="163">
        <v>6.8386913803827341</v>
      </c>
    </row>
    <row r="7151" spans="37:38" s="4" customFormat="1">
      <c r="AK7151" s="3">
        <v>7145</v>
      </c>
      <c r="AL7151" s="163">
        <v>6.839322475299749</v>
      </c>
    </row>
    <row r="7152" spans="37:38" s="4" customFormat="1">
      <c r="AK7152" s="3">
        <v>7146</v>
      </c>
      <c r="AL7152" s="163">
        <v>6.8399533561545489</v>
      </c>
    </row>
    <row r="7153" spans="37:38" s="4" customFormat="1">
      <c r="AK7153" s="3">
        <v>7147</v>
      </c>
      <c r="AL7153" s="163">
        <v>6.8405840231110808</v>
      </c>
    </row>
    <row r="7154" spans="37:38" s="4" customFormat="1">
      <c r="AK7154" s="3">
        <v>7148</v>
      </c>
      <c r="AL7154" s="163">
        <v>6.841214476333576</v>
      </c>
    </row>
    <row r="7155" spans="37:38" s="4" customFormat="1">
      <c r="AK7155" s="3">
        <v>7149</v>
      </c>
      <c r="AL7155" s="163">
        <v>6.8418447159868023</v>
      </c>
    </row>
    <row r="7156" spans="37:38" s="4" customFormat="1">
      <c r="AK7156" s="3">
        <v>7150</v>
      </c>
      <c r="AL7156" s="163">
        <v>6.8424747422357477</v>
      </c>
    </row>
    <row r="7157" spans="37:38" s="4" customFormat="1">
      <c r="AK7157" s="3">
        <v>7151</v>
      </c>
      <c r="AL7157" s="163">
        <v>6.8431045552460041</v>
      </c>
    </row>
    <row r="7158" spans="37:38" s="4" customFormat="1">
      <c r="AK7158" s="3">
        <v>7152</v>
      </c>
      <c r="AL7158" s="163">
        <v>6.8437341551833306</v>
      </c>
    </row>
    <row r="7159" spans="37:38" s="4" customFormat="1">
      <c r="AK7159" s="3">
        <v>7153</v>
      </c>
      <c r="AL7159" s="163">
        <v>6.8443635422139941</v>
      </c>
    </row>
    <row r="7160" spans="37:38" s="4" customFormat="1">
      <c r="AK7160" s="3">
        <v>7154</v>
      </c>
      <c r="AL7160" s="163">
        <v>6.8449927165045636</v>
      </c>
    </row>
    <row r="7161" spans="37:38" s="4" customFormat="1">
      <c r="AK7161" s="3">
        <v>7155</v>
      </c>
      <c r="AL7161" s="163">
        <v>6.8456216782221126</v>
      </c>
    </row>
    <row r="7162" spans="37:38" s="4" customFormat="1">
      <c r="AK7162" s="3">
        <v>7156</v>
      </c>
      <c r="AL7162" s="163">
        <v>6.8462504275340201</v>
      </c>
    </row>
    <row r="7163" spans="37:38" s="4" customFormat="1">
      <c r="AK7163" s="3">
        <v>7157</v>
      </c>
      <c r="AL7163" s="163">
        <v>6.8468789646080026</v>
      </c>
    </row>
    <row r="7164" spans="37:38" s="4" customFormat="1">
      <c r="AK7164" s="3">
        <v>7158</v>
      </c>
      <c r="AL7164" s="163">
        <v>6.8475072896122597</v>
      </c>
    </row>
    <row r="7165" spans="37:38" s="4" customFormat="1">
      <c r="AK7165" s="3">
        <v>7159</v>
      </c>
      <c r="AL7165" s="163">
        <v>6.8481354027153039</v>
      </c>
    </row>
    <row r="7166" spans="37:38" s="4" customFormat="1">
      <c r="AK7166" s="3">
        <v>7160</v>
      </c>
      <c r="AL7166" s="163">
        <v>6.8487633040861553</v>
      </c>
    </row>
    <row r="7167" spans="37:38" s="4" customFormat="1">
      <c r="AK7167" s="3">
        <v>7161</v>
      </c>
      <c r="AL7167" s="163">
        <v>6.849390993894005</v>
      </c>
    </row>
    <row r="7168" spans="37:38" s="4" customFormat="1">
      <c r="AK7168" s="3">
        <v>7162</v>
      </c>
      <c r="AL7168" s="163">
        <v>6.8500184723086726</v>
      </c>
    </row>
    <row r="7169" spans="37:38" s="4" customFormat="1">
      <c r="AK7169" s="3">
        <v>7163</v>
      </c>
      <c r="AL7169" s="163">
        <v>6.8506457395001661</v>
      </c>
    </row>
    <row r="7170" spans="37:38" s="4" customFormat="1">
      <c r="AK7170" s="3">
        <v>7164</v>
      </c>
      <c r="AL7170" s="163">
        <v>6.8512727956390087</v>
      </c>
    </row>
    <row r="7171" spans="37:38" s="4" customFormat="1">
      <c r="AK7171" s="3">
        <v>7165</v>
      </c>
      <c r="AL7171" s="163">
        <v>6.8518996408960646</v>
      </c>
    </row>
    <row r="7172" spans="37:38" s="4" customFormat="1">
      <c r="AK7172" s="3">
        <v>7166</v>
      </c>
      <c r="AL7172" s="163">
        <v>6.8525262754425746</v>
      </c>
    </row>
    <row r="7173" spans="37:38" s="4" customFormat="1">
      <c r="AK7173" s="3">
        <v>7167</v>
      </c>
      <c r="AL7173" s="163">
        <v>6.8531526994501526</v>
      </c>
    </row>
    <row r="7174" spans="37:38" s="4" customFormat="1">
      <c r="AK7174" s="3">
        <v>7168</v>
      </c>
      <c r="AL7174" s="163">
        <v>6.8537789130908884</v>
      </c>
    </row>
    <row r="7175" spans="37:38" s="4" customFormat="1">
      <c r="AK7175" s="3">
        <v>7169</v>
      </c>
      <c r="AL7175" s="163">
        <v>6.8544049165371348</v>
      </c>
    </row>
    <row r="7176" spans="37:38" s="4" customFormat="1">
      <c r="AK7176" s="3">
        <v>7170</v>
      </c>
      <c r="AL7176" s="163">
        <v>6.8550307099616816</v>
      </c>
    </row>
    <row r="7177" spans="37:38" s="4" customFormat="1">
      <c r="AK7177" s="3">
        <v>7171</v>
      </c>
      <c r="AL7177" s="163">
        <v>6.8556562935377769</v>
      </c>
    </row>
    <row r="7178" spans="37:38" s="4" customFormat="1">
      <c r="AK7178" s="3">
        <v>7172</v>
      </c>
      <c r="AL7178" s="163">
        <v>6.8562816674389602</v>
      </c>
    </row>
    <row r="7179" spans="37:38" s="4" customFormat="1">
      <c r="AK7179" s="3">
        <v>7173</v>
      </c>
      <c r="AL7179" s="163">
        <v>6.8569068318392397</v>
      </c>
    </row>
    <row r="7180" spans="37:38" s="4" customFormat="1">
      <c r="AK7180" s="3">
        <v>7174</v>
      </c>
      <c r="AL7180" s="163">
        <v>6.8575317869129222</v>
      </c>
    </row>
    <row r="7181" spans="37:38" s="4" customFormat="1">
      <c r="AK7181" s="3">
        <v>7175</v>
      </c>
      <c r="AL7181" s="163">
        <v>6.8581565328348013</v>
      </c>
    </row>
    <row r="7182" spans="37:38" s="4" customFormat="1">
      <c r="AK7182" s="3">
        <v>7176</v>
      </c>
      <c r="AL7182" s="163">
        <v>6.8587810697799618</v>
      </c>
    </row>
    <row r="7183" spans="37:38" s="4" customFormat="1">
      <c r="AK7183" s="3">
        <v>7177</v>
      </c>
      <c r="AL7183" s="163">
        <v>6.8594053979239256</v>
      </c>
    </row>
    <row r="7184" spans="37:38" s="4" customFormat="1">
      <c r="AK7184" s="3">
        <v>7178</v>
      </c>
      <c r="AL7184" s="163">
        <v>6.860029517442662</v>
      </c>
    </row>
    <row r="7185" spans="37:38" s="4" customFormat="1">
      <c r="AK7185" s="3">
        <v>7179</v>
      </c>
      <c r="AL7185" s="163">
        <v>6.8606534285123644</v>
      </c>
    </row>
    <row r="7186" spans="37:38" s="4" customFormat="1">
      <c r="AK7186" s="3">
        <v>7180</v>
      </c>
      <c r="AL7186" s="163">
        <v>6.861277131309901</v>
      </c>
    </row>
    <row r="7187" spans="37:38" s="4" customFormat="1">
      <c r="AK7187" s="3">
        <v>7181</v>
      </c>
      <c r="AL7187" s="163">
        <v>6.8619006260121687</v>
      </c>
    </row>
    <row r="7188" spans="37:38" s="4" customFormat="1">
      <c r="AK7188" s="3">
        <v>7182</v>
      </c>
      <c r="AL7188" s="163">
        <v>6.8625239127967461</v>
      </c>
    </row>
    <row r="7189" spans="37:38" s="4" customFormat="1">
      <c r="AK7189" s="3">
        <v>7183</v>
      </c>
      <c r="AL7189" s="163">
        <v>6.863146991841429</v>
      </c>
    </row>
    <row r="7190" spans="37:38" s="4" customFormat="1">
      <c r="AK7190" s="3">
        <v>7184</v>
      </c>
      <c r="AL7190" s="163">
        <v>6.8637698633245563</v>
      </c>
    </row>
    <row r="7191" spans="37:38" s="4" customFormat="1">
      <c r="AK7191" s="3">
        <v>7185</v>
      </c>
      <c r="AL7191" s="163">
        <v>6.8643925274246804</v>
      </c>
    </row>
    <row r="7192" spans="37:38" s="4" customFormat="1">
      <c r="AK7192" s="3">
        <v>7186</v>
      </c>
      <c r="AL7192" s="163">
        <v>6.8650149843208865</v>
      </c>
    </row>
    <row r="7193" spans="37:38" s="4" customFormat="1">
      <c r="AK7193" s="3">
        <v>7187</v>
      </c>
      <c r="AL7193" s="163">
        <v>6.8656372341925866</v>
      </c>
    </row>
    <row r="7194" spans="37:38" s="4" customFormat="1">
      <c r="AK7194" s="3">
        <v>7188</v>
      </c>
      <c r="AL7194" s="163">
        <v>6.8662592772195481</v>
      </c>
    </row>
    <row r="7195" spans="37:38" s="4" customFormat="1">
      <c r="AK7195" s="3">
        <v>7189</v>
      </c>
      <c r="AL7195" s="163">
        <v>6.866881113582096</v>
      </c>
    </row>
    <row r="7196" spans="37:38" s="4" customFormat="1">
      <c r="AK7196" s="3">
        <v>7190</v>
      </c>
      <c r="AL7196" s="163">
        <v>6.8675027434606726</v>
      </c>
    </row>
    <row r="7197" spans="37:38" s="4" customFormat="1">
      <c r="AK7197" s="3">
        <v>7191</v>
      </c>
      <c r="AL7197" s="163">
        <v>6.8681241670363953</v>
      </c>
    </row>
    <row r="7198" spans="37:38" s="4" customFormat="1">
      <c r="AK7198" s="3">
        <v>7192</v>
      </c>
      <c r="AL7198" s="163">
        <v>6.868745384490591</v>
      </c>
    </row>
    <row r="7199" spans="37:38" s="4" customFormat="1">
      <c r="AK7199" s="3">
        <v>7193</v>
      </c>
      <c r="AL7199" s="163">
        <v>6.8693663960050557</v>
      </c>
    </row>
    <row r="7200" spans="37:38" s="4" customFormat="1">
      <c r="AK7200" s="3">
        <v>7194</v>
      </c>
      <c r="AL7200" s="163">
        <v>6.8699872017619157</v>
      </c>
    </row>
    <row r="7201" spans="37:38" s="4" customFormat="1">
      <c r="AK7201" s="3">
        <v>7195</v>
      </c>
      <c r="AL7201" s="163">
        <v>6.8706078019437982</v>
      </c>
    </row>
    <row r="7202" spans="37:38" s="4" customFormat="1">
      <c r="AK7202" s="3">
        <v>7196</v>
      </c>
      <c r="AL7202" s="163">
        <v>6.8712281967335649</v>
      </c>
    </row>
    <row r="7203" spans="37:38" s="4" customFormat="1">
      <c r="AK7203" s="3">
        <v>7197</v>
      </c>
      <c r="AL7203" s="163">
        <v>6.871848386314646</v>
      </c>
    </row>
    <row r="7204" spans="37:38" s="4" customFormat="1">
      <c r="AK7204" s="3">
        <v>7198</v>
      </c>
      <c r="AL7204" s="163">
        <v>6.8724683708707062</v>
      </c>
    </row>
    <row r="7205" spans="37:38" s="4" customFormat="1">
      <c r="AK7205" s="3">
        <v>7199</v>
      </c>
      <c r="AL7205" s="163">
        <v>6.8730881505859038</v>
      </c>
    </row>
    <row r="7206" spans="37:38" s="4" customFormat="1">
      <c r="AK7206" s="3">
        <v>7200</v>
      </c>
      <c r="AL7206" s="163">
        <v>6.8737077256448025</v>
      </c>
    </row>
    <row r="7207" spans="37:38" s="4" customFormat="1">
      <c r="AK7207" s="3">
        <v>7201</v>
      </c>
      <c r="AL7207" s="163">
        <v>6.8743270962322747</v>
      </c>
    </row>
    <row r="7208" spans="37:38" s="4" customFormat="1">
      <c r="AK7208" s="3">
        <v>7202</v>
      </c>
      <c r="AL7208" s="163">
        <v>6.8749462625336264</v>
      </c>
    </row>
    <row r="7209" spans="37:38" s="4" customFormat="1">
      <c r="AK7209" s="3">
        <v>7203</v>
      </c>
      <c r="AL7209" s="163">
        <v>6.8755652247345793</v>
      </c>
    </row>
    <row r="7210" spans="37:38" s="4" customFormat="1">
      <c r="AK7210" s="3">
        <v>7204</v>
      </c>
      <c r="AL7210" s="163">
        <v>6.8761839830212672</v>
      </c>
    </row>
    <row r="7211" spans="37:38" s="4" customFormat="1">
      <c r="AK7211" s="3">
        <v>7205</v>
      </c>
      <c r="AL7211" s="163">
        <v>6.8768025375801081</v>
      </c>
    </row>
    <row r="7212" spans="37:38" s="4" customFormat="1">
      <c r="AK7212" s="3">
        <v>7206</v>
      </c>
      <c r="AL7212" s="163">
        <v>6.8774208885980137</v>
      </c>
    </row>
    <row r="7213" spans="37:38" s="4" customFormat="1">
      <c r="AK7213" s="3">
        <v>7207</v>
      </c>
      <c r="AL7213" s="163">
        <v>6.8780390362622761</v>
      </c>
    </row>
    <row r="7214" spans="37:38" s="4" customFormat="1">
      <c r="AK7214" s="3">
        <v>7208</v>
      </c>
      <c r="AL7214" s="163">
        <v>6.8786569807606064</v>
      </c>
    </row>
    <row r="7215" spans="37:38" s="4" customFormat="1">
      <c r="AK7215" s="3">
        <v>7209</v>
      </c>
      <c r="AL7215" s="163">
        <v>6.8792747222810711</v>
      </c>
    </row>
    <row r="7216" spans="37:38" s="4" customFormat="1">
      <c r="AK7216" s="3">
        <v>7210</v>
      </c>
      <c r="AL7216" s="163">
        <v>6.8798922610120847</v>
      </c>
    </row>
    <row r="7217" spans="37:38" s="4" customFormat="1">
      <c r="AK7217" s="3">
        <v>7211</v>
      </c>
      <c r="AL7217" s="163">
        <v>6.8805095971425345</v>
      </c>
    </row>
    <row r="7218" spans="37:38" s="4" customFormat="1">
      <c r="AK7218" s="3">
        <v>7212</v>
      </c>
      <c r="AL7218" s="163">
        <v>6.8811267308616806</v>
      </c>
    </row>
    <row r="7219" spans="37:38" s="4" customFormat="1">
      <c r="AK7219" s="3">
        <v>7213</v>
      </c>
      <c r="AL7219" s="163">
        <v>6.881743662359213</v>
      </c>
    </row>
    <row r="7220" spans="37:38" s="4" customFormat="1">
      <c r="AK7220" s="3">
        <v>7214</v>
      </c>
      <c r="AL7220" s="163">
        <v>6.8823603918250988</v>
      </c>
    </row>
    <row r="7221" spans="37:38" s="4" customFormat="1">
      <c r="AK7221" s="3">
        <v>7215</v>
      </c>
      <c r="AL7221" s="163">
        <v>6.8829769194498809</v>
      </c>
    </row>
    <row r="7222" spans="37:38" s="4" customFormat="1">
      <c r="AK7222" s="3">
        <v>7216</v>
      </c>
      <c r="AL7222" s="163">
        <v>6.8835932454243469</v>
      </c>
    </row>
    <row r="7223" spans="37:38" s="4" customFormat="1">
      <c r="AK7223" s="3">
        <v>7217</v>
      </c>
      <c r="AL7223" s="163">
        <v>6.8842093699397289</v>
      </c>
    </row>
    <row r="7224" spans="37:38" s="4" customFormat="1">
      <c r="AK7224" s="3">
        <v>7218</v>
      </c>
      <c r="AL7224" s="163">
        <v>6.8848252931877099</v>
      </c>
    </row>
    <row r="7225" spans="37:38" s="4" customFormat="1">
      <c r="AK7225" s="3">
        <v>7219</v>
      </c>
      <c r="AL7225" s="163">
        <v>6.8854410153602821</v>
      </c>
    </row>
    <row r="7226" spans="37:38" s="4" customFormat="1">
      <c r="AK7226" s="3">
        <v>7220</v>
      </c>
      <c r="AL7226" s="163">
        <v>6.8860565366498392</v>
      </c>
    </row>
    <row r="7227" spans="37:38" s="4" customFormat="1">
      <c r="AK7227" s="3">
        <v>7221</v>
      </c>
      <c r="AL7227" s="163">
        <v>6.8866718572493184</v>
      </c>
    </row>
    <row r="7228" spans="37:38" s="4" customFormat="1">
      <c r="AK7228" s="3">
        <v>7222</v>
      </c>
      <c r="AL7228" s="163">
        <v>6.887286977351863</v>
      </c>
    </row>
    <row r="7229" spans="37:38" s="4" customFormat="1">
      <c r="AK7229" s="3">
        <v>7223</v>
      </c>
      <c r="AL7229" s="163">
        <v>6.8879018971510995</v>
      </c>
    </row>
    <row r="7230" spans="37:38" s="4" customFormat="1">
      <c r="AK7230" s="3">
        <v>7224</v>
      </c>
      <c r="AL7230" s="163">
        <v>6.8885166168410628</v>
      </c>
    </row>
    <row r="7231" spans="37:38" s="4" customFormat="1">
      <c r="AK7231" s="3">
        <v>7225</v>
      </c>
      <c r="AL7231" s="163">
        <v>6.889131136616168</v>
      </c>
    </row>
    <row r="7232" spans="37:38" s="4" customFormat="1">
      <c r="AK7232" s="3">
        <v>7226</v>
      </c>
      <c r="AL7232" s="163">
        <v>6.8897454566712462</v>
      </c>
    </row>
    <row r="7233" spans="37:38" s="4" customFormat="1">
      <c r="AK7233" s="3">
        <v>7227</v>
      </c>
      <c r="AL7233" s="163">
        <v>6.8903595772014974</v>
      </c>
    </row>
    <row r="7234" spans="37:38" s="4" customFormat="1">
      <c r="AK7234" s="3">
        <v>7228</v>
      </c>
      <c r="AL7234" s="163">
        <v>6.8909734984025377</v>
      </c>
    </row>
    <row r="7235" spans="37:38" s="4" customFormat="1">
      <c r="AK7235" s="3">
        <v>7229</v>
      </c>
      <c r="AL7235" s="163">
        <v>6.8915872204703454</v>
      </c>
    </row>
    <row r="7236" spans="37:38" s="4" customFormat="1">
      <c r="AK7236" s="3">
        <v>7230</v>
      </c>
      <c r="AL7236" s="163">
        <v>6.8922007436013679</v>
      </c>
    </row>
    <row r="7237" spans="37:38" s="4" customFormat="1">
      <c r="AK7237" s="3">
        <v>7231</v>
      </c>
      <c r="AL7237" s="163">
        <v>6.8928140679924468</v>
      </c>
    </row>
    <row r="7238" spans="37:38" s="4" customFormat="1">
      <c r="AK7238" s="3">
        <v>7232</v>
      </c>
      <c r="AL7238" s="163">
        <v>6.8934271938407115</v>
      </c>
    </row>
    <row r="7239" spans="37:38" s="4" customFormat="1">
      <c r="AK7239" s="3">
        <v>7233</v>
      </c>
      <c r="AL7239" s="163">
        <v>6.8940401213438527</v>
      </c>
    </row>
    <row r="7240" spans="37:38" s="4" customFormat="1">
      <c r="AK7240" s="3">
        <v>7234</v>
      </c>
      <c r="AL7240" s="163">
        <v>6.8946528506997744</v>
      </c>
    </row>
    <row r="7241" spans="37:38" s="4" customFormat="1">
      <c r="AK7241" s="3">
        <v>7235</v>
      </c>
      <c r="AL7241" s="163">
        <v>6.8952653821070236</v>
      </c>
    </row>
    <row r="7242" spans="37:38" s="4" customFormat="1">
      <c r="AK7242" s="3">
        <v>7236</v>
      </c>
      <c r="AL7242" s="163">
        <v>6.8958777157642146</v>
      </c>
    </row>
    <row r="7243" spans="37:38" s="4" customFormat="1">
      <c r="AK7243" s="3">
        <v>7237</v>
      </c>
      <c r="AL7243" s="163">
        <v>6.8964898518707756</v>
      </c>
    </row>
    <row r="7244" spans="37:38" s="4" customFormat="1">
      <c r="AK7244" s="3">
        <v>7238</v>
      </c>
      <c r="AL7244" s="163">
        <v>6.8971017906261842</v>
      </c>
    </row>
    <row r="7245" spans="37:38" s="4" customFormat="1">
      <c r="AK7245" s="3">
        <v>7239</v>
      </c>
      <c r="AL7245" s="163">
        <v>6.8977135322304761</v>
      </c>
    </row>
    <row r="7246" spans="37:38" s="4" customFormat="1">
      <c r="AK7246" s="3">
        <v>7240</v>
      </c>
      <c r="AL7246" s="163">
        <v>6.8983250768840492</v>
      </c>
    </row>
    <row r="7247" spans="37:38" s="4" customFormat="1">
      <c r="AK7247" s="3">
        <v>7241</v>
      </c>
      <c r="AL7247" s="163">
        <v>6.8989364247877276</v>
      </c>
    </row>
    <row r="7248" spans="37:38" s="4" customFormat="1">
      <c r="AK7248" s="3">
        <v>7242</v>
      </c>
      <c r="AL7248" s="163">
        <v>6.8995475761427301</v>
      </c>
    </row>
    <row r="7249" spans="37:38" s="4" customFormat="1">
      <c r="AK7249" s="3">
        <v>7243</v>
      </c>
      <c r="AL7249" s="163">
        <v>6.9001585311506553</v>
      </c>
    </row>
    <row r="7250" spans="37:38" s="4" customFormat="1">
      <c r="AK7250" s="3">
        <v>7244</v>
      </c>
      <c r="AL7250" s="163">
        <v>6.9007692900135211</v>
      </c>
    </row>
    <row r="7251" spans="37:38" s="4" customFormat="1">
      <c r="AK7251" s="3">
        <v>7245</v>
      </c>
      <c r="AL7251" s="163">
        <v>6.9013798529336903</v>
      </c>
    </row>
    <row r="7252" spans="37:38" s="4" customFormat="1">
      <c r="AK7252" s="3">
        <v>7246</v>
      </c>
      <c r="AL7252" s="163">
        <v>6.9019902201141079</v>
      </c>
    </row>
    <row r="7253" spans="37:38" s="4" customFormat="1">
      <c r="AK7253" s="3">
        <v>7247</v>
      </c>
      <c r="AL7253" s="163">
        <v>6.9026003917578898</v>
      </c>
    </row>
    <row r="7254" spans="37:38" s="4" customFormat="1">
      <c r="AK7254" s="3">
        <v>7248</v>
      </c>
      <c r="AL7254" s="163">
        <v>6.9032103680686596</v>
      </c>
    </row>
    <row r="7255" spans="37:38" s="4" customFormat="1">
      <c r="AK7255" s="3">
        <v>7249</v>
      </c>
      <c r="AL7255" s="163">
        <v>6.9038201492505102</v>
      </c>
    </row>
    <row r="7256" spans="37:38" s="4" customFormat="1">
      <c r="AK7256" s="3">
        <v>7250</v>
      </c>
      <c r="AL7256" s="163">
        <v>6.9044297355078434</v>
      </c>
    </row>
    <row r="7257" spans="37:38" s="4" customFormat="1">
      <c r="AK7257" s="3">
        <v>7251</v>
      </c>
      <c r="AL7257" s="163">
        <v>6.9050391270454554</v>
      </c>
    </row>
    <row r="7258" spans="37:38" s="4" customFormat="1">
      <c r="AK7258" s="3">
        <v>7252</v>
      </c>
      <c r="AL7258" s="163">
        <v>6.905648324068526</v>
      </c>
    </row>
    <row r="7259" spans="37:38" s="4" customFormat="1">
      <c r="AK7259" s="3">
        <v>7253</v>
      </c>
      <c r="AL7259" s="163">
        <v>6.9062573267828498</v>
      </c>
    </row>
    <row r="7260" spans="37:38" s="4" customFormat="1">
      <c r="AK7260" s="3">
        <v>7254</v>
      </c>
      <c r="AL7260" s="163">
        <v>6.9068661353943561</v>
      </c>
    </row>
    <row r="7261" spans="37:38" s="4" customFormat="1">
      <c r="AK7261" s="3">
        <v>7255</v>
      </c>
      <c r="AL7261" s="163">
        <v>6.9074747501095111</v>
      </c>
    </row>
    <row r="7262" spans="37:38" s="4" customFormat="1">
      <c r="AK7262" s="3">
        <v>7256</v>
      </c>
      <c r="AL7262" s="163">
        <v>6.9080831711351181</v>
      </c>
    </row>
    <row r="7263" spans="37:38" s="4" customFormat="1">
      <c r="AK7263" s="3">
        <v>7257</v>
      </c>
      <c r="AL7263" s="163">
        <v>6.9086913986785135</v>
      </c>
    </row>
    <row r="7264" spans="37:38" s="4" customFormat="1">
      <c r="AK7264" s="3">
        <v>7258</v>
      </c>
      <c r="AL7264" s="163">
        <v>6.9092994329472823</v>
      </c>
    </row>
    <row r="7265" spans="37:38" s="4" customFormat="1">
      <c r="AK7265" s="3">
        <v>7259</v>
      </c>
      <c r="AL7265" s="163">
        <v>6.9099072741494965</v>
      </c>
    </row>
    <row r="7266" spans="37:38" s="4" customFormat="1">
      <c r="AK7266" s="3">
        <v>7260</v>
      </c>
      <c r="AL7266" s="163">
        <v>6.9105149224936255</v>
      </c>
    </row>
    <row r="7267" spans="37:38" s="4" customFormat="1">
      <c r="AK7267" s="3">
        <v>7261</v>
      </c>
      <c r="AL7267" s="163">
        <v>6.9111223781885585</v>
      </c>
    </row>
    <row r="7268" spans="37:38" s="4" customFormat="1">
      <c r="AK7268" s="3">
        <v>7262</v>
      </c>
      <c r="AL7268" s="163">
        <v>6.9117296414435536</v>
      </c>
    </row>
    <row r="7269" spans="37:38" s="4" customFormat="1">
      <c r="AK7269" s="3">
        <v>7263</v>
      </c>
      <c r="AL7269" s="163">
        <v>6.9123367124682318</v>
      </c>
    </row>
    <row r="7270" spans="37:38" s="4" customFormat="1">
      <c r="AK7270" s="3">
        <v>7264</v>
      </c>
      <c r="AL7270" s="163">
        <v>6.9129435914727608</v>
      </c>
    </row>
    <row r="7271" spans="37:38" s="4" customFormat="1">
      <c r="AK7271" s="3">
        <v>7265</v>
      </c>
      <c r="AL7271" s="163">
        <v>6.9135502786675787</v>
      </c>
    </row>
    <row r="7272" spans="37:38" s="4" customFormat="1">
      <c r="AK7272" s="3">
        <v>7266</v>
      </c>
      <c r="AL7272" s="163">
        <v>6.9141567742635814</v>
      </c>
    </row>
    <row r="7273" spans="37:38" s="4" customFormat="1">
      <c r="AK7273" s="3">
        <v>7267</v>
      </c>
      <c r="AL7273" s="163">
        <v>6.9147630784720988</v>
      </c>
    </row>
    <row r="7274" spans="37:38" s="4" customFormat="1">
      <c r="AK7274" s="3">
        <v>7268</v>
      </c>
      <c r="AL7274" s="163">
        <v>6.9153691915047979</v>
      </c>
    </row>
    <row r="7275" spans="37:38" s="4" customFormat="1">
      <c r="AK7275" s="3">
        <v>7269</v>
      </c>
      <c r="AL7275" s="163">
        <v>6.9159751135737721</v>
      </c>
    </row>
    <row r="7276" spans="37:38" s="4" customFormat="1">
      <c r="AK7276" s="3">
        <v>7270</v>
      </c>
      <c r="AL7276" s="163">
        <v>6.9165808448916444</v>
      </c>
    </row>
    <row r="7277" spans="37:38" s="4" customFormat="1">
      <c r="AK7277" s="3">
        <v>7271</v>
      </c>
      <c r="AL7277" s="163">
        <v>6.9171863856712008</v>
      </c>
    </row>
    <row r="7278" spans="37:38" s="4" customFormat="1">
      <c r="AK7278" s="3">
        <v>7272</v>
      </c>
      <c r="AL7278" s="163">
        <v>6.9177917361258814</v>
      </c>
    </row>
    <row r="7279" spans="37:38" s="4" customFormat="1">
      <c r="AK7279" s="3">
        <v>7273</v>
      </c>
      <c r="AL7279" s="163">
        <v>6.9183968964693143</v>
      </c>
    </row>
    <row r="7280" spans="37:38" s="4" customFormat="1">
      <c r="AK7280" s="3">
        <v>7274</v>
      </c>
      <c r="AL7280" s="163">
        <v>6.9190018669157425</v>
      </c>
    </row>
    <row r="7281" spans="37:38" s="4" customFormat="1">
      <c r="AK7281" s="3">
        <v>7275</v>
      </c>
      <c r="AL7281" s="163">
        <v>6.9196066476796609</v>
      </c>
    </row>
    <row r="7282" spans="37:38" s="4" customFormat="1">
      <c r="AK7282" s="3">
        <v>7276</v>
      </c>
      <c r="AL7282" s="163">
        <v>6.9202112389760622</v>
      </c>
    </row>
    <row r="7283" spans="37:38" s="4" customFormat="1">
      <c r="AK7283" s="3">
        <v>7277</v>
      </c>
      <c r="AL7283" s="163">
        <v>6.9208156410202832</v>
      </c>
    </row>
    <row r="7284" spans="37:38" s="4" customFormat="1">
      <c r="AK7284" s="3">
        <v>7278</v>
      </c>
      <c r="AL7284" s="163">
        <v>6.9214198540280698</v>
      </c>
    </row>
    <row r="7285" spans="37:38" s="4" customFormat="1">
      <c r="AK7285" s="3">
        <v>7279</v>
      </c>
      <c r="AL7285" s="163">
        <v>6.9220238782157004</v>
      </c>
    </row>
    <row r="7286" spans="37:38" s="4" customFormat="1">
      <c r="AK7286" s="3">
        <v>7280</v>
      </c>
      <c r="AL7286" s="163">
        <v>6.9226277137996455</v>
      </c>
    </row>
    <row r="7287" spans="37:38" s="4" customFormat="1">
      <c r="AK7287" s="3">
        <v>7281</v>
      </c>
      <c r="AL7287" s="163">
        <v>6.9232313609970042</v>
      </c>
    </row>
    <row r="7288" spans="37:38" s="4" customFormat="1">
      <c r="AK7288" s="3">
        <v>7282</v>
      </c>
      <c r="AL7288" s="163">
        <v>6.9238348200251068</v>
      </c>
    </row>
    <row r="7289" spans="37:38" s="4" customFormat="1">
      <c r="AK7289" s="3">
        <v>7283</v>
      </c>
      <c r="AL7289" s="163">
        <v>6.9244380911018055</v>
      </c>
    </row>
    <row r="7290" spans="37:38" s="4" customFormat="1">
      <c r="AK7290" s="3">
        <v>7284</v>
      </c>
      <c r="AL7290" s="163">
        <v>6.9250411744453366</v>
      </c>
    </row>
    <row r="7291" spans="37:38" s="4" customFormat="1">
      <c r="AK7291" s="3">
        <v>7285</v>
      </c>
      <c r="AL7291" s="163">
        <v>6.9256440702742523</v>
      </c>
    </row>
    <row r="7292" spans="37:38" s="4" customFormat="1">
      <c r="AK7292" s="3">
        <v>7286</v>
      </c>
      <c r="AL7292" s="163">
        <v>6.926246778807684</v>
      </c>
    </row>
    <row r="7293" spans="37:38" s="4" customFormat="1">
      <c r="AK7293" s="3">
        <v>7287</v>
      </c>
      <c r="AL7293" s="163">
        <v>6.9268493002650686</v>
      </c>
    </row>
    <row r="7294" spans="37:38" s="4" customFormat="1">
      <c r="AK7294" s="3">
        <v>7288</v>
      </c>
      <c r="AL7294" s="163">
        <v>6.9274516348662409</v>
      </c>
    </row>
    <row r="7295" spans="37:38" s="4" customFormat="1">
      <c r="AK7295" s="3">
        <v>7289</v>
      </c>
      <c r="AL7295" s="163">
        <v>6.9280537828314905</v>
      </c>
    </row>
    <row r="7296" spans="37:38" s="4" customFormat="1">
      <c r="AK7296" s="3">
        <v>7290</v>
      </c>
      <c r="AL7296" s="163">
        <v>6.9286557443814587</v>
      </c>
    </row>
    <row r="7297" spans="37:38" s="4" customFormat="1">
      <c r="AK7297" s="3">
        <v>7291</v>
      </c>
      <c r="AL7297" s="163">
        <v>6.9292575197372734</v>
      </c>
    </row>
    <row r="7298" spans="37:38" s="4" customFormat="1">
      <c r="AK7298" s="3">
        <v>7292</v>
      </c>
      <c r="AL7298" s="163">
        <v>6.9298591091204322</v>
      </c>
    </row>
    <row r="7299" spans="37:38" s="4" customFormat="1">
      <c r="AK7299" s="3">
        <v>7293</v>
      </c>
      <c r="AL7299" s="163">
        <v>6.930460512752834</v>
      </c>
    </row>
    <row r="7300" spans="37:38" s="4" customFormat="1">
      <c r="AK7300" s="3">
        <v>7294</v>
      </c>
      <c r="AL7300" s="163">
        <v>6.9310617308567934</v>
      </c>
    </row>
    <row r="7301" spans="37:38" s="4" customFormat="1">
      <c r="AK7301" s="3">
        <v>7295</v>
      </c>
      <c r="AL7301" s="163">
        <v>6.9316627636550443</v>
      </c>
    </row>
    <row r="7302" spans="37:38" s="4" customFormat="1">
      <c r="AK7302" s="3">
        <v>7296</v>
      </c>
      <c r="AL7302" s="163">
        <v>6.9322636113707574</v>
      </c>
    </row>
    <row r="7303" spans="37:38" s="4" customFormat="1">
      <c r="AK7303" s="3">
        <v>7297</v>
      </c>
      <c r="AL7303" s="163">
        <v>6.9328642742274447</v>
      </c>
    </row>
    <row r="7304" spans="37:38" s="4" customFormat="1">
      <c r="AK7304" s="3">
        <v>7298</v>
      </c>
      <c r="AL7304" s="163">
        <v>6.9334647524491082</v>
      </c>
    </row>
    <row r="7305" spans="37:38" s="4" customFormat="1">
      <c r="AK7305" s="3">
        <v>7299</v>
      </c>
      <c r="AL7305" s="163">
        <v>6.9340650462600912</v>
      </c>
    </row>
    <row r="7306" spans="37:38" s="4" customFormat="1">
      <c r="AK7306" s="3">
        <v>7300</v>
      </c>
      <c r="AL7306" s="163">
        <v>6.9346651558852344</v>
      </c>
    </row>
    <row r="7307" spans="37:38" s="4" customFormat="1">
      <c r="AK7307" s="3">
        <v>7301</v>
      </c>
      <c r="AL7307" s="163">
        <v>6.9352650815496766</v>
      </c>
    </row>
    <row r="7308" spans="37:38" s="4" customFormat="1">
      <c r="AK7308" s="3">
        <v>7302</v>
      </c>
      <c r="AL7308" s="163">
        <v>6.935864823479065</v>
      </c>
    </row>
    <row r="7309" spans="37:38" s="4" customFormat="1">
      <c r="AK7309" s="3">
        <v>7303</v>
      </c>
      <c r="AL7309" s="163">
        <v>6.9364643818994374</v>
      </c>
    </row>
    <row r="7310" spans="37:38" s="4" customFormat="1">
      <c r="AK7310" s="3">
        <v>7304</v>
      </c>
      <c r="AL7310" s="163">
        <v>6.9370637570371798</v>
      </c>
    </row>
    <row r="7311" spans="37:38" s="4" customFormat="1">
      <c r="AK7311" s="3">
        <v>7305</v>
      </c>
      <c r="AL7311" s="163">
        <v>6.9376629491192148</v>
      </c>
    </row>
    <row r="7312" spans="37:38" s="4" customFormat="1">
      <c r="AK7312" s="3">
        <v>7306</v>
      </c>
      <c r="AL7312" s="163">
        <v>6.9382619583727632</v>
      </c>
    </row>
    <row r="7313" spans="37:38" s="4" customFormat="1">
      <c r="AK7313" s="3">
        <v>7307</v>
      </c>
      <c r="AL7313" s="163">
        <v>6.9388607850254722</v>
      </c>
    </row>
    <row r="7314" spans="37:38" s="4" customFormat="1">
      <c r="AK7314" s="3">
        <v>7308</v>
      </c>
      <c r="AL7314" s="163">
        <v>6.9394594293054794</v>
      </c>
    </row>
    <row r="7315" spans="37:38" s="4" customFormat="1">
      <c r="AK7315" s="3">
        <v>7309</v>
      </c>
      <c r="AL7315" s="163">
        <v>6.9400578914412456</v>
      </c>
    </row>
    <row r="7316" spans="37:38" s="4" customFormat="1">
      <c r="AK7316" s="3">
        <v>7310</v>
      </c>
      <c r="AL7316" s="163">
        <v>6.9406561716617929</v>
      </c>
    </row>
    <row r="7317" spans="37:38" s="4" customFormat="1">
      <c r="AK7317" s="3">
        <v>7311</v>
      </c>
      <c r="AL7317" s="163">
        <v>6.9412542701963105</v>
      </c>
    </row>
    <row r="7318" spans="37:38" s="4" customFormat="1">
      <c r="AK7318" s="3">
        <v>7312</v>
      </c>
      <c r="AL7318" s="163">
        <v>6.9418521872746126</v>
      </c>
    </row>
    <row r="7319" spans="37:38" s="4" customFormat="1">
      <c r="AK7319" s="3">
        <v>7313</v>
      </c>
      <c r="AL7319" s="163">
        <v>6.9424499231268442</v>
      </c>
    </row>
    <row r="7320" spans="37:38" s="4" customFormat="1">
      <c r="AK7320" s="3">
        <v>7314</v>
      </c>
      <c r="AL7320" s="163">
        <v>6.9430474779836047</v>
      </c>
    </row>
    <row r="7321" spans="37:38" s="4" customFormat="1">
      <c r="AK7321" s="3">
        <v>7315</v>
      </c>
      <c r="AL7321" s="163">
        <v>6.9436448520758276</v>
      </c>
    </row>
    <row r="7322" spans="37:38" s="4" customFormat="1">
      <c r="AK7322" s="3">
        <v>7316</v>
      </c>
      <c r="AL7322" s="163">
        <v>6.9442420456349723</v>
      </c>
    </row>
    <row r="7323" spans="37:38" s="4" customFormat="1">
      <c r="AK7323" s="3">
        <v>7317</v>
      </c>
      <c r="AL7323" s="163">
        <v>6.9448390588927964</v>
      </c>
    </row>
    <row r="7324" spans="37:38" s="4" customFormat="1">
      <c r="AK7324" s="3">
        <v>7318</v>
      </c>
      <c r="AL7324" s="163">
        <v>6.9454358920815906</v>
      </c>
    </row>
    <row r="7325" spans="37:38" s="4" customFormat="1">
      <c r="AK7325" s="3">
        <v>7319</v>
      </c>
      <c r="AL7325" s="163">
        <v>6.946032545433944</v>
      </c>
    </row>
    <row r="7326" spans="37:38" s="4" customFormat="1">
      <c r="AK7326" s="3">
        <v>7320</v>
      </c>
      <c r="AL7326" s="163">
        <v>6.9466290191829643</v>
      </c>
    </row>
    <row r="7327" spans="37:38" s="4" customFormat="1">
      <c r="AK7327" s="3">
        <v>7321</v>
      </c>
      <c r="AL7327" s="163">
        <v>6.9472253135621642</v>
      </c>
    </row>
    <row r="7328" spans="37:38" s="4" customFormat="1">
      <c r="AK7328" s="3">
        <v>7322</v>
      </c>
      <c r="AL7328" s="163">
        <v>6.9478214288053408</v>
      </c>
    </row>
    <row r="7329" spans="37:38" s="4" customFormat="1">
      <c r="AK7329" s="3">
        <v>7323</v>
      </c>
      <c r="AL7329" s="163">
        <v>6.9484173651468311</v>
      </c>
    </row>
    <row r="7330" spans="37:38" s="4" customFormat="1">
      <c r="AK7330" s="3">
        <v>7324</v>
      </c>
      <c r="AL7330" s="163">
        <v>6.9490131228214125</v>
      </c>
    </row>
    <row r="7331" spans="37:38" s="4" customFormat="1">
      <c r="AK7331" s="3">
        <v>7325</v>
      </c>
      <c r="AL7331" s="163">
        <v>6.9496087020641824</v>
      </c>
    </row>
    <row r="7332" spans="37:38" s="4" customFormat="1">
      <c r="AK7332" s="3">
        <v>7326</v>
      </c>
      <c r="AL7332" s="163">
        <v>6.9502041031106998</v>
      </c>
    </row>
    <row r="7333" spans="37:38" s="4" customFormat="1">
      <c r="AK7333" s="3">
        <v>7327</v>
      </c>
      <c r="AL7333" s="163">
        <v>6.9507993261969716</v>
      </c>
    </row>
    <row r="7334" spans="37:38" s="4" customFormat="1">
      <c r="AK7334" s="3">
        <v>7328</v>
      </c>
      <c r="AL7334" s="163">
        <v>6.9513943715593598</v>
      </c>
    </row>
    <row r="7335" spans="37:38" s="4" customFormat="1">
      <c r="AK7335" s="3">
        <v>7329</v>
      </c>
      <c r="AL7335" s="163">
        <v>6.9519892394347096</v>
      </c>
    </row>
    <row r="7336" spans="37:38" s="4" customFormat="1">
      <c r="AK7336" s="3">
        <v>7330</v>
      </c>
      <c r="AL7336" s="163">
        <v>6.9525839300601859</v>
      </c>
    </row>
    <row r="7337" spans="37:38" s="4" customFormat="1">
      <c r="AK7337" s="3">
        <v>7331</v>
      </c>
      <c r="AL7337" s="163">
        <v>6.9531784436734441</v>
      </c>
    </row>
    <row r="7338" spans="37:38" s="4" customFormat="1">
      <c r="AK7338" s="3">
        <v>7332</v>
      </c>
      <c r="AL7338" s="163">
        <v>6.9537727805126508</v>
      </c>
    </row>
    <row r="7339" spans="37:38" s="4" customFormat="1">
      <c r="AK7339" s="3">
        <v>7333</v>
      </c>
      <c r="AL7339" s="163">
        <v>6.9543669408161435</v>
      </c>
    </row>
    <row r="7340" spans="37:38" s="4" customFormat="1">
      <c r="AK7340" s="3">
        <v>7334</v>
      </c>
      <c r="AL7340" s="163">
        <v>6.9549609248228634</v>
      </c>
    </row>
    <row r="7341" spans="37:38" s="4" customFormat="1">
      <c r="AK7341" s="3">
        <v>7335</v>
      </c>
      <c r="AL7341" s="163">
        <v>6.9555547327721854</v>
      </c>
    </row>
    <row r="7342" spans="37:38" s="4" customFormat="1">
      <c r="AK7342" s="3">
        <v>7336</v>
      </c>
      <c r="AL7342" s="163">
        <v>6.9561483649037896</v>
      </c>
    </row>
    <row r="7343" spans="37:38" s="4" customFormat="1">
      <c r="AK7343" s="3">
        <v>7337</v>
      </c>
      <c r="AL7343" s="163">
        <v>6.9567418214578112</v>
      </c>
    </row>
    <row r="7344" spans="37:38" s="4" customFormat="1">
      <c r="AK7344" s="3">
        <v>7338</v>
      </c>
      <c r="AL7344" s="163">
        <v>6.9573351026748611</v>
      </c>
    </row>
    <row r="7345" spans="37:38" s="4" customFormat="1">
      <c r="AK7345" s="3">
        <v>7339</v>
      </c>
      <c r="AL7345" s="163">
        <v>6.9579282087959555</v>
      </c>
    </row>
    <row r="7346" spans="37:38" s="4" customFormat="1">
      <c r="AK7346" s="3">
        <v>7340</v>
      </c>
      <c r="AL7346" s="163">
        <v>6.9585211400624019</v>
      </c>
    </row>
    <row r="7347" spans="37:38" s="4" customFormat="1">
      <c r="AK7347" s="3">
        <v>7341</v>
      </c>
      <c r="AL7347" s="163">
        <v>6.9591138967161399</v>
      </c>
    </row>
    <row r="7348" spans="37:38" s="4" customFormat="1">
      <c r="AK7348" s="3">
        <v>7342</v>
      </c>
      <c r="AL7348" s="163">
        <v>6.9597064789993226</v>
      </c>
    </row>
    <row r="7349" spans="37:38" s="4" customFormat="1">
      <c r="AK7349" s="3">
        <v>7343</v>
      </c>
      <c r="AL7349" s="163">
        <v>6.9602988871546998</v>
      </c>
    </row>
    <row r="7350" spans="37:38" s="4" customFormat="1">
      <c r="AK7350" s="3">
        <v>7344</v>
      </c>
      <c r="AL7350" s="163">
        <v>6.9608911214253268</v>
      </c>
    </row>
    <row r="7351" spans="37:38" s="4" customFormat="1">
      <c r="AK7351" s="3">
        <v>7345</v>
      </c>
      <c r="AL7351" s="163">
        <v>6.9614831820546712</v>
      </c>
    </row>
    <row r="7352" spans="37:38" s="4" customFormat="1">
      <c r="AK7352" s="3">
        <v>7346</v>
      </c>
      <c r="AL7352" s="163">
        <v>6.9620750692866764</v>
      </c>
    </row>
    <row r="7353" spans="37:38" s="4" customFormat="1">
      <c r="AK7353" s="3">
        <v>7347</v>
      </c>
      <c r="AL7353" s="163">
        <v>6.9626667833657407</v>
      </c>
    </row>
    <row r="7354" spans="37:38" s="4" customFormat="1">
      <c r="AK7354" s="3">
        <v>7348</v>
      </c>
      <c r="AL7354" s="163">
        <v>6.9632583245366249</v>
      </c>
    </row>
    <row r="7355" spans="37:38" s="4" customFormat="1">
      <c r="AK7355" s="3">
        <v>7349</v>
      </c>
      <c r="AL7355" s="163">
        <v>6.9638496930444376</v>
      </c>
    </row>
    <row r="7356" spans="37:38" s="4" customFormat="1">
      <c r="AK7356" s="3">
        <v>7350</v>
      </c>
      <c r="AL7356" s="163">
        <v>6.9644408891348561</v>
      </c>
    </row>
    <row r="7357" spans="37:38" s="4" customFormat="1">
      <c r="AK7357" s="3">
        <v>7351</v>
      </c>
      <c r="AL7357" s="163">
        <v>6.9650319130539557</v>
      </c>
    </row>
    <row r="7358" spans="37:38" s="4" customFormat="1">
      <c r="AK7358" s="3">
        <v>7352</v>
      </c>
      <c r="AL7358" s="163">
        <v>6.9656227650480815</v>
      </c>
    </row>
    <row r="7359" spans="37:38" s="4" customFormat="1">
      <c r="AK7359" s="3">
        <v>7353</v>
      </c>
      <c r="AL7359" s="163">
        <v>6.9662134453641613</v>
      </c>
    </row>
    <row r="7360" spans="37:38" s="4" customFormat="1">
      <c r="AK7360" s="3">
        <v>7354</v>
      </c>
      <c r="AL7360" s="163">
        <v>6.9668039542494853</v>
      </c>
    </row>
    <row r="7361" spans="37:38" s="4" customFormat="1">
      <c r="AK7361" s="3">
        <v>7355</v>
      </c>
      <c r="AL7361" s="163">
        <v>6.9673942919517131</v>
      </c>
    </row>
    <row r="7362" spans="37:38" s="4" customFormat="1">
      <c r="AK7362" s="3">
        <v>7356</v>
      </c>
      <c r="AL7362" s="163">
        <v>6.9679844587191226</v>
      </c>
    </row>
    <row r="7363" spans="37:38" s="4" customFormat="1">
      <c r="AK7363" s="3">
        <v>7357</v>
      </c>
      <c r="AL7363" s="163">
        <v>6.9685744548001693</v>
      </c>
    </row>
    <row r="7364" spans="37:38" s="4" customFormat="1">
      <c r="AK7364" s="3">
        <v>7358</v>
      </c>
      <c r="AL7364" s="163">
        <v>6.96916428044387</v>
      </c>
    </row>
    <row r="7365" spans="37:38" s="4" customFormat="1">
      <c r="AK7365" s="3">
        <v>7359</v>
      </c>
      <c r="AL7365" s="163">
        <v>6.969753935899611</v>
      </c>
    </row>
    <row r="7366" spans="37:38" s="4" customFormat="1">
      <c r="AK7366" s="3">
        <v>7360</v>
      </c>
      <c r="AL7366" s="163">
        <v>6.9703434214172333</v>
      </c>
    </row>
    <row r="7367" spans="37:38" s="4" customFormat="1">
      <c r="AK7367" s="3">
        <v>7361</v>
      </c>
      <c r="AL7367" s="163">
        <v>6.9709327372470113</v>
      </c>
    </row>
    <row r="7368" spans="37:38" s="4" customFormat="1">
      <c r="AK7368" s="3">
        <v>7362</v>
      </c>
      <c r="AL7368" s="163">
        <v>6.9715218836395749</v>
      </c>
    </row>
    <row r="7369" spans="37:38" s="4" customFormat="1">
      <c r="AK7369" s="3">
        <v>7363</v>
      </c>
      <c r="AL7369" s="163">
        <v>6.9721108608460511</v>
      </c>
    </row>
    <row r="7370" spans="37:38" s="4" customFormat="1">
      <c r="AK7370" s="3">
        <v>7364</v>
      </c>
      <c r="AL7370" s="163">
        <v>6.9726996691179437</v>
      </c>
    </row>
    <row r="7371" spans="37:38" s="4" customFormat="1">
      <c r="AK7371" s="3">
        <v>7365</v>
      </c>
      <c r="AL7371" s="163">
        <v>6.9732883087072324</v>
      </c>
    </row>
    <row r="7372" spans="37:38" s="4" customFormat="1">
      <c r="AK7372" s="3">
        <v>7366</v>
      </c>
      <c r="AL7372" s="163">
        <v>6.973876779866238</v>
      </c>
    </row>
    <row r="7373" spans="37:38" s="4" customFormat="1">
      <c r="AK7373" s="3">
        <v>7367</v>
      </c>
      <c r="AL7373" s="163">
        <v>6.9744650828478356</v>
      </c>
    </row>
    <row r="7374" spans="37:38" s="4" customFormat="1">
      <c r="AK7374" s="3">
        <v>7368</v>
      </c>
      <c r="AL7374" s="163">
        <v>6.9750532179050992</v>
      </c>
    </row>
    <row r="7375" spans="37:38" s="4" customFormat="1">
      <c r="AK7375" s="3">
        <v>7369</v>
      </c>
      <c r="AL7375" s="163">
        <v>6.9756411852918063</v>
      </c>
    </row>
    <row r="7376" spans="37:38" s="4" customFormat="1">
      <c r="AK7376" s="3">
        <v>7370</v>
      </c>
      <c r="AL7376" s="163">
        <v>6.9762289852620043</v>
      </c>
    </row>
    <row r="7377" spans="37:38" s="4" customFormat="1">
      <c r="AK7377" s="3">
        <v>7371</v>
      </c>
      <c r="AL7377" s="163">
        <v>6.9768166180701598</v>
      </c>
    </row>
    <row r="7378" spans="37:38" s="4" customFormat="1">
      <c r="AK7378" s="3">
        <v>7372</v>
      </c>
      <c r="AL7378" s="163">
        <v>6.9774040839711589</v>
      </c>
    </row>
    <row r="7379" spans="37:38" s="4" customFormat="1">
      <c r="AK7379" s="3">
        <v>7373</v>
      </c>
      <c r="AL7379" s="163">
        <v>6.9779913832203491</v>
      </c>
    </row>
    <row r="7380" spans="37:38" s="4" customFormat="1">
      <c r="AK7380" s="3">
        <v>7374</v>
      </c>
      <c r="AL7380" s="163">
        <v>6.9785785160735472</v>
      </c>
    </row>
    <row r="7381" spans="37:38" s="4" customFormat="1">
      <c r="AK7381" s="3">
        <v>7375</v>
      </c>
      <c r="AL7381" s="163">
        <v>6.9791654827868896</v>
      </c>
    </row>
    <row r="7382" spans="37:38" s="4" customFormat="1">
      <c r="AK7382" s="3">
        <v>7376</v>
      </c>
      <c r="AL7382" s="163">
        <v>6.9797522836170742</v>
      </c>
    </row>
    <row r="7383" spans="37:38" s="4" customFormat="1">
      <c r="AK7383" s="3">
        <v>7377</v>
      </c>
      <c r="AL7383" s="163">
        <v>6.9803389188210687</v>
      </c>
    </row>
    <row r="7384" spans="37:38" s="4" customFormat="1">
      <c r="AK7384" s="3">
        <v>7378</v>
      </c>
      <c r="AL7384" s="163">
        <v>6.9809253886563525</v>
      </c>
    </row>
    <row r="7385" spans="37:38" s="4" customFormat="1">
      <c r="AK7385" s="3">
        <v>7379</v>
      </c>
      <c r="AL7385" s="163">
        <v>6.9815116933808383</v>
      </c>
    </row>
    <row r="7386" spans="37:38" s="4" customFormat="1">
      <c r="AK7386" s="3">
        <v>7380</v>
      </c>
      <c r="AL7386" s="163">
        <v>6.9820978332528867</v>
      </c>
    </row>
    <row r="7387" spans="37:38" s="4" customFormat="1">
      <c r="AK7387" s="3">
        <v>7381</v>
      </c>
      <c r="AL7387" s="163">
        <v>6.9826838085311564</v>
      </c>
    </row>
    <row r="7388" spans="37:38" s="4" customFormat="1">
      <c r="AK7388" s="3">
        <v>7382</v>
      </c>
      <c r="AL7388" s="163">
        <v>6.9832696194748891</v>
      </c>
    </row>
    <row r="7389" spans="37:38" s="4" customFormat="1">
      <c r="AK7389" s="3">
        <v>7383</v>
      </c>
      <c r="AL7389" s="163">
        <v>6.9838552663436957</v>
      </c>
    </row>
    <row r="7390" spans="37:38" s="4" customFormat="1">
      <c r="AK7390" s="3">
        <v>7384</v>
      </c>
      <c r="AL7390" s="163">
        <v>6.9844407493975353</v>
      </c>
    </row>
    <row r="7391" spans="37:38" s="4" customFormat="1">
      <c r="AK7391" s="3">
        <v>7385</v>
      </c>
      <c r="AL7391" s="163">
        <v>6.985026068896957</v>
      </c>
    </row>
    <row r="7392" spans="37:38" s="4" customFormat="1">
      <c r="AK7392" s="3">
        <v>7386</v>
      </c>
      <c r="AL7392" s="163">
        <v>6.9856112251027938</v>
      </c>
    </row>
    <row r="7393" spans="37:38" s="4" customFormat="1">
      <c r="AK7393" s="3">
        <v>7387</v>
      </c>
      <c r="AL7393" s="163">
        <v>6.9861962182763477</v>
      </c>
    </row>
    <row r="7394" spans="37:38" s="4" customFormat="1">
      <c r="AK7394" s="3">
        <v>7388</v>
      </c>
      <c r="AL7394" s="163">
        <v>6.9867810486794113</v>
      </c>
    </row>
    <row r="7395" spans="37:38" s="4" customFormat="1">
      <c r="AK7395" s="3">
        <v>7389</v>
      </c>
      <c r="AL7395" s="163">
        <v>6.9873657165741179</v>
      </c>
    </row>
    <row r="7396" spans="37:38" s="4" customFormat="1">
      <c r="AK7396" s="3">
        <v>7390</v>
      </c>
      <c r="AL7396" s="163">
        <v>6.9879502222230414</v>
      </c>
    </row>
    <row r="7397" spans="37:38" s="4" customFormat="1">
      <c r="AK7397" s="3">
        <v>7391</v>
      </c>
      <c r="AL7397" s="163">
        <v>6.9885345658892604</v>
      </c>
    </row>
    <row r="7398" spans="37:38" s="4" customFormat="1">
      <c r="AK7398" s="3">
        <v>7392</v>
      </c>
      <c r="AL7398" s="163">
        <v>6.9891187478361658</v>
      </c>
    </row>
    <row r="7399" spans="37:38" s="4" customFormat="1">
      <c r="AK7399" s="3">
        <v>7393</v>
      </c>
      <c r="AL7399" s="163">
        <v>6.9897027683276889</v>
      </c>
    </row>
    <row r="7400" spans="37:38" s="4" customFormat="1">
      <c r="AK7400" s="3">
        <v>7394</v>
      </c>
      <c r="AL7400" s="163">
        <v>6.9902866276281372</v>
      </c>
    </row>
    <row r="7401" spans="37:38" s="4" customFormat="1">
      <c r="AK7401" s="3">
        <v>7395</v>
      </c>
      <c r="AL7401" s="163">
        <v>6.9908703260022591</v>
      </c>
    </row>
    <row r="7402" spans="37:38" s="4" customFormat="1">
      <c r="AK7402" s="3">
        <v>7396</v>
      </c>
      <c r="AL7402" s="163">
        <v>6.9914538637152077</v>
      </c>
    </row>
    <row r="7403" spans="37:38" s="4" customFormat="1">
      <c r="AK7403" s="3">
        <v>7397</v>
      </c>
      <c r="AL7403" s="163">
        <v>6.9920372410325626</v>
      </c>
    </row>
    <row r="7404" spans="37:38" s="4" customFormat="1">
      <c r="AK7404" s="3">
        <v>7398</v>
      </c>
      <c r="AL7404" s="163">
        <v>6.9926204582203795</v>
      </c>
    </row>
    <row r="7405" spans="37:38" s="4" customFormat="1">
      <c r="AK7405" s="3">
        <v>7399</v>
      </c>
      <c r="AL7405" s="163">
        <v>6.9932035155451118</v>
      </c>
    </row>
    <row r="7406" spans="37:38" s="4" customFormat="1">
      <c r="AK7406" s="3">
        <v>7400</v>
      </c>
      <c r="AL7406" s="163">
        <v>6.9937864132736749</v>
      </c>
    </row>
    <row r="7407" spans="37:38" s="4" customFormat="1">
      <c r="AK7407" s="3">
        <v>7401</v>
      </c>
      <c r="AL7407" s="163">
        <v>6.994369151673304</v>
      </c>
    </row>
    <row r="7408" spans="37:38" s="4" customFormat="1">
      <c r="AK7408" s="3">
        <v>7402</v>
      </c>
      <c r="AL7408" s="163">
        <v>6.9949517310118949</v>
      </c>
    </row>
    <row r="7409" spans="37:38" s="4" customFormat="1">
      <c r="AK7409" s="3">
        <v>7403</v>
      </c>
      <c r="AL7409" s="163">
        <v>6.9955341515574858</v>
      </c>
    </row>
    <row r="7410" spans="37:38" s="4" customFormat="1">
      <c r="AK7410" s="3">
        <v>7404</v>
      </c>
      <c r="AL7410" s="163">
        <v>6.9961164135787826</v>
      </c>
    </row>
    <row r="7411" spans="37:38" s="4" customFormat="1">
      <c r="AK7411" s="3">
        <v>7405</v>
      </c>
      <c r="AL7411" s="163">
        <v>6.9966985173447682</v>
      </c>
    </row>
    <row r="7412" spans="37:38" s="4" customFormat="1">
      <c r="AK7412" s="3">
        <v>7406</v>
      </c>
      <c r="AL7412" s="163">
        <v>6.9972804631249517</v>
      </c>
    </row>
    <row r="7413" spans="37:38" s="4" customFormat="1">
      <c r="AK7413" s="3">
        <v>7407</v>
      </c>
      <c r="AL7413" s="163">
        <v>6.9978622511892326</v>
      </c>
    </row>
    <row r="7414" spans="37:38" s="4" customFormat="1">
      <c r="AK7414" s="3">
        <v>7408</v>
      </c>
      <c r="AL7414" s="163">
        <v>6.9984438818079013</v>
      </c>
    </row>
    <row r="7415" spans="37:38" s="4" customFormat="1">
      <c r="AK7415" s="3">
        <v>7409</v>
      </c>
      <c r="AL7415" s="163">
        <v>6.9990253552518098</v>
      </c>
    </row>
    <row r="7416" spans="37:38" s="4" customFormat="1">
      <c r="AK7416" s="3">
        <v>7410</v>
      </c>
      <c r="AL7416" s="163">
        <v>6.9996066717921082</v>
      </c>
    </row>
    <row r="7417" spans="37:38" s="4" customFormat="1">
      <c r="AK7417" s="3">
        <v>7411</v>
      </c>
      <c r="AL7417" s="163">
        <v>7.0001878317004582</v>
      </c>
    </row>
    <row r="7418" spans="37:38" s="4" customFormat="1">
      <c r="AK7418" s="3">
        <v>7412</v>
      </c>
      <c r="AL7418" s="163">
        <v>7.0007688352489055</v>
      </c>
    </row>
    <row r="7419" spans="37:38" s="4" customFormat="1">
      <c r="AK7419" s="3">
        <v>7413</v>
      </c>
      <c r="AL7419" s="163">
        <v>7.0013496827098933</v>
      </c>
    </row>
    <row r="7420" spans="37:38" s="4" customFormat="1">
      <c r="AK7420" s="3">
        <v>7414</v>
      </c>
      <c r="AL7420" s="163">
        <v>7.0019303743564478</v>
      </c>
    </row>
    <row r="7421" spans="37:38" s="4" customFormat="1">
      <c r="AK7421" s="3">
        <v>7415</v>
      </c>
      <c r="AL7421" s="163">
        <v>7.0025109104618721</v>
      </c>
    </row>
    <row r="7422" spans="37:38" s="4" customFormat="1">
      <c r="AK7422" s="3">
        <v>7416</v>
      </c>
      <c r="AL7422" s="163">
        <v>7.0030912913000165</v>
      </c>
    </row>
    <row r="7423" spans="37:38" s="4" customFormat="1">
      <c r="AK7423" s="3">
        <v>7417</v>
      </c>
      <c r="AL7423" s="163">
        <v>7.0036715171450652</v>
      </c>
    </row>
    <row r="7424" spans="37:38" s="4" customFormat="1">
      <c r="AK7424" s="3">
        <v>7418</v>
      </c>
      <c r="AL7424" s="163">
        <v>7.0042515882716287</v>
      </c>
    </row>
    <row r="7425" spans="37:38" s="4" customFormat="1">
      <c r="AK7425" s="3">
        <v>7419</v>
      </c>
      <c r="AL7425" s="163">
        <v>7.004831504954943</v>
      </c>
    </row>
    <row r="7426" spans="37:38" s="4" customFormat="1">
      <c r="AK7426" s="3">
        <v>7420</v>
      </c>
      <c r="AL7426" s="163">
        <v>7.005411267470393</v>
      </c>
    </row>
    <row r="7427" spans="37:38" s="4" customFormat="1">
      <c r="AK7427" s="3">
        <v>7421</v>
      </c>
      <c r="AL7427" s="163">
        <v>7.0059908760940672</v>
      </c>
    </row>
    <row r="7428" spans="37:38" s="4" customFormat="1">
      <c r="AK7428" s="3">
        <v>7422</v>
      </c>
      <c r="AL7428" s="163">
        <v>7.0065703311022673</v>
      </c>
    </row>
    <row r="7429" spans="37:38" s="4" customFormat="1">
      <c r="AK7429" s="3">
        <v>7423</v>
      </c>
      <c r="AL7429" s="163">
        <v>7.0071496327719061</v>
      </c>
    </row>
    <row r="7430" spans="37:38" s="4" customFormat="1">
      <c r="AK7430" s="3">
        <v>7424</v>
      </c>
      <c r="AL7430" s="163">
        <v>7.0077287813801732</v>
      </c>
    </row>
    <row r="7431" spans="37:38" s="4" customFormat="1">
      <c r="AK7431" s="3">
        <v>7425</v>
      </c>
      <c r="AL7431" s="163">
        <v>7.0083077772048128</v>
      </c>
    </row>
    <row r="7432" spans="37:38" s="4" customFormat="1">
      <c r="AK7432" s="3">
        <v>7426</v>
      </c>
      <c r="AL7432" s="163">
        <v>7.0088866205239384</v>
      </c>
    </row>
    <row r="7433" spans="37:38" s="4" customFormat="1">
      <c r="AK7433" s="3">
        <v>7427</v>
      </c>
      <c r="AL7433" s="163">
        <v>7.0094653116161609</v>
      </c>
    </row>
    <row r="7434" spans="37:38" s="4" customFormat="1">
      <c r="AK7434" s="3">
        <v>7428</v>
      </c>
      <c r="AL7434" s="163">
        <v>7.0100438507604608</v>
      </c>
    </row>
    <row r="7435" spans="37:38" s="4" customFormat="1">
      <c r="AK7435" s="3">
        <v>7429</v>
      </c>
      <c r="AL7435" s="163">
        <v>7.0106222382362873</v>
      </c>
    </row>
    <row r="7436" spans="37:38" s="4" customFormat="1">
      <c r="AK7436" s="3">
        <v>7430</v>
      </c>
      <c r="AL7436" s="163">
        <v>7.0112004743234948</v>
      </c>
    </row>
    <row r="7437" spans="37:38" s="4" customFormat="1">
      <c r="AK7437" s="3">
        <v>7431</v>
      </c>
      <c r="AL7437" s="163">
        <v>7.0117785593024422</v>
      </c>
    </row>
    <row r="7438" spans="37:38" s="4" customFormat="1">
      <c r="AK7438" s="3">
        <v>7432</v>
      </c>
      <c r="AL7438" s="163">
        <v>7.012356493453872</v>
      </c>
    </row>
    <row r="7439" spans="37:38" s="4" customFormat="1">
      <c r="AK7439" s="3">
        <v>7433</v>
      </c>
      <c r="AL7439" s="163">
        <v>7.0129342770588892</v>
      </c>
    </row>
    <row r="7440" spans="37:38" s="4" customFormat="1">
      <c r="AK7440" s="3">
        <v>7434</v>
      </c>
      <c r="AL7440" s="163">
        <v>7.0135119103992025</v>
      </c>
    </row>
    <row r="7441" spans="37:38" s="4" customFormat="1">
      <c r="AK7441" s="3">
        <v>7435</v>
      </c>
      <c r="AL7441" s="163">
        <v>7.014089393756862</v>
      </c>
    </row>
    <row r="7442" spans="37:38" s="4" customFormat="1">
      <c r="AK7442" s="3">
        <v>7436</v>
      </c>
      <c r="AL7442" s="163">
        <v>7.0146667274143439</v>
      </c>
    </row>
    <row r="7443" spans="37:38" s="4" customFormat="1">
      <c r="AK7443" s="3">
        <v>7437</v>
      </c>
      <c r="AL7443" s="163">
        <v>7.0152439116545722</v>
      </c>
    </row>
    <row r="7444" spans="37:38" s="4" customFormat="1">
      <c r="AK7444" s="3">
        <v>7438</v>
      </c>
      <c r="AL7444" s="163">
        <v>7.0158209467609254</v>
      </c>
    </row>
    <row r="7445" spans="37:38" s="4" customFormat="1">
      <c r="AK7445" s="3">
        <v>7439</v>
      </c>
      <c r="AL7445" s="163">
        <v>7.016397833017237</v>
      </c>
    </row>
    <row r="7446" spans="37:38" s="4" customFormat="1">
      <c r="AK7446" s="3">
        <v>7440</v>
      </c>
      <c r="AL7446" s="163">
        <v>7.0169745707076956</v>
      </c>
    </row>
    <row r="7447" spans="37:38" s="4" customFormat="1">
      <c r="AK7447" s="3">
        <v>7441</v>
      </c>
      <c r="AL7447" s="163">
        <v>7.0175511601170015</v>
      </c>
    </row>
    <row r="7448" spans="37:38" s="4" customFormat="1">
      <c r="AK7448" s="3">
        <v>7442</v>
      </c>
      <c r="AL7448" s="163">
        <v>7.0181276015303311</v>
      </c>
    </row>
    <row r="7449" spans="37:38" s="4" customFormat="1">
      <c r="AK7449" s="3">
        <v>7443</v>
      </c>
      <c r="AL7449" s="163">
        <v>7.0187038952331733</v>
      </c>
    </row>
    <row r="7450" spans="37:38" s="4" customFormat="1">
      <c r="AK7450" s="3">
        <v>7444</v>
      </c>
      <c r="AL7450" s="163">
        <v>7.0192800415115286</v>
      </c>
    </row>
    <row r="7451" spans="37:38" s="4" customFormat="1">
      <c r="AK7451" s="3">
        <v>7445</v>
      </c>
      <c r="AL7451" s="163">
        <v>7.0198560406518524</v>
      </c>
    </row>
    <row r="7452" spans="37:38" s="4" customFormat="1">
      <c r="AK7452" s="3">
        <v>7446</v>
      </c>
      <c r="AL7452" s="163">
        <v>7.0204318929410618</v>
      </c>
    </row>
    <row r="7453" spans="37:38" s="4" customFormat="1">
      <c r="AK7453" s="3">
        <v>7447</v>
      </c>
      <c r="AL7453" s="163">
        <v>7.0210075986663654</v>
      </c>
    </row>
    <row r="7454" spans="37:38" s="4" customFormat="1">
      <c r="AK7454" s="3">
        <v>7448</v>
      </c>
      <c r="AL7454" s="163">
        <v>7.0215831581155967</v>
      </c>
    </row>
    <row r="7455" spans="37:38" s="4" customFormat="1">
      <c r="AK7455" s="3">
        <v>7449</v>
      </c>
      <c r="AL7455" s="163">
        <v>7.0221585715769095</v>
      </c>
    </row>
    <row r="7456" spans="37:38" s="4" customFormat="1">
      <c r="AK7456" s="3">
        <v>7450</v>
      </c>
      <c r="AL7456" s="163">
        <v>7.0227338393389473</v>
      </c>
    </row>
    <row r="7457" spans="37:38" s="4" customFormat="1">
      <c r="AK7457" s="3">
        <v>7451</v>
      </c>
      <c r="AL7457" s="163">
        <v>7.0233089616907378</v>
      </c>
    </row>
    <row r="7458" spans="37:38" s="4" customFormat="1">
      <c r="AK7458" s="3">
        <v>7452</v>
      </c>
      <c r="AL7458" s="163">
        <v>7.0238839389218768</v>
      </c>
    </row>
    <row r="7459" spans="37:38" s="4" customFormat="1">
      <c r="AK7459" s="3">
        <v>7453</v>
      </c>
      <c r="AL7459" s="163">
        <v>7.0244587713221804</v>
      </c>
    </row>
    <row r="7460" spans="37:38" s="4" customFormat="1">
      <c r="AK7460" s="3">
        <v>7454</v>
      </c>
      <c r="AL7460" s="163">
        <v>7.0250334591821328</v>
      </c>
    </row>
    <row r="7461" spans="37:38" s="4" customFormat="1">
      <c r="AK7461" s="3">
        <v>7455</v>
      </c>
      <c r="AL7461" s="163">
        <v>7.0256080027925663</v>
      </c>
    </row>
    <row r="7462" spans="37:38" s="4" customFormat="1">
      <c r="AK7462" s="3">
        <v>7456</v>
      </c>
      <c r="AL7462" s="163">
        <v>7.0261824024446895</v>
      </c>
    </row>
    <row r="7463" spans="37:38" s="4" customFormat="1">
      <c r="AK7463" s="3">
        <v>7457</v>
      </c>
      <c r="AL7463" s="163">
        <v>7.0267566584302656</v>
      </c>
    </row>
    <row r="7464" spans="37:38" s="4" customFormat="1">
      <c r="AK7464" s="3">
        <v>7458</v>
      </c>
      <c r="AL7464" s="163">
        <v>7.0273307710413775</v>
      </c>
    </row>
    <row r="7465" spans="37:38" s="4" customFormat="1">
      <c r="AK7465" s="3">
        <v>7459</v>
      </c>
      <c r="AL7465" s="163">
        <v>7.027904740570726</v>
      </c>
    </row>
    <row r="7466" spans="37:38" s="4" customFormat="1">
      <c r="AK7466" s="3">
        <v>7460</v>
      </c>
      <c r="AL7466" s="163">
        <v>7.0284785673112324</v>
      </c>
    </row>
    <row r="7467" spans="37:38" s="4" customFormat="1">
      <c r="AK7467" s="3">
        <v>7461</v>
      </c>
      <c r="AL7467" s="163">
        <v>7.029052251556422</v>
      </c>
    </row>
    <row r="7468" spans="37:38" s="4" customFormat="1">
      <c r="AK7468" s="3">
        <v>7462</v>
      </c>
      <c r="AL7468" s="163">
        <v>7.0296257936001751</v>
      </c>
    </row>
    <row r="7469" spans="37:38" s="4" customFormat="1">
      <c r="AK7469" s="3">
        <v>7463</v>
      </c>
      <c r="AL7469" s="163">
        <v>7.0301991937369124</v>
      </c>
    </row>
    <row r="7470" spans="37:38" s="4" customFormat="1">
      <c r="AK7470" s="3">
        <v>7464</v>
      </c>
      <c r="AL7470" s="163">
        <v>7.0307724522613597</v>
      </c>
    </row>
    <row r="7471" spans="37:38" s="4" customFormat="1">
      <c r="AK7471" s="3">
        <v>7465</v>
      </c>
      <c r="AL7471" s="163">
        <v>7.0313455694687974</v>
      </c>
    </row>
    <row r="7472" spans="37:38" s="4" customFormat="1">
      <c r="AK7472" s="3">
        <v>7466</v>
      </c>
      <c r="AL7472" s="163">
        <v>7.0319185456548752</v>
      </c>
    </row>
    <row r="7473" spans="37:38" s="4" customFormat="1">
      <c r="AK7473" s="3">
        <v>7467</v>
      </c>
      <c r="AL7473" s="163">
        <v>7.0324913811157757</v>
      </c>
    </row>
    <row r="7474" spans="37:38" s="4" customFormat="1">
      <c r="AK7474" s="3">
        <v>7468</v>
      </c>
      <c r="AL7474" s="163">
        <v>7.033064076147987</v>
      </c>
    </row>
    <row r="7475" spans="37:38" s="4" customFormat="1">
      <c r="AK7475" s="3">
        <v>7469</v>
      </c>
      <c r="AL7475" s="163">
        <v>7.033636631048573</v>
      </c>
    </row>
    <row r="7476" spans="37:38" s="4" customFormat="1">
      <c r="AK7476" s="3">
        <v>7470</v>
      </c>
      <c r="AL7476" s="163">
        <v>7.0342090461149738</v>
      </c>
    </row>
    <row r="7477" spans="37:38" s="4" customFormat="1">
      <c r="AK7477" s="3">
        <v>7471</v>
      </c>
      <c r="AL7477" s="163">
        <v>7.0347813216450916</v>
      </c>
    </row>
    <row r="7478" spans="37:38" s="4" customFormat="1">
      <c r="AK7478" s="3">
        <v>7472</v>
      </c>
      <c r="AL7478" s="163">
        <v>7.0353534579372266</v>
      </c>
    </row>
    <row r="7479" spans="37:38" s="4" customFormat="1">
      <c r="AK7479" s="3">
        <v>7473</v>
      </c>
      <c r="AL7479" s="163">
        <v>7.0359254552902186</v>
      </c>
    </row>
    <row r="7480" spans="37:38" s="4" customFormat="1">
      <c r="AK7480" s="3">
        <v>7474</v>
      </c>
      <c r="AL7480" s="163">
        <v>7.0364973140032774</v>
      </c>
    </row>
    <row r="7481" spans="37:38" s="4" customFormat="1">
      <c r="AK7481" s="3">
        <v>7475</v>
      </c>
      <c r="AL7481" s="163">
        <v>7.0370690343760316</v>
      </c>
    </row>
    <row r="7482" spans="37:38" s="4" customFormat="1">
      <c r="AK7482" s="3">
        <v>7476</v>
      </c>
      <c r="AL7482" s="163">
        <v>7.0376406167086287</v>
      </c>
    </row>
    <row r="7483" spans="37:38" s="4" customFormat="1">
      <c r="AK7483" s="3">
        <v>7477</v>
      </c>
      <c r="AL7483" s="163">
        <v>7.0382120613016426</v>
      </c>
    </row>
    <row r="7484" spans="37:38" s="4" customFormat="1">
      <c r="AK7484" s="3">
        <v>7478</v>
      </c>
      <c r="AL7484" s="163">
        <v>7.0387833684560732</v>
      </c>
    </row>
    <row r="7485" spans="37:38" s="4" customFormat="1">
      <c r="AK7485" s="3">
        <v>7479</v>
      </c>
      <c r="AL7485" s="163">
        <v>7.0393545384733116</v>
      </c>
    </row>
    <row r="7486" spans="37:38" s="4" customFormat="1">
      <c r="AK7486" s="3">
        <v>7480</v>
      </c>
      <c r="AL7486" s="163">
        <v>7.0399255716552886</v>
      </c>
    </row>
    <row r="7487" spans="37:38" s="4" customFormat="1">
      <c r="AK7487" s="3">
        <v>7481</v>
      </c>
      <c r="AL7487" s="163">
        <v>7.0404964683043545</v>
      </c>
    </row>
    <row r="7488" spans="37:38" s="4" customFormat="1">
      <c r="AK7488" s="3">
        <v>7482</v>
      </c>
      <c r="AL7488" s="163">
        <v>7.0410672287232714</v>
      </c>
    </row>
    <row r="7489" spans="37:38" s="4" customFormat="1">
      <c r="AK7489" s="3">
        <v>7483</v>
      </c>
      <c r="AL7489" s="163">
        <v>7.0416378532153203</v>
      </c>
    </row>
    <row r="7490" spans="37:38" s="4" customFormat="1">
      <c r="AK7490" s="3">
        <v>7484</v>
      </c>
      <c r="AL7490" s="163">
        <v>7.0422083420840877</v>
      </c>
    </row>
    <row r="7491" spans="37:38" s="4" customFormat="1">
      <c r="AK7491" s="3">
        <v>7485</v>
      </c>
      <c r="AL7491" s="163">
        <v>7.0427786956337215</v>
      </c>
    </row>
    <row r="7492" spans="37:38" s="4" customFormat="1">
      <c r="AK7492" s="3">
        <v>7486</v>
      </c>
      <c r="AL7492" s="163">
        <v>7.0433489141687886</v>
      </c>
    </row>
    <row r="7493" spans="37:38" s="4" customFormat="1">
      <c r="AK7493" s="3">
        <v>7487</v>
      </c>
      <c r="AL7493" s="163">
        <v>7.0439189979943251</v>
      </c>
    </row>
    <row r="7494" spans="37:38" s="4" customFormat="1">
      <c r="AK7494" s="3">
        <v>7488</v>
      </c>
      <c r="AL7494" s="163">
        <v>7.044488947415779</v>
      </c>
    </row>
    <row r="7495" spans="37:38" s="4" customFormat="1">
      <c r="AK7495" s="3">
        <v>7489</v>
      </c>
      <c r="AL7495" s="163">
        <v>7.045058762739032</v>
      </c>
    </row>
    <row r="7496" spans="37:38" s="4" customFormat="1">
      <c r="AK7496" s="3">
        <v>7490</v>
      </c>
      <c r="AL7496" s="163">
        <v>7.0456284442704629</v>
      </c>
    </row>
    <row r="7497" spans="37:38" s="4" customFormat="1">
      <c r="AK7497" s="3">
        <v>7491</v>
      </c>
      <c r="AL7497" s="163">
        <v>7.0461979923168059</v>
      </c>
    </row>
    <row r="7498" spans="37:38" s="4" customFormat="1">
      <c r="AK7498" s="3">
        <v>7492</v>
      </c>
      <c r="AL7498" s="163">
        <v>7.0467674071853921</v>
      </c>
    </row>
    <row r="7499" spans="37:38" s="4" customFormat="1">
      <c r="AK7499" s="3">
        <v>7493</v>
      </c>
      <c r="AL7499" s="163">
        <v>7.0473366891838438</v>
      </c>
    </row>
    <row r="7500" spans="37:38" s="4" customFormat="1">
      <c r="AK7500" s="3">
        <v>7494</v>
      </c>
      <c r="AL7500" s="163">
        <v>7.0479058386203377</v>
      </c>
    </row>
    <row r="7501" spans="37:38" s="4" customFormat="1">
      <c r="AK7501" s="3">
        <v>7495</v>
      </c>
      <c r="AL7501" s="163">
        <v>7.0484748558034624</v>
      </c>
    </row>
    <row r="7502" spans="37:38" s="4" customFormat="1">
      <c r="AK7502" s="3">
        <v>7496</v>
      </c>
      <c r="AL7502" s="163">
        <v>7.0490437410421904</v>
      </c>
    </row>
    <row r="7503" spans="37:38" s="4" customFormat="1">
      <c r="AK7503" s="3">
        <v>7497</v>
      </c>
      <c r="AL7503" s="163">
        <v>7.0496124946460981</v>
      </c>
    </row>
    <row r="7504" spans="37:38" s="4" customFormat="1">
      <c r="AK7504" s="3">
        <v>7498</v>
      </c>
      <c r="AL7504" s="163">
        <v>7.0501811169250388</v>
      </c>
    </row>
    <row r="7505" spans="37:38" s="4" customFormat="1">
      <c r="AK7505" s="3">
        <v>7499</v>
      </c>
      <c r="AL7505" s="163">
        <v>7.0507496081894345</v>
      </c>
    </row>
    <row r="7506" spans="37:38" s="4" customFormat="1">
      <c r="AK7506" s="3">
        <v>7500</v>
      </c>
      <c r="AL7506" s="163">
        <v>7.0513179687500838</v>
      </c>
    </row>
    <row r="7507" spans="37:38" s="4" customFormat="1">
      <c r="AK7507" s="3">
        <v>7501</v>
      </c>
      <c r="AL7507" s="163">
        <v>7.0518861989182611</v>
      </c>
    </row>
    <row r="7508" spans="37:38" s="4" customFormat="1">
      <c r="AK7508" s="3">
        <v>7502</v>
      </c>
      <c r="AL7508" s="163">
        <v>7.0524542990057313</v>
      </c>
    </row>
    <row r="7509" spans="37:38" s="4" customFormat="1">
      <c r="AK7509" s="3">
        <v>7503</v>
      </c>
      <c r="AL7509" s="163">
        <v>7.0530222693245861</v>
      </c>
    </row>
    <row r="7510" spans="37:38" s="4" customFormat="1">
      <c r="AK7510" s="3">
        <v>7504</v>
      </c>
      <c r="AL7510" s="163">
        <v>7.0535901101875425</v>
      </c>
    </row>
    <row r="7511" spans="37:38" s="4" customFormat="1">
      <c r="AK7511" s="3">
        <v>7505</v>
      </c>
      <c r="AL7511" s="163">
        <v>7.0541578219076015</v>
      </c>
    </row>
    <row r="7512" spans="37:38" s="4" customFormat="1">
      <c r="AK7512" s="3">
        <v>7506</v>
      </c>
      <c r="AL7512" s="163">
        <v>7.0547254047982975</v>
      </c>
    </row>
    <row r="7513" spans="37:38" s="4" customFormat="1">
      <c r="AK7513" s="3">
        <v>7507</v>
      </c>
      <c r="AL7513" s="163">
        <v>7.0552928591735977</v>
      </c>
    </row>
    <row r="7514" spans="37:38" s="4" customFormat="1">
      <c r="AK7514" s="3">
        <v>7508</v>
      </c>
      <c r="AL7514" s="163">
        <v>7.0558601853479814</v>
      </c>
    </row>
    <row r="7515" spans="37:38" s="4" customFormat="1">
      <c r="AK7515" s="3">
        <v>7509</v>
      </c>
      <c r="AL7515" s="163">
        <v>7.0564273836362759</v>
      </c>
    </row>
    <row r="7516" spans="37:38" s="4" customFormat="1">
      <c r="AK7516" s="3">
        <v>7510</v>
      </c>
      <c r="AL7516" s="163">
        <v>7.0569944543537488</v>
      </c>
    </row>
    <row r="7517" spans="37:38" s="4" customFormat="1">
      <c r="AK7517" s="3">
        <v>7511</v>
      </c>
      <c r="AL7517" s="163">
        <v>7.0575613978162437</v>
      </c>
    </row>
    <row r="7518" spans="37:38" s="4" customFormat="1">
      <c r="AK7518" s="3">
        <v>7512</v>
      </c>
      <c r="AL7518" s="163">
        <v>7.0581282143399591</v>
      </c>
    </row>
    <row r="7519" spans="37:38" s="4" customFormat="1">
      <c r="AK7519" s="3">
        <v>7513</v>
      </c>
      <c r="AL7519" s="163">
        <v>7.0586949042415625</v>
      </c>
    </row>
    <row r="7520" spans="37:38" s="4" customFormat="1">
      <c r="AK7520" s="3">
        <v>7514</v>
      </c>
      <c r="AL7520" s="163">
        <v>7.0592614678382049</v>
      </c>
    </row>
    <row r="7521" spans="37:38" s="4" customFormat="1">
      <c r="AK7521" s="3">
        <v>7515</v>
      </c>
      <c r="AL7521" s="163">
        <v>7.0598279054473991</v>
      </c>
    </row>
    <row r="7522" spans="37:38" s="4" customFormat="1">
      <c r="AK7522" s="3">
        <v>7516</v>
      </c>
      <c r="AL7522" s="163">
        <v>7.0603942173872625</v>
      </c>
    </row>
    <row r="7523" spans="37:38" s="4" customFormat="1">
      <c r="AK7523" s="3">
        <v>7517</v>
      </c>
      <c r="AL7523" s="163">
        <v>7.0609604039761749</v>
      </c>
    </row>
    <row r="7524" spans="37:38" s="4" customFormat="1">
      <c r="AK7524" s="3">
        <v>7518</v>
      </c>
      <c r="AL7524" s="163">
        <v>7.0615264655331345</v>
      </c>
    </row>
    <row r="7525" spans="37:38" s="4" customFormat="1">
      <c r="AK7525" s="3">
        <v>7519</v>
      </c>
      <c r="AL7525" s="163">
        <v>7.0620924023774805</v>
      </c>
    </row>
    <row r="7526" spans="37:38" s="4" customFormat="1">
      <c r="AK7526" s="3">
        <v>7520</v>
      </c>
      <c r="AL7526" s="163">
        <v>7.0626582148291064</v>
      </c>
    </row>
    <row r="7527" spans="37:38" s="4" customFormat="1">
      <c r="AK7527" s="3">
        <v>7521</v>
      </c>
      <c r="AL7527" s="163">
        <v>7.0632239032082325</v>
      </c>
    </row>
    <row r="7528" spans="37:38" s="4" customFormat="1">
      <c r="AK7528" s="3">
        <v>7522</v>
      </c>
      <c r="AL7528" s="163">
        <v>7.063789467835619</v>
      </c>
    </row>
    <row r="7529" spans="37:38" s="4" customFormat="1">
      <c r="AK7529" s="3">
        <v>7523</v>
      </c>
      <c r="AL7529" s="163">
        <v>7.0643549090324598</v>
      </c>
    </row>
    <row r="7530" spans="37:38" s="4" customFormat="1">
      <c r="AK7530" s="3">
        <v>7524</v>
      </c>
      <c r="AL7530" s="163">
        <v>7.0649202271204246</v>
      </c>
    </row>
    <row r="7531" spans="37:38" s="4" customFormat="1">
      <c r="AK7531" s="3">
        <v>7525</v>
      </c>
      <c r="AL7531" s="163">
        <v>7.0654854224215526</v>
      </c>
    </row>
    <row r="7532" spans="37:38" s="4" customFormat="1">
      <c r="AK7532" s="3">
        <v>7526</v>
      </c>
      <c r="AL7532" s="163">
        <v>7.0660504952584589</v>
      </c>
    </row>
    <row r="7533" spans="37:38" s="4" customFormat="1">
      <c r="AK7533" s="3">
        <v>7527</v>
      </c>
      <c r="AL7533" s="163">
        <v>7.0666154459540707</v>
      </c>
    </row>
    <row r="7534" spans="37:38" s="4" customFormat="1">
      <c r="AK7534" s="3">
        <v>7528</v>
      </c>
      <c r="AL7534" s="163">
        <v>7.0671802748319266</v>
      </c>
    </row>
    <row r="7535" spans="37:38" s="4" customFormat="1">
      <c r="AK7535" s="3">
        <v>7529</v>
      </c>
      <c r="AL7535" s="163">
        <v>7.0677449822158849</v>
      </c>
    </row>
    <row r="7536" spans="37:38" s="4" customFormat="1">
      <c r="AK7536" s="3">
        <v>7530</v>
      </c>
      <c r="AL7536" s="163">
        <v>7.068309568430351</v>
      </c>
    </row>
    <row r="7537" spans="37:38" s="4" customFormat="1">
      <c r="AK7537" s="3">
        <v>7531</v>
      </c>
      <c r="AL7537" s="163">
        <v>7.0688740338000642</v>
      </c>
    </row>
    <row r="7538" spans="37:38" s="4" customFormat="1">
      <c r="AK7538" s="3">
        <v>7532</v>
      </c>
      <c r="AL7538" s="163">
        <v>7.0694383786503963</v>
      </c>
    </row>
    <row r="7539" spans="37:38" s="4" customFormat="1">
      <c r="AK7539" s="3">
        <v>7533</v>
      </c>
      <c r="AL7539" s="163">
        <v>7.0700026033070174</v>
      </c>
    </row>
    <row r="7540" spans="37:38" s="4" customFormat="1">
      <c r="AK7540" s="3">
        <v>7534</v>
      </c>
      <c r="AL7540" s="163">
        <v>7.0705667080961447</v>
      </c>
    </row>
    <row r="7541" spans="37:38" s="4" customFormat="1">
      <c r="AK7541" s="3">
        <v>7535</v>
      </c>
      <c r="AL7541" s="163">
        <v>7.0711306933443439</v>
      </c>
    </row>
    <row r="7542" spans="37:38" s="4" customFormat="1">
      <c r="AK7542" s="3">
        <v>7536</v>
      </c>
      <c r="AL7542" s="163">
        <v>7.0716945593788054</v>
      </c>
    </row>
    <row r="7543" spans="37:38" s="4" customFormat="1">
      <c r="AK7543" s="3">
        <v>7537</v>
      </c>
      <c r="AL7543" s="163">
        <v>7.0722583065269831</v>
      </c>
    </row>
    <row r="7544" spans="37:38" s="4" customFormat="1">
      <c r="AK7544" s="3">
        <v>7538</v>
      </c>
      <c r="AL7544" s="163">
        <v>7.0728219351170054</v>
      </c>
    </row>
    <row r="7545" spans="37:38" s="4" customFormat="1">
      <c r="AK7545" s="3">
        <v>7539</v>
      </c>
      <c r="AL7545" s="163">
        <v>7.0733854454772072</v>
      </c>
    </row>
    <row r="7546" spans="37:38" s="4" customFormat="1">
      <c r="AK7546" s="3">
        <v>7540</v>
      </c>
      <c r="AL7546" s="163">
        <v>7.0739488379365412</v>
      </c>
    </row>
    <row r="7547" spans="37:38" s="4" customFormat="1">
      <c r="AK7547" s="3">
        <v>7541</v>
      </c>
      <c r="AL7547" s="163">
        <v>7.0745121128243653</v>
      </c>
    </row>
    <row r="7548" spans="37:38" s="4" customFormat="1">
      <c r="AK7548" s="3">
        <v>7542</v>
      </c>
      <c r="AL7548" s="163">
        <v>7.075075270470542</v>
      </c>
    </row>
    <row r="7549" spans="37:38" s="4" customFormat="1">
      <c r="AK7549" s="3">
        <v>7543</v>
      </c>
      <c r="AL7549" s="163">
        <v>7.0756383112053527</v>
      </c>
    </row>
    <row r="7550" spans="37:38" s="4" customFormat="1">
      <c r="AK7550" s="3">
        <v>7544</v>
      </c>
      <c r="AL7550" s="163">
        <v>7.0762012353594912</v>
      </c>
    </row>
    <row r="7551" spans="37:38" s="4" customFormat="1">
      <c r="AK7551" s="3">
        <v>7545</v>
      </c>
      <c r="AL7551" s="163">
        <v>7.0767640432642196</v>
      </c>
    </row>
    <row r="7552" spans="37:38" s="4" customFormat="1">
      <c r="AK7552" s="3">
        <v>7546</v>
      </c>
      <c r="AL7552" s="163">
        <v>7.0773267352511695</v>
      </c>
    </row>
    <row r="7553" spans="37:38" s="4" customFormat="1">
      <c r="AK7553" s="3">
        <v>7547</v>
      </c>
      <c r="AL7553" s="163">
        <v>7.0778893116523989</v>
      </c>
    </row>
    <row r="7554" spans="37:38" s="4" customFormat="1">
      <c r="AK7554" s="3">
        <v>7548</v>
      </c>
      <c r="AL7554" s="163">
        <v>7.0784517728005198</v>
      </c>
    </row>
    <row r="7555" spans="37:38" s="4" customFormat="1">
      <c r="AK7555" s="3">
        <v>7549</v>
      </c>
      <c r="AL7555" s="163">
        <v>7.0790141190285638</v>
      </c>
    </row>
    <row r="7556" spans="37:38" s="4" customFormat="1">
      <c r="AK7556" s="3">
        <v>7550</v>
      </c>
      <c r="AL7556" s="163">
        <v>7.0795763506700098</v>
      </c>
    </row>
    <row r="7557" spans="37:38" s="4" customFormat="1">
      <c r="AK7557" s="3">
        <v>7551</v>
      </c>
      <c r="AL7557" s="163">
        <v>7.0801384680587702</v>
      </c>
    </row>
    <row r="7558" spans="37:38" s="4" customFormat="1">
      <c r="AK7558" s="3">
        <v>7552</v>
      </c>
      <c r="AL7558" s="163">
        <v>7.0807004715292337</v>
      </c>
    </row>
    <row r="7559" spans="37:38" s="4" customFormat="1">
      <c r="AK7559" s="3">
        <v>7553</v>
      </c>
      <c r="AL7559" s="163">
        <v>7.0812623614163499</v>
      </c>
    </row>
    <row r="7560" spans="37:38" s="4" customFormat="1">
      <c r="AK7560" s="3">
        <v>7554</v>
      </c>
      <c r="AL7560" s="163">
        <v>7.0818241380553175</v>
      </c>
    </row>
    <row r="7561" spans="37:38" s="4" customFormat="1">
      <c r="AK7561" s="3">
        <v>7555</v>
      </c>
      <c r="AL7561" s="163">
        <v>7.0823858017819745</v>
      </c>
    </row>
    <row r="7562" spans="37:38" s="4" customFormat="1">
      <c r="AK7562" s="3">
        <v>7556</v>
      </c>
      <c r="AL7562" s="163">
        <v>7.0829473529325497</v>
      </c>
    </row>
    <row r="7563" spans="37:38" s="4" customFormat="1">
      <c r="AK7563" s="3">
        <v>7557</v>
      </c>
      <c r="AL7563" s="163">
        <v>7.0835087918437196</v>
      </c>
    </row>
    <row r="7564" spans="37:38" s="4" customFormat="1">
      <c r="AK7564" s="3">
        <v>7558</v>
      </c>
      <c r="AL7564" s="163">
        <v>7.0840701188526651</v>
      </c>
    </row>
    <row r="7565" spans="37:38" s="4" customFormat="1">
      <c r="AK7565" s="3">
        <v>7559</v>
      </c>
      <c r="AL7565" s="163">
        <v>7.0846313342969296</v>
      </c>
    </row>
    <row r="7566" spans="37:38" s="4" customFormat="1">
      <c r="AK7566" s="3">
        <v>7560</v>
      </c>
      <c r="AL7566" s="163">
        <v>7.085192438514639</v>
      </c>
    </row>
    <row r="7567" spans="37:38" s="4" customFormat="1">
      <c r="AK7567" s="3">
        <v>7561</v>
      </c>
      <c r="AL7567" s="163">
        <v>7.0857534318442532</v>
      </c>
    </row>
    <row r="7568" spans="37:38" s="4" customFormat="1">
      <c r="AK7568" s="3">
        <v>7562</v>
      </c>
      <c r="AL7568" s="163">
        <v>7.0863143146249215</v>
      </c>
    </row>
    <row r="7569" spans="37:38" s="4" customFormat="1">
      <c r="AK7569" s="3">
        <v>7563</v>
      </c>
      <c r="AL7569" s="163">
        <v>7.0868750871959065</v>
      </c>
    </row>
    <row r="7570" spans="37:38" s="4" customFormat="1">
      <c r="AK7570" s="3">
        <v>7564</v>
      </c>
      <c r="AL7570" s="163">
        <v>7.0874357498971818</v>
      </c>
    </row>
    <row r="7571" spans="37:38" s="4" customFormat="1">
      <c r="AK7571" s="3">
        <v>7565</v>
      </c>
      <c r="AL7571" s="163">
        <v>7.0879963030691826</v>
      </c>
    </row>
    <row r="7572" spans="37:38" s="4" customFormat="1">
      <c r="AK7572" s="3">
        <v>7566</v>
      </c>
      <c r="AL7572" s="163">
        <v>7.0885567470526567</v>
      </c>
    </row>
    <row r="7573" spans="37:38" s="4" customFormat="1">
      <c r="AK7573" s="3">
        <v>7567</v>
      </c>
      <c r="AL7573" s="163">
        <v>7.0891170821889133</v>
      </c>
    </row>
    <row r="7574" spans="37:38" s="4" customFormat="1">
      <c r="AK7574" s="3">
        <v>7568</v>
      </c>
      <c r="AL7574" s="163">
        <v>7.0896773088197307</v>
      </c>
    </row>
    <row r="7575" spans="37:38" s="4" customFormat="1">
      <c r="AK7575" s="3">
        <v>7569</v>
      </c>
      <c r="AL7575" s="163">
        <v>7.0902374272873061</v>
      </c>
    </row>
    <row r="7576" spans="37:38" s="4" customFormat="1">
      <c r="AK7576" s="3">
        <v>7570</v>
      </c>
      <c r="AL7576" s="163">
        <v>7.0907974379342633</v>
      </c>
    </row>
    <row r="7577" spans="37:38" s="4" customFormat="1">
      <c r="AK7577" s="3">
        <v>7571</v>
      </c>
      <c r="AL7577" s="163">
        <v>7.0913573411038371</v>
      </c>
    </row>
    <row r="7578" spans="37:38" s="4" customFormat="1">
      <c r="AK7578" s="3">
        <v>7572</v>
      </c>
      <c r="AL7578" s="163">
        <v>7.0919171371395322</v>
      </c>
    </row>
    <row r="7579" spans="37:38" s="4" customFormat="1">
      <c r="AK7579" s="3">
        <v>7573</v>
      </c>
      <c r="AL7579" s="163">
        <v>7.0924768263854716</v>
      </c>
    </row>
    <row r="7580" spans="37:38" s="4" customFormat="1">
      <c r="AK7580" s="3">
        <v>7574</v>
      </c>
      <c r="AL7580" s="163">
        <v>7.0930364091861691</v>
      </c>
    </row>
    <row r="7581" spans="37:38" s="4" customFormat="1">
      <c r="AK7581" s="3">
        <v>7575</v>
      </c>
      <c r="AL7581" s="163">
        <v>7.0935958858865291</v>
      </c>
    </row>
    <row r="7582" spans="37:38" s="4" customFormat="1">
      <c r="AK7582" s="3">
        <v>7576</v>
      </c>
      <c r="AL7582" s="163">
        <v>7.0941552568320958</v>
      </c>
    </row>
    <row r="7583" spans="37:38" s="4" customFormat="1">
      <c r="AK7583" s="3">
        <v>7577</v>
      </c>
      <c r="AL7583" s="163">
        <v>7.09471452236874</v>
      </c>
    </row>
    <row r="7584" spans="37:38" s="4" customFormat="1">
      <c r="AK7584" s="3">
        <v>7578</v>
      </c>
      <c r="AL7584" s="163">
        <v>7.0952736828428371</v>
      </c>
    </row>
    <row r="7585" spans="37:38" s="4" customFormat="1">
      <c r="AK7585" s="3">
        <v>7579</v>
      </c>
      <c r="AL7585" s="163">
        <v>7.0958327386011391</v>
      </c>
    </row>
    <row r="7586" spans="37:38" s="4" customFormat="1">
      <c r="AK7586" s="3">
        <v>7580</v>
      </c>
      <c r="AL7586" s="163">
        <v>7.0963916899910942</v>
      </c>
    </row>
    <row r="7587" spans="37:38" s="4" customFormat="1">
      <c r="AK7587" s="3">
        <v>7581</v>
      </c>
      <c r="AL7587" s="163">
        <v>7.0969505373603639</v>
      </c>
    </row>
    <row r="7588" spans="37:38" s="4" customFormat="1">
      <c r="AK7588" s="3">
        <v>7582</v>
      </c>
      <c r="AL7588" s="163">
        <v>7.0975092810571851</v>
      </c>
    </row>
    <row r="7589" spans="37:38" s="4" customFormat="1">
      <c r="AK7589" s="3">
        <v>7583</v>
      </c>
      <c r="AL7589" s="163">
        <v>7.0980679214302853</v>
      </c>
    </row>
    <row r="7590" spans="37:38" s="4" customFormat="1">
      <c r="AK7590" s="3">
        <v>7584</v>
      </c>
      <c r="AL7590" s="163">
        <v>7.0986264588287469</v>
      </c>
    </row>
    <row r="7591" spans="37:38" s="4" customFormat="1">
      <c r="AK7591" s="3">
        <v>7585</v>
      </c>
      <c r="AL7591" s="163">
        <v>7.099184893602235</v>
      </c>
    </row>
    <row r="7592" spans="37:38" s="4" customFormat="1">
      <c r="AK7592" s="3">
        <v>7586</v>
      </c>
      <c r="AL7592" s="163">
        <v>7.0997432261008129</v>
      </c>
    </row>
    <row r="7593" spans="37:38" s="4" customFormat="1">
      <c r="AK7593" s="3">
        <v>7587</v>
      </c>
      <c r="AL7593" s="163">
        <v>7.1003014566750338</v>
      </c>
    </row>
    <row r="7594" spans="37:38" s="4" customFormat="1">
      <c r="AK7594" s="3">
        <v>7588</v>
      </c>
      <c r="AL7594" s="163">
        <v>7.1008595856759413</v>
      </c>
    </row>
    <row r="7595" spans="37:38" s="4" customFormat="1">
      <c r="AK7595" s="3">
        <v>7589</v>
      </c>
      <c r="AL7595" s="163">
        <v>7.1014176134548421</v>
      </c>
    </row>
    <row r="7596" spans="37:38" s="4" customFormat="1">
      <c r="AK7596" s="3">
        <v>7590</v>
      </c>
      <c r="AL7596" s="163">
        <v>7.1019755403639167</v>
      </c>
    </row>
    <row r="7597" spans="37:38" s="4" customFormat="1">
      <c r="AK7597" s="3">
        <v>7591</v>
      </c>
      <c r="AL7597" s="163">
        <v>7.1025333667553951</v>
      </c>
    </row>
    <row r="7598" spans="37:38" s="4" customFormat="1">
      <c r="AK7598" s="3">
        <v>7592</v>
      </c>
      <c r="AL7598" s="163">
        <v>7.1030910929821758</v>
      </c>
    </row>
    <row r="7599" spans="37:38" s="4" customFormat="1">
      <c r="AK7599" s="3">
        <v>7593</v>
      </c>
      <c r="AL7599" s="163">
        <v>7.1036487193977393</v>
      </c>
    </row>
    <row r="7600" spans="37:38" s="4" customFormat="1">
      <c r="AK7600" s="3">
        <v>7594</v>
      </c>
      <c r="AL7600" s="163">
        <v>7.1042062463556164</v>
      </c>
    </row>
    <row r="7601" spans="37:38" s="4" customFormat="1">
      <c r="AK7601" s="3">
        <v>7595</v>
      </c>
      <c r="AL7601" s="163">
        <v>7.1047636742103535</v>
      </c>
    </row>
    <row r="7602" spans="37:38" s="4" customFormat="1">
      <c r="AK7602" s="3">
        <v>7596</v>
      </c>
      <c r="AL7602" s="163">
        <v>7.1053210033164262</v>
      </c>
    </row>
    <row r="7603" spans="37:38" s="4" customFormat="1">
      <c r="AK7603" s="3">
        <v>7597</v>
      </c>
      <c r="AL7603" s="163">
        <v>7.105878234029241</v>
      </c>
    </row>
    <row r="7604" spans="37:38" s="4" customFormat="1">
      <c r="AK7604" s="3">
        <v>7598</v>
      </c>
      <c r="AL7604" s="163">
        <v>7.1064353667043676</v>
      </c>
    </row>
    <row r="7605" spans="37:38" s="4" customFormat="1">
      <c r="AK7605" s="3">
        <v>7599</v>
      </c>
      <c r="AL7605" s="163">
        <v>7.1069924016979442</v>
      </c>
    </row>
    <row r="7606" spans="37:38" s="4" customFormat="1">
      <c r="AK7606" s="3">
        <v>7600</v>
      </c>
      <c r="AL7606" s="163">
        <v>7.1075493393665283</v>
      </c>
    </row>
    <row r="7607" spans="37:38" s="4" customFormat="1">
      <c r="AK7607" s="3">
        <v>7601</v>
      </c>
      <c r="AL7607" s="163">
        <v>7.1081061800672245</v>
      </c>
    </row>
    <row r="7608" spans="37:38" s="4" customFormat="1">
      <c r="AK7608" s="3">
        <v>7602</v>
      </c>
      <c r="AL7608" s="163">
        <v>7.1086629241576205</v>
      </c>
    </row>
    <row r="7609" spans="37:38" s="4" customFormat="1">
      <c r="AK7609" s="3">
        <v>7603</v>
      </c>
      <c r="AL7609" s="163">
        <v>7.1092195719956521</v>
      </c>
    </row>
    <row r="7610" spans="37:38" s="4" customFormat="1">
      <c r="AK7610" s="3">
        <v>7604</v>
      </c>
      <c r="AL7610" s="163">
        <v>7.109776123939767</v>
      </c>
    </row>
    <row r="7611" spans="37:38" s="4" customFormat="1">
      <c r="AK7611" s="3">
        <v>7605</v>
      </c>
      <c r="AL7611" s="163">
        <v>7.1103325803489383</v>
      </c>
    </row>
    <row r="7612" spans="37:38" s="4" customFormat="1">
      <c r="AK7612" s="3">
        <v>7606</v>
      </c>
      <c r="AL7612" s="163">
        <v>7.1108889415826297</v>
      </c>
    </row>
    <row r="7613" spans="37:38" s="4" customFormat="1">
      <c r="AK7613" s="3">
        <v>7607</v>
      </c>
      <c r="AL7613" s="163">
        <v>7.1114452080005748</v>
      </c>
    </row>
    <row r="7614" spans="37:38" s="4" customFormat="1">
      <c r="AK7614" s="3">
        <v>7608</v>
      </c>
      <c r="AL7614" s="163">
        <v>7.1120013799631607</v>
      </c>
    </row>
    <row r="7615" spans="37:38" s="4" customFormat="1">
      <c r="AK7615" s="3">
        <v>7609</v>
      </c>
      <c r="AL7615" s="163">
        <v>7.1125574578312936</v>
      </c>
    </row>
    <row r="7616" spans="37:38" s="4" customFormat="1">
      <c r="AK7616" s="3">
        <v>7610</v>
      </c>
      <c r="AL7616" s="163">
        <v>7.1131134419661208</v>
      </c>
    </row>
    <row r="7617" spans="37:38" s="4" customFormat="1">
      <c r="AK7617" s="3">
        <v>7611</v>
      </c>
      <c r="AL7617" s="163">
        <v>7.1136693327294367</v>
      </c>
    </row>
    <row r="7618" spans="37:38" s="4" customFormat="1">
      <c r="AK7618" s="3">
        <v>7612</v>
      </c>
      <c r="AL7618" s="163">
        <v>7.1142251304834616</v>
      </c>
    </row>
    <row r="7619" spans="37:38" s="4" customFormat="1">
      <c r="AK7619" s="3">
        <v>7613</v>
      </c>
      <c r="AL7619" s="163">
        <v>7.1147808355908495</v>
      </c>
    </row>
    <row r="7620" spans="37:38" s="4" customFormat="1">
      <c r="AK7620" s="3">
        <v>7614</v>
      </c>
      <c r="AL7620" s="163">
        <v>7.1153364484148653</v>
      </c>
    </row>
    <row r="7621" spans="37:38" s="4" customFormat="1">
      <c r="AK7621" s="3">
        <v>7615</v>
      </c>
      <c r="AL7621" s="163">
        <v>7.1158919693189304</v>
      </c>
    </row>
    <row r="7622" spans="37:38" s="4" customFormat="1">
      <c r="AK7622" s="3">
        <v>7616</v>
      </c>
      <c r="AL7622" s="163">
        <v>7.1164473986673045</v>
      </c>
    </row>
    <row r="7623" spans="37:38" s="4" customFormat="1">
      <c r="AK7623" s="3">
        <v>7617</v>
      </c>
      <c r="AL7623" s="163">
        <v>7.1170027368244959</v>
      </c>
    </row>
    <row r="7624" spans="37:38" s="4" customFormat="1">
      <c r="AK7624" s="3">
        <v>7618</v>
      </c>
      <c r="AL7624" s="163">
        <v>7.1175579841555106</v>
      </c>
    </row>
    <row r="7625" spans="37:38" s="4" customFormat="1">
      <c r="AK7625" s="3">
        <v>7619</v>
      </c>
      <c r="AL7625" s="163">
        <v>7.1181131410259013</v>
      </c>
    </row>
    <row r="7626" spans="37:38" s="4" customFormat="1">
      <c r="AK7626" s="3">
        <v>7620</v>
      </c>
      <c r="AL7626" s="163">
        <v>7.1186682078015906</v>
      </c>
    </row>
    <row r="7627" spans="37:38" s="4" customFormat="1">
      <c r="AK7627" s="3">
        <v>7621</v>
      </c>
      <c r="AL7627" s="163">
        <v>7.1192231848490621</v>
      </c>
    </row>
    <row r="7628" spans="37:38" s="4" customFormat="1">
      <c r="AK7628" s="3">
        <v>7622</v>
      </c>
      <c r="AL7628" s="163">
        <v>7.1197780725352047</v>
      </c>
    </row>
    <row r="7629" spans="37:38" s="4" customFormat="1">
      <c r="AK7629" s="3">
        <v>7623</v>
      </c>
      <c r="AL7629" s="163">
        <v>7.1203328712274541</v>
      </c>
    </row>
    <row r="7630" spans="37:38" s="4" customFormat="1">
      <c r="AK7630" s="3">
        <v>7624</v>
      </c>
      <c r="AL7630" s="163">
        <v>7.1208875812935517</v>
      </c>
    </row>
    <row r="7631" spans="37:38" s="4" customFormat="1">
      <c r="AK7631" s="3">
        <v>7625</v>
      </c>
      <c r="AL7631" s="163">
        <v>7.1214422031019353</v>
      </c>
    </row>
    <row r="7632" spans="37:38" s="4" customFormat="1">
      <c r="AK7632" s="3">
        <v>7626</v>
      </c>
      <c r="AL7632" s="163">
        <v>7.1219967370213553</v>
      </c>
    </row>
    <row r="7633" spans="37:38" s="4" customFormat="1">
      <c r="AK7633" s="3">
        <v>7627</v>
      </c>
      <c r="AL7633" s="163">
        <v>7.1225511834210806</v>
      </c>
    </row>
    <row r="7634" spans="37:38" s="4" customFormat="1">
      <c r="AK7634" s="3">
        <v>7628</v>
      </c>
      <c r="AL7634" s="163">
        <v>7.1231055426708849</v>
      </c>
    </row>
    <row r="7635" spans="37:38" s="4" customFormat="1">
      <c r="AK7635" s="3">
        <v>7629</v>
      </c>
      <c r="AL7635" s="163">
        <v>7.123659815140968</v>
      </c>
    </row>
    <row r="7636" spans="37:38" s="4" customFormat="1">
      <c r="AK7636" s="3">
        <v>7630</v>
      </c>
      <c r="AL7636" s="163">
        <v>7.1242140012019846</v>
      </c>
    </row>
    <row r="7637" spans="37:38" s="4" customFormat="1">
      <c r="AK7637" s="3">
        <v>7631</v>
      </c>
      <c r="AL7637" s="163">
        <v>7.1247681012252002</v>
      </c>
    </row>
    <row r="7638" spans="37:38" s="4" customFormat="1">
      <c r="AK7638" s="3">
        <v>7632</v>
      </c>
      <c r="AL7638" s="163">
        <v>7.1253221155820938</v>
      </c>
    </row>
    <row r="7639" spans="37:38" s="4" customFormat="1">
      <c r="AK7639" s="3">
        <v>7633</v>
      </c>
      <c r="AL7639" s="163">
        <v>7.1258760446448832</v>
      </c>
    </row>
    <row r="7640" spans="37:38" s="4" customFormat="1">
      <c r="AK7640" s="3">
        <v>7634</v>
      </c>
      <c r="AL7640" s="163">
        <v>7.1264298887860988</v>
      </c>
    </row>
    <row r="7641" spans="37:38" s="4" customFormat="1">
      <c r="AK7641" s="3">
        <v>7635</v>
      </c>
      <c r="AL7641" s="163">
        <v>7.1269836483788538</v>
      </c>
    </row>
    <row r="7642" spans="37:38" s="4" customFormat="1">
      <c r="AK7642" s="3">
        <v>7636</v>
      </c>
      <c r="AL7642" s="163">
        <v>7.1275373237965312</v>
      </c>
    </row>
    <row r="7643" spans="37:38" s="4" customFormat="1">
      <c r="AK7643" s="3">
        <v>7637</v>
      </c>
      <c r="AL7643" s="163">
        <v>7.1280909154132814</v>
      </c>
    </row>
    <row r="7644" spans="37:38" s="4" customFormat="1">
      <c r="AK7644" s="3">
        <v>7638</v>
      </c>
      <c r="AL7644" s="163">
        <v>7.1286444236035607</v>
      </c>
    </row>
    <row r="7645" spans="37:38" s="4" customFormat="1">
      <c r="AK7645" s="3">
        <v>7639</v>
      </c>
      <c r="AL7645" s="163">
        <v>7.1291978487421943</v>
      </c>
    </row>
    <row r="7646" spans="37:38" s="4" customFormat="1">
      <c r="AK7646" s="3">
        <v>7640</v>
      </c>
      <c r="AL7646" s="163">
        <v>7.1297511912047398</v>
      </c>
    </row>
    <row r="7647" spans="37:38" s="4" customFormat="1">
      <c r="AK7647" s="3">
        <v>7641</v>
      </c>
      <c r="AL7647" s="163">
        <v>7.1303044513670244</v>
      </c>
    </row>
    <row r="7648" spans="37:38" s="4" customFormat="1">
      <c r="AK7648" s="3">
        <v>7642</v>
      </c>
      <c r="AL7648" s="163">
        <v>7.1308576296054014</v>
      </c>
    </row>
    <row r="7649" spans="37:38" s="4" customFormat="1">
      <c r="AK7649" s="3">
        <v>7643</v>
      </c>
      <c r="AL7649" s="163">
        <v>7.1314107262967852</v>
      </c>
    </row>
    <row r="7650" spans="37:38" s="4" customFormat="1">
      <c r="AK7650" s="3">
        <v>7644</v>
      </c>
      <c r="AL7650" s="163">
        <v>7.1319637418184243</v>
      </c>
    </row>
    <row r="7651" spans="37:38" s="4" customFormat="1">
      <c r="AK7651" s="3">
        <v>7645</v>
      </c>
      <c r="AL7651" s="163">
        <v>7.1325166765481569</v>
      </c>
    </row>
    <row r="7652" spans="37:38" s="4" customFormat="1">
      <c r="AK7652" s="3">
        <v>7646</v>
      </c>
      <c r="AL7652" s="163">
        <v>7.1330695308642618</v>
      </c>
    </row>
    <row r="7653" spans="37:38" s="4" customFormat="1">
      <c r="AK7653" s="3">
        <v>7647</v>
      </c>
      <c r="AL7653" s="163">
        <v>7.1336223051453871</v>
      </c>
    </row>
    <row r="7654" spans="37:38" s="4" customFormat="1">
      <c r="AK7654" s="3">
        <v>7648</v>
      </c>
      <c r="AL7654" s="163">
        <v>7.1341749997708988</v>
      </c>
    </row>
    <row r="7655" spans="37:38" s="4" customFormat="1">
      <c r="AK7655" s="3">
        <v>7649</v>
      </c>
      <c r="AL7655" s="163">
        <v>7.1347276151203616</v>
      </c>
    </row>
    <row r="7656" spans="37:38" s="4" customFormat="1">
      <c r="AK7656" s="3">
        <v>7650</v>
      </c>
      <c r="AL7656" s="163">
        <v>7.1352801515740367</v>
      </c>
    </row>
    <row r="7657" spans="37:38" s="4" customFormat="1">
      <c r="AK7657" s="3">
        <v>7651</v>
      </c>
      <c r="AL7657" s="163">
        <v>7.135832609512569</v>
      </c>
    </row>
    <row r="7658" spans="37:38" s="4" customFormat="1">
      <c r="AK7658" s="3">
        <v>7652</v>
      </c>
      <c r="AL7658" s="163">
        <v>7.1363849893169728</v>
      </c>
    </row>
    <row r="7659" spans="37:38" s="4" customFormat="1">
      <c r="AK7659" s="3">
        <v>7653</v>
      </c>
      <c r="AL7659" s="163">
        <v>7.1369372913689872</v>
      </c>
    </row>
    <row r="7660" spans="37:38" s="4" customFormat="1">
      <c r="AK7660" s="3">
        <v>7654</v>
      </c>
      <c r="AL7660" s="163">
        <v>7.1374895160506426</v>
      </c>
    </row>
    <row r="7661" spans="37:38" s="4" customFormat="1">
      <c r="AK7661" s="3">
        <v>7655</v>
      </c>
      <c r="AL7661" s="163">
        <v>7.1380416637444384</v>
      </c>
    </row>
    <row r="7662" spans="37:38" s="4" customFormat="1">
      <c r="AK7662" s="3">
        <v>7656</v>
      </c>
      <c r="AL7662" s="163">
        <v>7.1385937348335133</v>
      </c>
    </row>
    <row r="7663" spans="37:38" s="4" customFormat="1">
      <c r="AK7663" s="3">
        <v>7657</v>
      </c>
      <c r="AL7663" s="163">
        <v>7.1391457297012977</v>
      </c>
    </row>
    <row r="7664" spans="37:38" s="4" customFormat="1">
      <c r="AK7664" s="3">
        <v>7658</v>
      </c>
      <c r="AL7664" s="163">
        <v>7.1396976487317616</v>
      </c>
    </row>
    <row r="7665" spans="37:38" s="4" customFormat="1">
      <c r="AK7665" s="3">
        <v>7659</v>
      </c>
      <c r="AL7665" s="163">
        <v>7.1402494923094793</v>
      </c>
    </row>
    <row r="7666" spans="37:38" s="4" customFormat="1">
      <c r="AK7666" s="3">
        <v>7660</v>
      </c>
      <c r="AL7666" s="163">
        <v>7.1408012608192664</v>
      </c>
    </row>
    <row r="7667" spans="37:38" s="4" customFormat="1">
      <c r="AK7667" s="3">
        <v>7661</v>
      </c>
      <c r="AL7667" s="163">
        <v>7.1413529546465995</v>
      </c>
    </row>
    <row r="7668" spans="37:38" s="4" customFormat="1">
      <c r="AK7668" s="3">
        <v>7662</v>
      </c>
      <c r="AL7668" s="163">
        <v>7.1419045741773886</v>
      </c>
    </row>
    <row r="7669" spans="37:38" s="4" customFormat="1">
      <c r="AK7669" s="3">
        <v>7663</v>
      </c>
      <c r="AL7669" s="163">
        <v>7.1424561197979841</v>
      </c>
    </row>
    <row r="7670" spans="37:38" s="4" customFormat="1">
      <c r="AK7670" s="3">
        <v>7664</v>
      </c>
      <c r="AL7670" s="163">
        <v>7.1430075918952696</v>
      </c>
    </row>
    <row r="7671" spans="37:38" s="4" customFormat="1">
      <c r="AK7671" s="3">
        <v>7665</v>
      </c>
      <c r="AL7671" s="163">
        <v>7.1435589908565262</v>
      </c>
    </row>
    <row r="7672" spans="37:38" s="4" customFormat="1">
      <c r="AK7672" s="3">
        <v>7666</v>
      </c>
      <c r="AL7672" s="163">
        <v>7.1441103170696536</v>
      </c>
    </row>
    <row r="7673" spans="37:38" s="4" customFormat="1">
      <c r="AK7673" s="3">
        <v>7667</v>
      </c>
      <c r="AL7673" s="163">
        <v>7.1446615709228709</v>
      </c>
    </row>
    <row r="7674" spans="37:38" s="4" customFormat="1">
      <c r="AK7674" s="3">
        <v>7668</v>
      </c>
      <c r="AL7674" s="163">
        <v>7.1452127528049161</v>
      </c>
    </row>
    <row r="7675" spans="37:38" s="4" customFormat="1">
      <c r="AK7675" s="3">
        <v>7669</v>
      </c>
      <c r="AL7675" s="163">
        <v>7.1457638631051452</v>
      </c>
    </row>
    <row r="7676" spans="37:38" s="4" customFormat="1">
      <c r="AK7676" s="3">
        <v>7670</v>
      </c>
      <c r="AL7676" s="163">
        <v>7.1463149022132697</v>
      </c>
    </row>
    <row r="7677" spans="37:38" s="4" customFormat="1">
      <c r="AK7677" s="3">
        <v>7671</v>
      </c>
      <c r="AL7677" s="163">
        <v>7.146865870519477</v>
      </c>
    </row>
    <row r="7678" spans="37:38" s="4" customFormat="1">
      <c r="AK7678" s="3">
        <v>7672</v>
      </c>
      <c r="AL7678" s="163">
        <v>7.1474167684144163</v>
      </c>
    </row>
    <row r="7679" spans="37:38" s="4" customFormat="1">
      <c r="AK7679" s="3">
        <v>7673</v>
      </c>
      <c r="AL7679" s="163">
        <v>7.147967596289277</v>
      </c>
    </row>
    <row r="7680" spans="37:38" s="4" customFormat="1">
      <c r="AK7680" s="3">
        <v>7674</v>
      </c>
      <c r="AL7680" s="163">
        <v>7.1485183545357174</v>
      </c>
    </row>
    <row r="7681" spans="37:38" s="4" customFormat="1">
      <c r="AK7681" s="3">
        <v>7675</v>
      </c>
      <c r="AL7681" s="163">
        <v>7.1490690435459214</v>
      </c>
    </row>
    <row r="7682" spans="37:38" s="4" customFormat="1">
      <c r="AK7682" s="3">
        <v>7676</v>
      </c>
      <c r="AL7682" s="163">
        <v>7.1496196637124356</v>
      </c>
    </row>
    <row r="7683" spans="37:38" s="4" customFormat="1">
      <c r="AK7683" s="3">
        <v>7677</v>
      </c>
      <c r="AL7683" s="163">
        <v>7.1501702154283606</v>
      </c>
    </row>
    <row r="7684" spans="37:38" s="4" customFormat="1">
      <c r="AK7684" s="3">
        <v>7678</v>
      </c>
      <c r="AL7684" s="163">
        <v>7.1507206990873016</v>
      </c>
    </row>
    <row r="7685" spans="37:38" s="4" customFormat="1">
      <c r="AK7685" s="3">
        <v>7679</v>
      </c>
      <c r="AL7685" s="163">
        <v>7.1512711150832615</v>
      </c>
    </row>
    <row r="7686" spans="37:38" s="4" customFormat="1">
      <c r="AK7686" s="3">
        <v>7680</v>
      </c>
      <c r="AL7686" s="163">
        <v>7.1518214638108617</v>
      </c>
    </row>
    <row r="7687" spans="37:38" s="4" customFormat="1">
      <c r="AK7687" s="3">
        <v>7681</v>
      </c>
      <c r="AL7687" s="163">
        <v>7.1523717456650076</v>
      </c>
    </row>
    <row r="7688" spans="37:38" s="4" customFormat="1">
      <c r="AK7688" s="3">
        <v>7682</v>
      </c>
      <c r="AL7688" s="163">
        <v>7.1529219610413577</v>
      </c>
    </row>
    <row r="7689" spans="37:38" s="4" customFormat="1">
      <c r="AK7689" s="3">
        <v>7683</v>
      </c>
      <c r="AL7689" s="163">
        <v>7.1534721103357271</v>
      </c>
    </row>
    <row r="7690" spans="37:38" s="4" customFormat="1">
      <c r="AK7690" s="3">
        <v>7684</v>
      </c>
      <c r="AL7690" s="163">
        <v>7.1540221939446837</v>
      </c>
    </row>
    <row r="7691" spans="37:38" s="4" customFormat="1">
      <c r="AK7691" s="3">
        <v>7685</v>
      </c>
      <c r="AL7691" s="163">
        <v>7.1545722122651014</v>
      </c>
    </row>
    <row r="7692" spans="37:38" s="4" customFormat="1">
      <c r="AK7692" s="3">
        <v>7686</v>
      </c>
      <c r="AL7692" s="163">
        <v>7.1551221656945145</v>
      </c>
    </row>
    <row r="7693" spans="37:38" s="4" customFormat="1">
      <c r="AK7693" s="3">
        <v>7687</v>
      </c>
      <c r="AL7693" s="163">
        <v>7.1556720546307488</v>
      </c>
    </row>
    <row r="7694" spans="37:38" s="4" customFormat="1">
      <c r="AK7694" s="3">
        <v>7688</v>
      </c>
      <c r="AL7694" s="163">
        <v>7.1562218794722057</v>
      </c>
    </row>
    <row r="7695" spans="37:38" s="4" customFormat="1">
      <c r="AK7695" s="3">
        <v>7689</v>
      </c>
      <c r="AL7695" s="163">
        <v>7.1567716406177766</v>
      </c>
    </row>
    <row r="7696" spans="37:38" s="4" customFormat="1">
      <c r="AK7696" s="3">
        <v>7690</v>
      </c>
      <c r="AL7696" s="163">
        <v>7.157321338466879</v>
      </c>
    </row>
    <row r="7697" spans="37:38" s="4" customFormat="1">
      <c r="AK7697" s="3">
        <v>7691</v>
      </c>
      <c r="AL7697" s="163">
        <v>7.1578709734192643</v>
      </c>
    </row>
    <row r="7698" spans="37:38" s="4" customFormat="1">
      <c r="AK7698" s="3">
        <v>7692</v>
      </c>
      <c r="AL7698" s="163">
        <v>7.1584205458753942</v>
      </c>
    </row>
    <row r="7699" spans="37:38" s="4" customFormat="1">
      <c r="AK7699" s="3">
        <v>7693</v>
      </c>
      <c r="AL7699" s="163">
        <v>7.158970056235944</v>
      </c>
    </row>
    <row r="7700" spans="37:38" s="4" customFormat="1">
      <c r="AK7700" s="3">
        <v>7694</v>
      </c>
      <c r="AL7700" s="163">
        <v>7.1595195049022493</v>
      </c>
    </row>
    <row r="7701" spans="37:38" s="4" customFormat="1">
      <c r="AK7701" s="3">
        <v>7695</v>
      </c>
      <c r="AL7701" s="163">
        <v>7.1600688922760725</v>
      </c>
    </row>
    <row r="7702" spans="37:38" s="4" customFormat="1">
      <c r="AK7702" s="3">
        <v>7696</v>
      </c>
      <c r="AL7702" s="163">
        <v>7.1606182187597582</v>
      </c>
    </row>
    <row r="7703" spans="37:38" s="4" customFormat="1">
      <c r="AK7703" s="3">
        <v>7697</v>
      </c>
      <c r="AL7703" s="163">
        <v>7.1611674847560067</v>
      </c>
    </row>
    <row r="7704" spans="37:38" s="4" customFormat="1">
      <c r="AK7704" s="3">
        <v>7698</v>
      </c>
      <c r="AL7704" s="163">
        <v>7.1617166906681078</v>
      </c>
    </row>
    <row r="7705" spans="37:38" s="4" customFormat="1">
      <c r="AK7705" s="3">
        <v>7699</v>
      </c>
      <c r="AL7705" s="163">
        <v>7.1622658368996355</v>
      </c>
    </row>
    <row r="7706" spans="37:38" s="4" customFormat="1">
      <c r="AK7706" s="3">
        <v>7700</v>
      </c>
      <c r="AL7706" s="163">
        <v>7.1628149238549454</v>
      </c>
    </row>
    <row r="7707" spans="37:38" s="4" customFormat="1">
      <c r="AK7707" s="3">
        <v>7701</v>
      </c>
      <c r="AL7707" s="163">
        <v>7.1633639519386847</v>
      </c>
    </row>
    <row r="7708" spans="37:38" s="4" customFormat="1">
      <c r="AK7708" s="3">
        <v>7702</v>
      </c>
      <c r="AL7708" s="163">
        <v>7.1639129215559407</v>
      </c>
    </row>
    <row r="7709" spans="37:38" s="4" customFormat="1">
      <c r="AK7709" s="3">
        <v>7703</v>
      </c>
      <c r="AL7709" s="163">
        <v>7.1644618331125329</v>
      </c>
    </row>
    <row r="7710" spans="37:38" s="4" customFormat="1">
      <c r="AK7710" s="3">
        <v>7704</v>
      </c>
      <c r="AL7710" s="163">
        <v>7.1650106870145436</v>
      </c>
    </row>
    <row r="7711" spans="37:38" s="4" customFormat="1">
      <c r="AK7711" s="3">
        <v>7705</v>
      </c>
      <c r="AL7711" s="163">
        <v>7.1655594836685808</v>
      </c>
    </row>
    <row r="7712" spans="37:38" s="4" customFormat="1">
      <c r="AK7712" s="3">
        <v>7706</v>
      </c>
      <c r="AL7712" s="163">
        <v>7.1661082234816789</v>
      </c>
    </row>
    <row r="7713" spans="37:38" s="4" customFormat="1">
      <c r="AK7713" s="3">
        <v>7707</v>
      </c>
      <c r="AL7713" s="163">
        <v>7.1666569068616468</v>
      </c>
    </row>
    <row r="7714" spans="37:38" s="4" customFormat="1">
      <c r="AK7714" s="3">
        <v>7708</v>
      </c>
      <c r="AL7714" s="163">
        <v>7.1672055342164356</v>
      </c>
    </row>
    <row r="7715" spans="37:38" s="4" customFormat="1">
      <c r="AK7715" s="3">
        <v>7709</v>
      </c>
      <c r="AL7715" s="163">
        <v>7.1677541059546428</v>
      </c>
    </row>
    <row r="7716" spans="37:38" s="4" customFormat="1">
      <c r="AK7716" s="3">
        <v>7710</v>
      </c>
      <c r="AL7716" s="163">
        <v>7.1683026224854203</v>
      </c>
    </row>
    <row r="7717" spans="37:38" s="4" customFormat="1">
      <c r="AK7717" s="3">
        <v>7711</v>
      </c>
      <c r="AL7717" s="163">
        <v>7.1688510842182325</v>
      </c>
    </row>
    <row r="7718" spans="37:38" s="4" customFormat="1">
      <c r="AK7718" s="3">
        <v>7712</v>
      </c>
      <c r="AL7718" s="163">
        <v>7.1693994915631265</v>
      </c>
    </row>
    <row r="7719" spans="37:38" s="4" customFormat="1">
      <c r="AK7719" s="3">
        <v>7713</v>
      </c>
      <c r="AL7719" s="163">
        <v>7.1699478449306966</v>
      </c>
    </row>
    <row r="7720" spans="37:38" s="4" customFormat="1">
      <c r="AK7720" s="3">
        <v>7714</v>
      </c>
      <c r="AL7720" s="163">
        <v>7.170496144731878</v>
      </c>
    </row>
    <row r="7721" spans="37:38" s="4" customFormat="1">
      <c r="AK7721" s="3">
        <v>7715</v>
      </c>
      <c r="AL7721" s="163">
        <v>7.1710443913782242</v>
      </c>
    </row>
    <row r="7722" spans="37:38" s="4" customFormat="1">
      <c r="AK7722" s="3">
        <v>7716</v>
      </c>
      <c r="AL7722" s="163">
        <v>7.1715925852817222</v>
      </c>
    </row>
    <row r="7723" spans="37:38" s="4" customFormat="1">
      <c r="AK7723" s="3">
        <v>7717</v>
      </c>
      <c r="AL7723" s="163">
        <v>7.1721407268548489</v>
      </c>
    </row>
    <row r="7724" spans="37:38" s="4" customFormat="1">
      <c r="AK7724" s="3">
        <v>7718</v>
      </c>
      <c r="AL7724" s="163">
        <v>7.172688816510572</v>
      </c>
    </row>
    <row r="7725" spans="37:38" s="4" customFormat="1">
      <c r="AK7725" s="3">
        <v>7719</v>
      </c>
      <c r="AL7725" s="163">
        <v>7.1732368546623277</v>
      </c>
    </row>
    <row r="7726" spans="37:38" s="4" customFormat="1">
      <c r="AK7726" s="3">
        <v>7720</v>
      </c>
      <c r="AL7726" s="163">
        <v>7.1737848417241068</v>
      </c>
    </row>
    <row r="7727" spans="37:38" s="4" customFormat="1">
      <c r="AK7727" s="3">
        <v>7721</v>
      </c>
      <c r="AL7727" s="163">
        <v>7.1743327781102977</v>
      </c>
    </row>
    <row r="7728" spans="37:38" s="4" customFormat="1">
      <c r="AK7728" s="3">
        <v>7722</v>
      </c>
      <c r="AL7728" s="163">
        <v>7.1748806642358929</v>
      </c>
    </row>
    <row r="7729" spans="37:38" s="4" customFormat="1">
      <c r="AK7729" s="3">
        <v>7723</v>
      </c>
      <c r="AL7729" s="163">
        <v>7.1754285005162757</v>
      </c>
    </row>
    <row r="7730" spans="37:38" s="4" customFormat="1">
      <c r="AK7730" s="3">
        <v>7724</v>
      </c>
      <c r="AL7730" s="163">
        <v>7.1759762873673054</v>
      </c>
    </row>
    <row r="7731" spans="37:38" s="4" customFormat="1">
      <c r="AK7731" s="3">
        <v>7725</v>
      </c>
      <c r="AL7731" s="163">
        <v>7.1765240252054312</v>
      </c>
    </row>
    <row r="7732" spans="37:38" s="4" customFormat="1">
      <c r="AK7732" s="3">
        <v>7726</v>
      </c>
      <c r="AL7732" s="163">
        <v>7.1770717144475284</v>
      </c>
    </row>
    <row r="7733" spans="37:38" s="4" customFormat="1">
      <c r="AK7733" s="3">
        <v>7727</v>
      </c>
      <c r="AL7733" s="163">
        <v>7.1776193555109415</v>
      </c>
    </row>
    <row r="7734" spans="37:38" s="4" customFormat="1">
      <c r="AK7734" s="3">
        <v>7728</v>
      </c>
      <c r="AL7734" s="163">
        <v>7.1781669488135265</v>
      </c>
    </row>
    <row r="7735" spans="37:38" s="4" customFormat="1">
      <c r="AK7735" s="3">
        <v>7729</v>
      </c>
      <c r="AL7735" s="163">
        <v>7.1787144947737431</v>
      </c>
    </row>
    <row r="7736" spans="37:38" s="4" customFormat="1">
      <c r="AK7736" s="3">
        <v>7730</v>
      </c>
      <c r="AL7736" s="163">
        <v>7.1792619938103144</v>
      </c>
    </row>
    <row r="7737" spans="37:38" s="4" customFormat="1">
      <c r="AK7737" s="3">
        <v>7731</v>
      </c>
      <c r="AL7737" s="163">
        <v>7.1798094463426096</v>
      </c>
    </row>
    <row r="7738" spans="37:38" s="4" customFormat="1">
      <c r="AK7738" s="3">
        <v>7732</v>
      </c>
      <c r="AL7738" s="163">
        <v>7.1803568527904744</v>
      </c>
    </row>
    <row r="7739" spans="37:38" s="4" customFormat="1">
      <c r="AK7739" s="3">
        <v>7733</v>
      </c>
      <c r="AL7739" s="163">
        <v>7.18090421357428</v>
      </c>
    </row>
    <row r="7740" spans="37:38" s="4" customFormat="1">
      <c r="AK7740" s="3">
        <v>7734</v>
      </c>
      <c r="AL7740" s="163">
        <v>7.1814515291147458</v>
      </c>
    </row>
    <row r="7741" spans="37:38" s="4" customFormat="1">
      <c r="AK7741" s="3">
        <v>7735</v>
      </c>
      <c r="AL7741" s="163">
        <v>7.1819987998331669</v>
      </c>
    </row>
    <row r="7742" spans="37:38" s="4" customFormat="1">
      <c r="AK7742" s="3">
        <v>7736</v>
      </c>
      <c r="AL7742" s="163">
        <v>7.182546026151428</v>
      </c>
    </row>
    <row r="7743" spans="37:38" s="4" customFormat="1">
      <c r="AK7743" s="3">
        <v>7737</v>
      </c>
      <c r="AL7743" s="163">
        <v>7.1830932084917549</v>
      </c>
    </row>
    <row r="7744" spans="37:38" s="4" customFormat="1">
      <c r="AK7744" s="3">
        <v>7738</v>
      </c>
      <c r="AL7744" s="163">
        <v>7.1836403472769206</v>
      </c>
    </row>
    <row r="7745" spans="37:38" s="4" customFormat="1">
      <c r="AK7745" s="3">
        <v>7739</v>
      </c>
      <c r="AL7745" s="163">
        <v>7.1841874429302308</v>
      </c>
    </row>
    <row r="7746" spans="37:38" s="4" customFormat="1">
      <c r="AK7746" s="3">
        <v>7740</v>
      </c>
      <c r="AL7746" s="163">
        <v>7.1847344958754107</v>
      </c>
    </row>
    <row r="7747" spans="37:38" s="4" customFormat="1">
      <c r="AK7747" s="3">
        <v>7741</v>
      </c>
      <c r="AL7747" s="163">
        <v>7.1852815065367324</v>
      </c>
    </row>
    <row r="7748" spans="37:38" s="4" customFormat="1">
      <c r="AK7748" s="3">
        <v>7742</v>
      </c>
      <c r="AL7748" s="163">
        <v>7.1858284753389441</v>
      </c>
    </row>
    <row r="7749" spans="37:38" s="4" customFormat="1">
      <c r="AK7749" s="3">
        <v>7743</v>
      </c>
      <c r="AL7749" s="163">
        <v>7.1863754027072702</v>
      </c>
    </row>
    <row r="7750" spans="37:38" s="4" customFormat="1">
      <c r="AK7750" s="3">
        <v>7744</v>
      </c>
      <c r="AL7750" s="163">
        <v>7.1869222890674536</v>
      </c>
    </row>
    <row r="7751" spans="37:38" s="4" customFormat="1">
      <c r="AK7751" s="3">
        <v>7745</v>
      </c>
      <c r="AL7751" s="163">
        <v>7.1874691348457489</v>
      </c>
    </row>
    <row r="7752" spans="37:38" s="4" customFormat="1">
      <c r="AK7752" s="3">
        <v>7746</v>
      </c>
      <c r="AL7752" s="163">
        <v>7.1880159404688655</v>
      </c>
    </row>
    <row r="7753" spans="37:38" s="4" customFormat="1">
      <c r="AK7753" s="3">
        <v>7747</v>
      </c>
      <c r="AL7753" s="163">
        <v>7.1885627063639888</v>
      </c>
    </row>
    <row r="7754" spans="37:38" s="4" customFormat="1">
      <c r="AK7754" s="3">
        <v>7748</v>
      </c>
      <c r="AL7754" s="163">
        <v>7.1891094329588299</v>
      </c>
    </row>
    <row r="7755" spans="37:38" s="4" customFormat="1">
      <c r="AK7755" s="3">
        <v>7749</v>
      </c>
      <c r="AL7755" s="163">
        <v>7.1896561206816614</v>
      </c>
    </row>
    <row r="7756" spans="37:38" s="4" customFormat="1">
      <c r="AK7756" s="3">
        <v>7750</v>
      </c>
      <c r="AL7756" s="163">
        <v>7.190202769961104</v>
      </c>
    </row>
    <row r="7757" spans="37:38" s="4" customFormat="1">
      <c r="AK7757" s="3">
        <v>7751</v>
      </c>
      <c r="AL7757" s="163">
        <v>7.1907493812263681</v>
      </c>
    </row>
    <row r="7758" spans="37:38" s="4" customFormat="1">
      <c r="AK7758" s="3">
        <v>7752</v>
      </c>
      <c r="AL7758" s="163">
        <v>7.1912959549071687</v>
      </c>
    </row>
    <row r="7759" spans="37:38" s="4" customFormat="1">
      <c r="AK7759" s="3">
        <v>7753</v>
      </c>
      <c r="AL7759" s="163">
        <v>7.1918424914336043</v>
      </c>
    </row>
    <row r="7760" spans="37:38" s="4" customFormat="1">
      <c r="AK7760" s="3">
        <v>7754</v>
      </c>
      <c r="AL7760" s="163">
        <v>7.19238899123647</v>
      </c>
    </row>
    <row r="7761" spans="37:38" s="4" customFormat="1">
      <c r="AK7761" s="3">
        <v>7755</v>
      </c>
      <c r="AL7761" s="163">
        <v>7.1929354547468733</v>
      </c>
    </row>
    <row r="7762" spans="37:38" s="4" customFormat="1">
      <c r="AK7762" s="3">
        <v>7756</v>
      </c>
      <c r="AL7762" s="163">
        <v>7.1934818823964974</v>
      </c>
    </row>
    <row r="7763" spans="37:38" s="4" customFormat="1">
      <c r="AK7763" s="3">
        <v>7757</v>
      </c>
      <c r="AL7763" s="163">
        <v>7.1940282746174873</v>
      </c>
    </row>
    <row r="7764" spans="37:38" s="4" customFormat="1">
      <c r="AK7764" s="3">
        <v>7758</v>
      </c>
      <c r="AL7764" s="163">
        <v>7.1945746318425137</v>
      </c>
    </row>
    <row r="7765" spans="37:38" s="4" customFormat="1">
      <c r="AK7765" s="3">
        <v>7759</v>
      </c>
      <c r="AL7765" s="163">
        <v>7.1951209545047234</v>
      </c>
    </row>
    <row r="7766" spans="37:38" s="4" customFormat="1">
      <c r="AK7766" s="3">
        <v>7760</v>
      </c>
      <c r="AL7766" s="163">
        <v>7.1956672430378035</v>
      </c>
    </row>
    <row r="7767" spans="37:38" s="4" customFormat="1">
      <c r="AK7767" s="3">
        <v>7761</v>
      </c>
      <c r="AL7767" s="163">
        <v>7.1962134978758101</v>
      </c>
    </row>
    <row r="7768" spans="37:38" s="4" customFormat="1">
      <c r="AK7768" s="3">
        <v>7762</v>
      </c>
      <c r="AL7768" s="163">
        <v>7.1967597194534889</v>
      </c>
    </row>
    <row r="7769" spans="37:38" s="4" customFormat="1">
      <c r="AK7769" s="3">
        <v>7763</v>
      </c>
      <c r="AL7769" s="163">
        <v>7.1973059082059834</v>
      </c>
    </row>
    <row r="7770" spans="37:38" s="4" customFormat="1">
      <c r="AK7770" s="3">
        <v>7764</v>
      </c>
      <c r="AL7770" s="163">
        <v>7.197852064568842</v>
      </c>
    </row>
    <row r="7771" spans="37:38" s="4" customFormat="1">
      <c r="AK7771" s="3">
        <v>7765</v>
      </c>
      <c r="AL7771" s="163">
        <v>7.19839818897821</v>
      </c>
    </row>
    <row r="7772" spans="37:38" s="4" customFormat="1">
      <c r="AK7772" s="3">
        <v>7766</v>
      </c>
      <c r="AL7772" s="163">
        <v>7.1989442818708227</v>
      </c>
    </row>
    <row r="7773" spans="37:38" s="4" customFormat="1">
      <c r="AK7773" s="3">
        <v>7767</v>
      </c>
      <c r="AL7773" s="163">
        <v>7.1994903436836779</v>
      </c>
    </row>
    <row r="7774" spans="37:38" s="4" customFormat="1">
      <c r="AK7774" s="3">
        <v>7768</v>
      </c>
      <c r="AL7774" s="163">
        <v>7.2000363748544984</v>
      </c>
    </row>
    <row r="7775" spans="37:38" s="4" customFormat="1">
      <c r="AK7775" s="3">
        <v>7769</v>
      </c>
      <c r="AL7775" s="163">
        <v>7.200582375821412</v>
      </c>
    </row>
    <row r="7776" spans="37:38" s="4" customFormat="1">
      <c r="AK7776" s="3">
        <v>7770</v>
      </c>
      <c r="AL7776" s="163">
        <v>7.2011283470229515</v>
      </c>
    </row>
    <row r="7777" spans="37:38" s="4" customFormat="1">
      <c r="AK7777" s="3">
        <v>7771</v>
      </c>
      <c r="AL7777" s="163">
        <v>7.2016742888983387</v>
      </c>
    </row>
    <row r="7778" spans="37:38" s="4" customFormat="1">
      <c r="AK7778" s="3">
        <v>7772</v>
      </c>
      <c r="AL7778" s="163">
        <v>7.2022202018871155</v>
      </c>
    </row>
    <row r="7779" spans="37:38" s="4" customFormat="1">
      <c r="AK7779" s="3">
        <v>7773</v>
      </c>
      <c r="AL7779" s="163">
        <v>7.2027660864294418</v>
      </c>
    </row>
    <row r="7780" spans="37:38" s="4" customFormat="1">
      <c r="AK7780" s="3">
        <v>7774</v>
      </c>
      <c r="AL7780" s="163">
        <v>7.203311942965918</v>
      </c>
    </row>
    <row r="7781" spans="37:38" s="4" customFormat="1">
      <c r="AK7781" s="3">
        <v>7775</v>
      </c>
      <c r="AL7781" s="163">
        <v>7.2038577719376491</v>
      </c>
    </row>
    <row r="7782" spans="37:38" s="4" customFormat="1">
      <c r="AK7782" s="3">
        <v>7776</v>
      </c>
      <c r="AL7782" s="163">
        <v>7.2044035737863013</v>
      </c>
    </row>
    <row r="7783" spans="37:38" s="4" customFormat="1">
      <c r="AK7783" s="3">
        <v>7777</v>
      </c>
      <c r="AL7783" s="163">
        <v>7.2049493489539316</v>
      </c>
    </row>
    <row r="7784" spans="37:38" s="4" customFormat="1">
      <c r="AK7784" s="3">
        <v>7778</v>
      </c>
      <c r="AL7784" s="163">
        <v>7.2054950978832082</v>
      </c>
    </row>
    <row r="7785" spans="37:38" s="4" customFormat="1">
      <c r="AK7785" s="3">
        <v>7779</v>
      </c>
      <c r="AL7785" s="163">
        <v>7.2060408210171687</v>
      </c>
    </row>
    <row r="7786" spans="37:38" s="4" customFormat="1">
      <c r="AK7786" s="3">
        <v>7780</v>
      </c>
      <c r="AL7786" s="163">
        <v>7.206586518799476</v>
      </c>
    </row>
    <row r="7787" spans="37:38" s="4" customFormat="1">
      <c r="AK7787" s="3">
        <v>7781</v>
      </c>
      <c r="AL7787" s="163">
        <v>7.2071321916742406</v>
      </c>
    </row>
    <row r="7788" spans="37:38" s="4" customFormat="1">
      <c r="AK7788" s="3">
        <v>7782</v>
      </c>
      <c r="AL7788" s="163">
        <v>7.2076778400861201</v>
      </c>
    </row>
    <row r="7789" spans="37:38" s="4" customFormat="1">
      <c r="AK7789" s="3">
        <v>7783</v>
      </c>
      <c r="AL7789" s="163">
        <v>7.208223464480092</v>
      </c>
    </row>
    <row r="7790" spans="37:38" s="4" customFormat="1">
      <c r="AK7790" s="3">
        <v>7784</v>
      </c>
      <c r="AL7790" s="163">
        <v>7.2087690653019294</v>
      </c>
    </row>
    <row r="7791" spans="37:38" s="4" customFormat="1">
      <c r="AK7791" s="3">
        <v>7785</v>
      </c>
      <c r="AL7791" s="163">
        <v>7.2093146429976471</v>
      </c>
    </row>
    <row r="7792" spans="37:38" s="4" customFormat="1">
      <c r="AK7792" s="3">
        <v>7786</v>
      </c>
      <c r="AL7792" s="163">
        <v>7.2098601980138994</v>
      </c>
    </row>
    <row r="7793" spans="37:38" s="4" customFormat="1">
      <c r="AK7793" s="3">
        <v>7787</v>
      </c>
      <c r="AL7793" s="163">
        <v>7.2104057307978238</v>
      </c>
    </row>
    <row r="7794" spans="37:38" s="4" customFormat="1">
      <c r="AK7794" s="3">
        <v>7788</v>
      </c>
      <c r="AL7794" s="163">
        <v>7.2109512417969484</v>
      </c>
    </row>
    <row r="7795" spans="37:38" s="4" customFormat="1">
      <c r="AK7795" s="3">
        <v>7789</v>
      </c>
      <c r="AL7795" s="163">
        <v>7.2114967314594836</v>
      </c>
    </row>
    <row r="7796" spans="37:38" s="4" customFormat="1">
      <c r="AK7796" s="3">
        <v>7790</v>
      </c>
      <c r="AL7796" s="163">
        <v>7.2120422002340163</v>
      </c>
    </row>
    <row r="7797" spans="37:38" s="4" customFormat="1">
      <c r="AK7797" s="3">
        <v>7791</v>
      </c>
      <c r="AL7797" s="163">
        <v>7.2125876485696949</v>
      </c>
    </row>
    <row r="7798" spans="37:38" s="4" customFormat="1">
      <c r="AK7798" s="3">
        <v>7792</v>
      </c>
      <c r="AL7798" s="163">
        <v>7.2131330769160868</v>
      </c>
    </row>
    <row r="7799" spans="37:38" s="4" customFormat="1">
      <c r="AK7799" s="3">
        <v>7793</v>
      </c>
      <c r="AL7799" s="163">
        <v>7.2136784857233991</v>
      </c>
    </row>
    <row r="7800" spans="37:38" s="4" customFormat="1">
      <c r="AK7800" s="3">
        <v>7794</v>
      </c>
      <c r="AL7800" s="163">
        <v>7.2142238754422081</v>
      </c>
    </row>
    <row r="7801" spans="37:38" s="4" customFormat="1">
      <c r="AK7801" s="3">
        <v>7795</v>
      </c>
      <c r="AL7801" s="163">
        <v>7.2147692465236446</v>
      </c>
    </row>
    <row r="7802" spans="37:38" s="4" customFormat="1">
      <c r="AK7802" s="3">
        <v>7796</v>
      </c>
      <c r="AL7802" s="163">
        <v>7.2153145994193508</v>
      </c>
    </row>
    <row r="7803" spans="37:38" s="4" customFormat="1">
      <c r="AK7803" s="3">
        <v>7797</v>
      </c>
      <c r="AL7803" s="163">
        <v>7.215859934581502</v>
      </c>
    </row>
    <row r="7804" spans="37:38" s="4" customFormat="1">
      <c r="AK7804" s="3">
        <v>7798</v>
      </c>
      <c r="AL7804" s="163">
        <v>7.2164052524626996</v>
      </c>
    </row>
    <row r="7805" spans="37:38" s="4" customFormat="1">
      <c r="AK7805" s="3">
        <v>7799</v>
      </c>
      <c r="AL7805" s="163">
        <v>7.2169505535161207</v>
      </c>
    </row>
    <row r="7806" spans="37:38" s="4" customFormat="1">
      <c r="AK7806" s="3">
        <v>7800</v>
      </c>
      <c r="AL7806" s="163">
        <v>7.21749583819539</v>
      </c>
    </row>
    <row r="7807" spans="37:38" s="4" customFormat="1">
      <c r="AK7807" s="3">
        <v>7801</v>
      </c>
      <c r="AL7807" s="163">
        <v>7.2180411069546224</v>
      </c>
    </row>
    <row r="7808" spans="37:38" s="4" customFormat="1">
      <c r="AK7808" s="3">
        <v>7802</v>
      </c>
      <c r="AL7808" s="163">
        <v>7.2185863602485441</v>
      </c>
    </row>
    <row r="7809" spans="37:38" s="4" customFormat="1">
      <c r="AK7809" s="3">
        <v>7803</v>
      </c>
      <c r="AL7809" s="163">
        <v>7.2191315985322717</v>
      </c>
    </row>
    <row r="7810" spans="37:38" s="4" customFormat="1">
      <c r="AK7810" s="3">
        <v>7804</v>
      </c>
      <c r="AL7810" s="163">
        <v>7.2196768222615049</v>
      </c>
    </row>
    <row r="7811" spans="37:38" s="4" customFormat="1">
      <c r="AK7811" s="3">
        <v>7805</v>
      </c>
      <c r="AL7811" s="163">
        <v>7.2202220318923835</v>
      </c>
    </row>
    <row r="7812" spans="37:38" s="4" customFormat="1">
      <c r="AK7812" s="3">
        <v>7806</v>
      </c>
      <c r="AL7812" s="163">
        <v>7.2207672278815735</v>
      </c>
    </row>
    <row r="7813" spans="37:38" s="4" customFormat="1">
      <c r="AK7813" s="3">
        <v>7807</v>
      </c>
      <c r="AL7813" s="163">
        <v>7.2213124106862381</v>
      </c>
    </row>
    <row r="7814" spans="37:38" s="4" customFormat="1">
      <c r="AK7814" s="3">
        <v>7808</v>
      </c>
      <c r="AL7814" s="163">
        <v>7.2218575807641727</v>
      </c>
    </row>
    <row r="7815" spans="37:38" s="4" customFormat="1">
      <c r="AK7815" s="3">
        <v>7809</v>
      </c>
      <c r="AL7815" s="163">
        <v>7.2224027385734502</v>
      </c>
    </row>
    <row r="7816" spans="37:38" s="4" customFormat="1">
      <c r="AK7816" s="3">
        <v>7810</v>
      </c>
      <c r="AL7816" s="163">
        <v>7.2229478845727826</v>
      </c>
    </row>
    <row r="7817" spans="37:38" s="4" customFormat="1">
      <c r="AK7817" s="3">
        <v>7811</v>
      </c>
      <c r="AL7817" s="163">
        <v>7.2234930192213724</v>
      </c>
    </row>
    <row r="7818" spans="37:38" s="4" customFormat="1">
      <c r="AK7818" s="3">
        <v>7812</v>
      </c>
      <c r="AL7818" s="163">
        <v>7.224038142978948</v>
      </c>
    </row>
    <row r="7819" spans="37:38" s="4" customFormat="1">
      <c r="AK7819" s="3">
        <v>7813</v>
      </c>
      <c r="AL7819" s="163">
        <v>7.2245832563057419</v>
      </c>
    </row>
    <row r="7820" spans="37:38" s="4" customFormat="1">
      <c r="AK7820" s="3">
        <v>7814</v>
      </c>
      <c r="AL7820" s="163">
        <v>7.2251283596624063</v>
      </c>
    </row>
    <row r="7821" spans="37:38" s="4" customFormat="1">
      <c r="AK7821" s="3">
        <v>7815</v>
      </c>
      <c r="AL7821" s="163">
        <v>7.2256734535102112</v>
      </c>
    </row>
    <row r="7822" spans="37:38" s="4" customFormat="1">
      <c r="AK7822" s="3">
        <v>7816</v>
      </c>
      <c r="AL7822" s="163">
        <v>7.2262185383108601</v>
      </c>
    </row>
    <row r="7823" spans="37:38" s="4" customFormat="1">
      <c r="AK7823" s="3">
        <v>7817</v>
      </c>
      <c r="AL7823" s="163">
        <v>7.2267636145265897</v>
      </c>
    </row>
    <row r="7824" spans="37:38" s="4" customFormat="1">
      <c r="AK7824" s="3">
        <v>7818</v>
      </c>
      <c r="AL7824" s="163">
        <v>7.2273086826202046</v>
      </c>
    </row>
    <row r="7825" spans="37:38" s="4" customFormat="1">
      <c r="AK7825" s="3">
        <v>7819</v>
      </c>
      <c r="AL7825" s="163">
        <v>7.2278537430548226</v>
      </c>
    </row>
    <row r="7826" spans="37:38" s="4" customFormat="1">
      <c r="AK7826" s="3">
        <v>7820</v>
      </c>
      <c r="AL7826" s="163">
        <v>7.228398796294357</v>
      </c>
    </row>
    <row r="7827" spans="37:38" s="4" customFormat="1">
      <c r="AK7827" s="3">
        <v>7821</v>
      </c>
      <c r="AL7827" s="163">
        <v>7.2289438428029342</v>
      </c>
    </row>
    <row r="7828" spans="37:38" s="4" customFormat="1">
      <c r="AK7828" s="3">
        <v>7822</v>
      </c>
      <c r="AL7828" s="163">
        <v>7.2294888830454695</v>
      </c>
    </row>
    <row r="7829" spans="37:38" s="4" customFormat="1">
      <c r="AK7829" s="3">
        <v>7823</v>
      </c>
      <c r="AL7829" s="163">
        <v>7.2300339174871553</v>
      </c>
    </row>
    <row r="7830" spans="37:38" s="4" customFormat="1">
      <c r="AK7830" s="3">
        <v>7824</v>
      </c>
      <c r="AL7830" s="163">
        <v>7.2305789465937025</v>
      </c>
    </row>
    <row r="7831" spans="37:38" s="4" customFormat="1">
      <c r="AK7831" s="3">
        <v>7825</v>
      </c>
      <c r="AL7831" s="163">
        <v>7.2311239708315611</v>
      </c>
    </row>
    <row r="7832" spans="37:38" s="4" customFormat="1">
      <c r="AK7832" s="3">
        <v>7826</v>
      </c>
      <c r="AL7832" s="163">
        <v>7.2316689906674654</v>
      </c>
    </row>
    <row r="7833" spans="37:38" s="4" customFormat="1">
      <c r="AK7833" s="3">
        <v>7827</v>
      </c>
      <c r="AL7833" s="163">
        <v>7.2322140065686611</v>
      </c>
    </row>
    <row r="7834" spans="37:38" s="4" customFormat="1">
      <c r="AK7834" s="3">
        <v>7828</v>
      </c>
      <c r="AL7834" s="163">
        <v>7.2327590190031401</v>
      </c>
    </row>
    <row r="7835" spans="37:38" s="4" customFormat="1">
      <c r="AK7835" s="3">
        <v>7829</v>
      </c>
      <c r="AL7835" s="163">
        <v>7.2333040284390719</v>
      </c>
    </row>
    <row r="7836" spans="37:38" s="4" customFormat="1">
      <c r="AK7836" s="3">
        <v>7830</v>
      </c>
      <c r="AL7836" s="163">
        <v>7.2338490353453579</v>
      </c>
    </row>
    <row r="7837" spans="37:38" s="4" customFormat="1">
      <c r="AK7837" s="3">
        <v>7831</v>
      </c>
      <c r="AL7837" s="163">
        <v>7.234394040191404</v>
      </c>
    </row>
    <row r="7838" spans="37:38" s="4" customFormat="1">
      <c r="AK7838" s="3">
        <v>7832</v>
      </c>
      <c r="AL7838" s="163">
        <v>7.2349390434469569</v>
      </c>
    </row>
    <row r="7839" spans="37:38" s="4" customFormat="1">
      <c r="AK7839" s="3">
        <v>7833</v>
      </c>
      <c r="AL7839" s="163">
        <v>7.2354840455824245</v>
      </c>
    </row>
    <row r="7840" spans="37:38" s="4" customFormat="1">
      <c r="AK7840" s="3">
        <v>7834</v>
      </c>
      <c r="AL7840" s="163">
        <v>7.2360290470687403</v>
      </c>
    </row>
    <row r="7841" spans="37:38" s="4" customFormat="1">
      <c r="AK7841" s="3">
        <v>7835</v>
      </c>
      <c r="AL7841" s="163">
        <v>7.2365740483771717</v>
      </c>
    </row>
    <row r="7842" spans="37:38" s="4" customFormat="1">
      <c r="AK7842" s="3">
        <v>7836</v>
      </c>
      <c r="AL7842" s="163">
        <v>7.2371190499797891</v>
      </c>
    </row>
    <row r="7843" spans="37:38" s="4" customFormat="1">
      <c r="AK7843" s="3">
        <v>7837</v>
      </c>
      <c r="AL7843" s="163">
        <v>7.2376640523488192</v>
      </c>
    </row>
    <row r="7844" spans="37:38" s="4" customFormat="1">
      <c r="AK7844" s="3">
        <v>7838</v>
      </c>
      <c r="AL7844" s="163">
        <v>7.2382090559572987</v>
      </c>
    </row>
    <row r="7845" spans="37:38" s="4" customFormat="1">
      <c r="AK7845" s="3">
        <v>7839</v>
      </c>
      <c r="AL7845" s="163">
        <v>7.2387540612786339</v>
      </c>
    </row>
    <row r="7846" spans="37:38" s="4" customFormat="1">
      <c r="AK7846" s="3">
        <v>7840</v>
      </c>
      <c r="AL7846" s="163">
        <v>7.239299068786714</v>
      </c>
    </row>
    <row r="7847" spans="37:38" s="4" customFormat="1">
      <c r="AK7847" s="3">
        <v>7841</v>
      </c>
      <c r="AL7847" s="163">
        <v>7.2398440789560397</v>
      </c>
    </row>
    <row r="7848" spans="37:38" s="4" customFormat="1">
      <c r="AK7848" s="3">
        <v>7842</v>
      </c>
      <c r="AL7848" s="163">
        <v>7.2403890922616014</v>
      </c>
    </row>
    <row r="7849" spans="37:38" s="4" customFormat="1">
      <c r="AK7849" s="3">
        <v>7843</v>
      </c>
      <c r="AL7849" s="163">
        <v>7.240934109178788</v>
      </c>
    </row>
    <row r="7850" spans="37:38" s="4" customFormat="1">
      <c r="AK7850" s="3">
        <v>7844</v>
      </c>
      <c r="AL7850" s="163">
        <v>7.2414791301836559</v>
      </c>
    </row>
    <row r="7851" spans="37:38" s="4" customFormat="1">
      <c r="AK7851" s="3">
        <v>7845</v>
      </c>
      <c r="AL7851" s="163">
        <v>7.2420241557526595</v>
      </c>
    </row>
    <row r="7852" spans="37:38" s="4" customFormat="1">
      <c r="AK7852" s="3">
        <v>7846</v>
      </c>
      <c r="AL7852" s="163">
        <v>7.2425691863628074</v>
      </c>
    </row>
    <row r="7853" spans="37:38" s="4" customFormat="1">
      <c r="AK7853" s="3">
        <v>7847</v>
      </c>
      <c r="AL7853" s="163">
        <v>7.2431142224916698</v>
      </c>
    </row>
    <row r="7854" spans="37:38" s="4" customFormat="1">
      <c r="AK7854" s="3">
        <v>7848</v>
      </c>
      <c r="AL7854" s="163">
        <v>7.2436592646172002</v>
      </c>
    </row>
    <row r="7855" spans="37:38" s="4" customFormat="1">
      <c r="AK7855" s="3">
        <v>7849</v>
      </c>
      <c r="AL7855" s="163">
        <v>7.2442043132180203</v>
      </c>
    </row>
    <row r="7856" spans="37:38" s="4" customFormat="1">
      <c r="AK7856" s="3">
        <v>7850</v>
      </c>
      <c r="AL7856" s="163">
        <v>7.244749368773121</v>
      </c>
    </row>
    <row r="7857" spans="37:38" s="4" customFormat="1">
      <c r="AK7857" s="3">
        <v>7851</v>
      </c>
      <c r="AL7857" s="163">
        <v>7.2452944317621473</v>
      </c>
    </row>
    <row r="7858" spans="37:38" s="4" customFormat="1">
      <c r="AK7858" s="3">
        <v>7852</v>
      </c>
      <c r="AL7858" s="163">
        <v>7.2458395026651417</v>
      </c>
    </row>
    <row r="7859" spans="37:38" s="4" customFormat="1">
      <c r="AK7859" s="3">
        <v>7853</v>
      </c>
      <c r="AL7859" s="163">
        <v>7.2463845819627082</v>
      </c>
    </row>
    <row r="7860" spans="37:38" s="4" customFormat="1">
      <c r="AK7860" s="3">
        <v>7854</v>
      </c>
      <c r="AL7860" s="163">
        <v>7.2469296701359625</v>
      </c>
    </row>
    <row r="7861" spans="37:38" s="4" customFormat="1">
      <c r="AK7861" s="3">
        <v>7855</v>
      </c>
      <c r="AL7861" s="163">
        <v>7.2474747676664819</v>
      </c>
    </row>
    <row r="7862" spans="37:38" s="4" customFormat="1">
      <c r="AK7862" s="3">
        <v>7856</v>
      </c>
      <c r="AL7862" s="163">
        <v>7.2480198750364906</v>
      </c>
    </row>
    <row r="7863" spans="37:38" s="4" customFormat="1">
      <c r="AK7863" s="3">
        <v>7857</v>
      </c>
      <c r="AL7863" s="163">
        <v>7.2485649927285749</v>
      </c>
    </row>
    <row r="7864" spans="37:38" s="4" customFormat="1">
      <c r="AK7864" s="3">
        <v>7858</v>
      </c>
      <c r="AL7864" s="163">
        <v>7.2491101212259181</v>
      </c>
    </row>
    <row r="7865" spans="37:38" s="4" customFormat="1">
      <c r="AK7865" s="3">
        <v>7859</v>
      </c>
      <c r="AL7865" s="163">
        <v>7.2496552610122009</v>
      </c>
    </row>
    <row r="7866" spans="37:38" s="4" customFormat="1">
      <c r="AK7866" s="3">
        <v>7860</v>
      </c>
      <c r="AL7866" s="163">
        <v>7.250200412571651</v>
      </c>
    </row>
    <row r="7867" spans="37:38" s="4" customFormat="1">
      <c r="AK7867" s="3">
        <v>7861</v>
      </c>
      <c r="AL7867" s="163">
        <v>7.2507455763889368</v>
      </c>
    </row>
    <row r="7868" spans="37:38" s="4" customFormat="1">
      <c r="AK7868" s="3">
        <v>7862</v>
      </c>
      <c r="AL7868" s="163">
        <v>7.2512907529492878</v>
      </c>
    </row>
    <row r="7869" spans="37:38" s="4" customFormat="1">
      <c r="AK7869" s="3">
        <v>7863</v>
      </c>
      <c r="AL7869" s="163">
        <v>7.251835942738424</v>
      </c>
    </row>
    <row r="7870" spans="37:38" s="4" customFormat="1">
      <c r="AK7870" s="3">
        <v>7864</v>
      </c>
      <c r="AL7870" s="163">
        <v>7.2523811462426622</v>
      </c>
    </row>
    <row r="7871" spans="37:38" s="4" customFormat="1">
      <c r="AK7871" s="3">
        <v>7865</v>
      </c>
      <c r="AL7871" s="163">
        <v>7.2529263639487596</v>
      </c>
    </row>
    <row r="7872" spans="37:38" s="4" customFormat="1">
      <c r="AK7872" s="3">
        <v>7866</v>
      </c>
      <c r="AL7872" s="163">
        <v>7.253471596343978</v>
      </c>
    </row>
    <row r="7873" spans="37:38" s="4" customFormat="1">
      <c r="AK7873" s="3">
        <v>7867</v>
      </c>
      <c r="AL7873" s="163">
        <v>7.2540168439161121</v>
      </c>
    </row>
    <row r="7874" spans="37:38" s="4" customFormat="1">
      <c r="AK7874" s="3">
        <v>7868</v>
      </c>
      <c r="AL7874" s="163">
        <v>7.2545621071534896</v>
      </c>
    </row>
    <row r="7875" spans="37:38" s="4" customFormat="1">
      <c r="AK7875" s="3">
        <v>7869</v>
      </c>
      <c r="AL7875" s="163">
        <v>7.2551073865449354</v>
      </c>
    </row>
    <row r="7876" spans="37:38" s="4" customFormat="1">
      <c r="AK7876" s="3">
        <v>7870</v>
      </c>
      <c r="AL7876" s="163">
        <v>7.2556526825798429</v>
      </c>
    </row>
    <row r="7877" spans="37:38" s="4" customFormat="1">
      <c r="AK7877" s="3">
        <v>7871</v>
      </c>
      <c r="AL7877" s="163">
        <v>7.2561979957480531</v>
      </c>
    </row>
    <row r="7878" spans="37:38" s="4" customFormat="1">
      <c r="AK7878" s="3">
        <v>7872</v>
      </c>
      <c r="AL7878" s="163">
        <v>7.2567433265399544</v>
      </c>
    </row>
    <row r="7879" spans="37:38" s="4" customFormat="1">
      <c r="AK7879" s="3">
        <v>7873</v>
      </c>
      <c r="AL7879" s="163">
        <v>7.2572886754464108</v>
      </c>
    </row>
    <row r="7880" spans="37:38" s="4" customFormat="1">
      <c r="AK7880" s="3">
        <v>7874</v>
      </c>
      <c r="AL7880" s="163">
        <v>7.2578340429588621</v>
      </c>
    </row>
    <row r="7881" spans="37:38" s="4" customFormat="1">
      <c r="AK7881" s="3">
        <v>7875</v>
      </c>
      <c r="AL7881" s="163">
        <v>7.2583794295692812</v>
      </c>
    </row>
    <row r="7882" spans="37:38" s="4" customFormat="1">
      <c r="AK7882" s="3">
        <v>7876</v>
      </c>
      <c r="AL7882" s="163">
        <v>7.2589248357700811</v>
      </c>
    </row>
    <row r="7883" spans="37:38" s="4" customFormat="1">
      <c r="AK7883" s="3">
        <v>7877</v>
      </c>
      <c r="AL7883" s="163">
        <v>7.2594702620542648</v>
      </c>
    </row>
    <row r="7884" spans="37:38" s="4" customFormat="1">
      <c r="AK7884" s="3">
        <v>7878</v>
      </c>
      <c r="AL7884" s="163">
        <v>7.2600157089152262</v>
      </c>
    </row>
    <row r="7885" spans="37:38" s="4" customFormat="1">
      <c r="AK7885" s="3">
        <v>7879</v>
      </c>
      <c r="AL7885" s="163">
        <v>7.2605611768471334</v>
      </c>
    </row>
    <row r="7886" spans="37:38" s="4" customFormat="1">
      <c r="AK7886" s="3">
        <v>7880</v>
      </c>
      <c r="AL7886" s="163">
        <v>7.2611066663443751</v>
      </c>
    </row>
    <row r="7887" spans="37:38" s="4" customFormat="1">
      <c r="AK7887" s="3">
        <v>7881</v>
      </c>
      <c r="AL7887" s="163">
        <v>7.2616521779020715</v>
      </c>
    </row>
    <row r="7888" spans="37:38" s="4" customFormat="1">
      <c r="AK7888" s="3">
        <v>7882</v>
      </c>
      <c r="AL7888" s="163">
        <v>7.2621977120157339</v>
      </c>
    </row>
    <row r="7889" spans="37:38" s="4" customFormat="1">
      <c r="AK7889" s="3">
        <v>7883</v>
      </c>
      <c r="AL7889" s="163">
        <v>7.262743269181442</v>
      </c>
    </row>
    <row r="7890" spans="37:38" s="4" customFormat="1">
      <c r="AK7890" s="3">
        <v>7884</v>
      </c>
      <c r="AL7890" s="163">
        <v>7.2632888498958366</v>
      </c>
    </row>
    <row r="7891" spans="37:38" s="4" customFormat="1">
      <c r="AK7891" s="3">
        <v>7885</v>
      </c>
      <c r="AL7891" s="163">
        <v>7.2638344546559992</v>
      </c>
    </row>
    <row r="7892" spans="37:38" s="4" customFormat="1">
      <c r="AK7892" s="3">
        <v>7886</v>
      </c>
      <c r="AL7892" s="163">
        <v>7.2643800839596295</v>
      </c>
    </row>
    <row r="7893" spans="37:38" s="4" customFormat="1">
      <c r="AK7893" s="3">
        <v>7887</v>
      </c>
      <c r="AL7893" s="163">
        <v>7.2649257383047541</v>
      </c>
    </row>
    <row r="7894" spans="37:38" s="4" customFormat="1">
      <c r="AK7894" s="3">
        <v>7888</v>
      </c>
      <c r="AL7894" s="163">
        <v>7.2654714181902449</v>
      </c>
    </row>
    <row r="7895" spans="37:38" s="4" customFormat="1">
      <c r="AK7895" s="3">
        <v>7889</v>
      </c>
      <c r="AL7895" s="163">
        <v>7.2660171241151374</v>
      </c>
    </row>
    <row r="7896" spans="37:38" s="4" customFormat="1">
      <c r="AK7896" s="3">
        <v>7890</v>
      </c>
      <c r="AL7896" s="163">
        <v>7.2665628565791422</v>
      </c>
    </row>
    <row r="7897" spans="37:38" s="4" customFormat="1">
      <c r="AK7897" s="3">
        <v>7891</v>
      </c>
      <c r="AL7897" s="163">
        <v>7.2671086160826235</v>
      </c>
    </row>
    <row r="7898" spans="37:38" s="4" customFormat="1">
      <c r="AK7898" s="3">
        <v>7892</v>
      </c>
      <c r="AL7898" s="163">
        <v>7.2676544031262509</v>
      </c>
    </row>
    <row r="7899" spans="37:38" s="4" customFormat="1">
      <c r="AK7899" s="3">
        <v>7893</v>
      </c>
      <c r="AL7899" s="163">
        <v>7.2682002182112839</v>
      </c>
    </row>
    <row r="7900" spans="37:38" s="4" customFormat="1">
      <c r="AK7900" s="3">
        <v>7894</v>
      </c>
      <c r="AL7900" s="163">
        <v>7.2687460618396003</v>
      </c>
    </row>
    <row r="7901" spans="37:38" s="4" customFormat="1">
      <c r="AK7901" s="3">
        <v>7895</v>
      </c>
      <c r="AL7901" s="163">
        <v>7.2692919345134328</v>
      </c>
    </row>
    <row r="7902" spans="37:38" s="4" customFormat="1">
      <c r="AK7902" s="3">
        <v>7896</v>
      </c>
      <c r="AL7902" s="163">
        <v>7.2698378367357108</v>
      </c>
    </row>
    <row r="7903" spans="37:38" s="4" customFormat="1">
      <c r="AK7903" s="3">
        <v>7897</v>
      </c>
      <c r="AL7903" s="163">
        <v>7.2703837690097046</v>
      </c>
    </row>
    <row r="7904" spans="37:38" s="4" customFormat="1">
      <c r="AK7904" s="3">
        <v>7898</v>
      </c>
      <c r="AL7904" s="163">
        <v>7.2709297318393382</v>
      </c>
    </row>
    <row r="7905" spans="37:38" s="4" customFormat="1">
      <c r="AK7905" s="3">
        <v>7899</v>
      </c>
      <c r="AL7905" s="163">
        <v>7.2714757257291041</v>
      </c>
    </row>
    <row r="7906" spans="37:38" s="4" customFormat="1">
      <c r="AK7906" s="3">
        <v>7900</v>
      </c>
      <c r="AL7906" s="163">
        <v>7.2720217511838072</v>
      </c>
    </row>
    <row r="7907" spans="37:38" s="4" customFormat="1">
      <c r="AK7907" s="3">
        <v>7901</v>
      </c>
      <c r="AL7907" s="163">
        <v>7.2725678087088923</v>
      </c>
    </row>
    <row r="7908" spans="37:38" s="4" customFormat="1">
      <c r="AK7908" s="3">
        <v>7902</v>
      </c>
      <c r="AL7908" s="163">
        <v>7.2731138988104362</v>
      </c>
    </row>
    <row r="7909" spans="37:38" s="4" customFormat="1">
      <c r="AK7909" s="3">
        <v>7903</v>
      </c>
      <c r="AL7909" s="163">
        <v>7.2736600219948215</v>
      </c>
    </row>
    <row r="7910" spans="37:38" s="4" customFormat="1">
      <c r="AK7910" s="3">
        <v>7904</v>
      </c>
      <c r="AL7910" s="163">
        <v>7.2742061787691554</v>
      </c>
    </row>
    <row r="7911" spans="37:38" s="4" customFormat="1">
      <c r="AK7911" s="3">
        <v>7905</v>
      </c>
      <c r="AL7911" s="163">
        <v>7.274752369640936</v>
      </c>
    </row>
    <row r="7912" spans="37:38" s="4" customFormat="1">
      <c r="AK7912" s="3">
        <v>7906</v>
      </c>
      <c r="AL7912" s="163">
        <v>7.275298595118187</v>
      </c>
    </row>
    <row r="7913" spans="37:38" s="4" customFormat="1">
      <c r="AK7913" s="3">
        <v>7907</v>
      </c>
      <c r="AL7913" s="163">
        <v>7.2758448557096003</v>
      </c>
    </row>
    <row r="7914" spans="37:38" s="4" customFormat="1">
      <c r="AK7914" s="3">
        <v>7908</v>
      </c>
      <c r="AL7914" s="163">
        <v>7.2763911519241304</v>
      </c>
    </row>
    <row r="7915" spans="37:38" s="4" customFormat="1">
      <c r="AK7915" s="3">
        <v>7909</v>
      </c>
      <c r="AL7915" s="163">
        <v>7.2769374842715493</v>
      </c>
    </row>
    <row r="7916" spans="37:38" s="4" customFormat="1">
      <c r="AK7916" s="3">
        <v>7910</v>
      </c>
      <c r="AL7916" s="163">
        <v>7.2774838532619555</v>
      </c>
    </row>
    <row r="7917" spans="37:38" s="4" customFormat="1">
      <c r="AK7917" s="3">
        <v>7911</v>
      </c>
      <c r="AL7917" s="163">
        <v>7.2780302594060444</v>
      </c>
    </row>
    <row r="7918" spans="37:38" s="4" customFormat="1">
      <c r="AK7918" s="3">
        <v>7912</v>
      </c>
      <c r="AL7918" s="163">
        <v>7.2785767032149877</v>
      </c>
    </row>
    <row r="7919" spans="37:38" s="4" customFormat="1">
      <c r="AK7919" s="3">
        <v>7913</v>
      </c>
      <c r="AL7919" s="163">
        <v>7.2791231852005325</v>
      </c>
    </row>
    <row r="7920" spans="37:38" s="4" customFormat="1">
      <c r="AK7920" s="3">
        <v>7914</v>
      </c>
      <c r="AL7920" s="163">
        <v>7.2796697058749444</v>
      </c>
    </row>
    <row r="7921" spans="37:38" s="4" customFormat="1">
      <c r="AK7921" s="3">
        <v>7915</v>
      </c>
      <c r="AL7921" s="163">
        <v>7.2802162657510223</v>
      </c>
    </row>
    <row r="7922" spans="37:38" s="4" customFormat="1">
      <c r="AK7922" s="3">
        <v>7916</v>
      </c>
      <c r="AL7922" s="163">
        <v>7.280762865341984</v>
      </c>
    </row>
    <row r="7923" spans="37:38" s="4" customFormat="1">
      <c r="AK7923" s="3">
        <v>7917</v>
      </c>
      <c r="AL7923" s="163">
        <v>7.2813095051617367</v>
      </c>
    </row>
    <row r="7924" spans="37:38" s="4" customFormat="1">
      <c r="AK7924" s="3">
        <v>7918</v>
      </c>
      <c r="AL7924" s="163">
        <v>7.281856185724557</v>
      </c>
    </row>
    <row r="7925" spans="37:38" s="4" customFormat="1">
      <c r="AK7925" s="3">
        <v>7919</v>
      </c>
      <c r="AL7925" s="163">
        <v>7.2824029075454675</v>
      </c>
    </row>
    <row r="7926" spans="37:38" s="4" customFormat="1">
      <c r="AK7926" s="3">
        <v>7920</v>
      </c>
      <c r="AL7926" s="163">
        <v>7.2829496711396686</v>
      </c>
    </row>
    <row r="7927" spans="37:38" s="4" customFormat="1">
      <c r="AK7927" s="3">
        <v>7921</v>
      </c>
      <c r="AL7927" s="163">
        <v>7.2834964770232702</v>
      </c>
    </row>
    <row r="7928" spans="37:38" s="4" customFormat="1">
      <c r="AK7928" s="3">
        <v>7922</v>
      </c>
      <c r="AL7928" s="163">
        <v>7.2840433257125952</v>
      </c>
    </row>
    <row r="7929" spans="37:38" s="4" customFormat="1">
      <c r="AK7929" s="3">
        <v>7923</v>
      </c>
      <c r="AL7929" s="163">
        <v>7.2845902177247126</v>
      </c>
    </row>
    <row r="7930" spans="37:38" s="4" customFormat="1">
      <c r="AK7930" s="3">
        <v>7924</v>
      </c>
      <c r="AL7930" s="163">
        <v>7.2851371535771179</v>
      </c>
    </row>
    <row r="7931" spans="37:38" s="4" customFormat="1">
      <c r="AK7931" s="3">
        <v>7925</v>
      </c>
      <c r="AL7931" s="163">
        <v>7.2856841337878251</v>
      </c>
    </row>
    <row r="7932" spans="37:38" s="4" customFormat="1">
      <c r="AK7932" s="3">
        <v>7926</v>
      </c>
      <c r="AL7932" s="163">
        <v>7.2862311588753528</v>
      </c>
    </row>
    <row r="7933" spans="37:38" s="4" customFormat="1">
      <c r="AK7933" s="3">
        <v>7927</v>
      </c>
      <c r="AL7933" s="163">
        <v>7.2867782293588448</v>
      </c>
    </row>
    <row r="7934" spans="37:38" s="4" customFormat="1">
      <c r="AK7934" s="3">
        <v>7928</v>
      </c>
      <c r="AL7934" s="163">
        <v>7.2873253457578784</v>
      </c>
    </row>
    <row r="7935" spans="37:38" s="4" customFormat="1">
      <c r="AK7935" s="3">
        <v>7929</v>
      </c>
      <c r="AL7935" s="163">
        <v>7.2878725085926703</v>
      </c>
    </row>
    <row r="7936" spans="37:38" s="4" customFormat="1">
      <c r="AK7936" s="3">
        <v>7930</v>
      </c>
      <c r="AL7936" s="163">
        <v>7.2884197183837856</v>
      </c>
    </row>
    <row r="7937" spans="37:38" s="4" customFormat="1">
      <c r="AK7937" s="3">
        <v>7931</v>
      </c>
      <c r="AL7937" s="163">
        <v>7.2889669756524711</v>
      </c>
    </row>
    <row r="7938" spans="37:38" s="4" customFormat="1">
      <c r="AK7938" s="3">
        <v>7932</v>
      </c>
      <c r="AL7938" s="163">
        <v>7.2895142809204856</v>
      </c>
    </row>
    <row r="7939" spans="37:38" s="4" customFormat="1">
      <c r="AK7939" s="3">
        <v>7933</v>
      </c>
      <c r="AL7939" s="163">
        <v>7.2900616347100353</v>
      </c>
    </row>
    <row r="7940" spans="37:38" s="4" customFormat="1">
      <c r="AK7940" s="3">
        <v>7934</v>
      </c>
      <c r="AL7940" s="163">
        <v>7.2906090375438808</v>
      </c>
    </row>
    <row r="7941" spans="37:38" s="4" customFormat="1">
      <c r="AK7941" s="3">
        <v>7935</v>
      </c>
      <c r="AL7941" s="163">
        <v>7.2911564899453793</v>
      </c>
    </row>
    <row r="7942" spans="37:38" s="4" customFormat="1">
      <c r="AK7942" s="3">
        <v>7936</v>
      </c>
      <c r="AL7942" s="163">
        <v>7.2917039924383431</v>
      </c>
    </row>
    <row r="7943" spans="37:38" s="4" customFormat="1">
      <c r="AK7943" s="3">
        <v>7937</v>
      </c>
      <c r="AL7943" s="163">
        <v>7.2922515455471455</v>
      </c>
    </row>
    <row r="7944" spans="37:38" s="4" customFormat="1">
      <c r="AK7944" s="3">
        <v>7938</v>
      </c>
      <c r="AL7944" s="163">
        <v>7.2927991497966715</v>
      </c>
    </row>
    <row r="7945" spans="37:38" s="4" customFormat="1">
      <c r="AK7945" s="3">
        <v>7939</v>
      </c>
      <c r="AL7945" s="163">
        <v>7.2933468057123818</v>
      </c>
    </row>
    <row r="7946" spans="37:38" s="4" customFormat="1">
      <c r="AK7946" s="3">
        <v>7940</v>
      </c>
      <c r="AL7946" s="163">
        <v>7.2938945138201703</v>
      </c>
    </row>
    <row r="7947" spans="37:38" s="4" customFormat="1">
      <c r="AK7947" s="3">
        <v>7941</v>
      </c>
      <c r="AL7947" s="163">
        <v>7.2944422746465634</v>
      </c>
    </row>
    <row r="7948" spans="37:38" s="4" customFormat="1">
      <c r="AK7948" s="3">
        <v>7942</v>
      </c>
      <c r="AL7948" s="163">
        <v>7.2949900887185279</v>
      </c>
    </row>
    <row r="7949" spans="37:38" s="4" customFormat="1">
      <c r="AK7949" s="3">
        <v>7943</v>
      </c>
      <c r="AL7949" s="163">
        <v>7.295537956563642</v>
      </c>
    </row>
    <row r="7950" spans="37:38" s="4" customFormat="1">
      <c r="AK7950" s="3">
        <v>7944</v>
      </c>
      <c r="AL7950" s="163">
        <v>7.2960858787099738</v>
      </c>
    </row>
    <row r="7951" spans="37:38" s="4" customFormat="1">
      <c r="AK7951" s="3">
        <v>7945</v>
      </c>
      <c r="AL7951" s="163">
        <v>7.2966338556860961</v>
      </c>
    </row>
    <row r="7952" spans="37:38" s="4" customFormat="1">
      <c r="AK7952" s="3">
        <v>7946</v>
      </c>
      <c r="AL7952" s="163">
        <v>7.2971818880212069</v>
      </c>
    </row>
    <row r="7953" spans="37:38" s="4" customFormat="1">
      <c r="AK7953" s="3">
        <v>7947</v>
      </c>
      <c r="AL7953" s="163">
        <v>7.2977299762449164</v>
      </c>
    </row>
    <row r="7954" spans="37:38" s="4" customFormat="1">
      <c r="AK7954" s="3">
        <v>7948</v>
      </c>
      <c r="AL7954" s="163">
        <v>7.2982781208874101</v>
      </c>
    </row>
    <row r="7955" spans="37:38" s="4" customFormat="1">
      <c r="AK7955" s="3">
        <v>7949</v>
      </c>
      <c r="AL7955" s="163">
        <v>7.2988263224794139</v>
      </c>
    </row>
    <row r="7956" spans="37:38" s="4" customFormat="1">
      <c r="AK7956" s="3">
        <v>7950</v>
      </c>
      <c r="AL7956" s="163">
        <v>7.2993745815522075</v>
      </c>
    </row>
    <row r="7957" spans="37:38" s="4" customFormat="1">
      <c r="AK7957" s="3">
        <v>7951</v>
      </c>
      <c r="AL7957" s="163">
        <v>7.2999228986375542</v>
      </c>
    </row>
    <row r="7958" spans="37:38" s="4" customFormat="1">
      <c r="AK7958" s="3">
        <v>7952</v>
      </c>
      <c r="AL7958" s="163">
        <v>7.3004712742677924</v>
      </c>
    </row>
    <row r="7959" spans="37:38" s="4" customFormat="1">
      <c r="AK7959" s="3">
        <v>7953</v>
      </c>
      <c r="AL7959" s="163">
        <v>7.3010197089757796</v>
      </c>
    </row>
    <row r="7960" spans="37:38" s="4" customFormat="1">
      <c r="AK7960" s="3">
        <v>7954</v>
      </c>
      <c r="AL7960" s="163">
        <v>7.3015682032948632</v>
      </c>
    </row>
    <row r="7961" spans="37:38" s="4" customFormat="1">
      <c r="AK7961" s="3">
        <v>7955</v>
      </c>
      <c r="AL7961" s="163">
        <v>7.3021167577589807</v>
      </c>
    </row>
    <row r="7962" spans="37:38" s="4" customFormat="1">
      <c r="AK7962" s="3">
        <v>7956</v>
      </c>
      <c r="AL7962" s="163">
        <v>7.3026653729025455</v>
      </c>
    </row>
    <row r="7963" spans="37:38" s="4" customFormat="1">
      <c r="AK7963" s="3">
        <v>7957</v>
      </c>
      <c r="AL7963" s="163">
        <v>7.3032140492605535</v>
      </c>
    </row>
    <row r="7964" spans="37:38" s="4" customFormat="1">
      <c r="AK7964" s="3">
        <v>7958</v>
      </c>
      <c r="AL7964" s="163">
        <v>7.3037627873685409</v>
      </c>
    </row>
    <row r="7965" spans="37:38" s="4" customFormat="1">
      <c r="AK7965" s="3">
        <v>7959</v>
      </c>
      <c r="AL7965" s="163">
        <v>7.3043115877625127</v>
      </c>
    </row>
    <row r="7966" spans="37:38" s="4" customFormat="1">
      <c r="AK7966" s="3">
        <v>7960</v>
      </c>
      <c r="AL7966" s="163">
        <v>7.304860450979092</v>
      </c>
    </row>
    <row r="7967" spans="37:38" s="4" customFormat="1">
      <c r="AK7967" s="3">
        <v>7961</v>
      </c>
      <c r="AL7967" s="163">
        <v>7.3054093775553426</v>
      </c>
    </row>
    <row r="7968" spans="37:38" s="4" customFormat="1">
      <c r="AK7968" s="3">
        <v>7962</v>
      </c>
      <c r="AL7968" s="163">
        <v>7.3059583680288824</v>
      </c>
    </row>
    <row r="7969" spans="37:38" s="4" customFormat="1">
      <c r="AK7969" s="3">
        <v>7963</v>
      </c>
      <c r="AL7969" s="163">
        <v>7.3065074229379476</v>
      </c>
    </row>
    <row r="7970" spans="37:38" s="4" customFormat="1">
      <c r="AK7970" s="3">
        <v>7964</v>
      </c>
      <c r="AL7970" s="163">
        <v>7.3070565428211935</v>
      </c>
    </row>
    <row r="7971" spans="37:38" s="4" customFormat="1">
      <c r="AK7971" s="3">
        <v>7965</v>
      </c>
      <c r="AL7971" s="163">
        <v>7.3076057282179008</v>
      </c>
    </row>
    <row r="7972" spans="37:38" s="4" customFormat="1">
      <c r="AK7972" s="3">
        <v>7966</v>
      </c>
      <c r="AL7972" s="163">
        <v>7.3081549796678544</v>
      </c>
    </row>
    <row r="7973" spans="37:38" s="4" customFormat="1">
      <c r="AK7973" s="3">
        <v>7967</v>
      </c>
      <c r="AL7973" s="163">
        <v>7.3087042977113654</v>
      </c>
    </row>
    <row r="7974" spans="37:38" s="4" customFormat="1">
      <c r="AK7974" s="3">
        <v>7968</v>
      </c>
      <c r="AL7974" s="163">
        <v>7.3092536828892136</v>
      </c>
    </row>
    <row r="7975" spans="37:38" s="4" customFormat="1">
      <c r="AK7975" s="3">
        <v>7969</v>
      </c>
      <c r="AL7975" s="163">
        <v>7.3098031357428113</v>
      </c>
    </row>
    <row r="7976" spans="37:38" s="4" customFormat="1">
      <c r="AK7976" s="3">
        <v>7970</v>
      </c>
      <c r="AL7976" s="163">
        <v>7.310352656814139</v>
      </c>
    </row>
    <row r="7977" spans="37:38" s="4" customFormat="1">
      <c r="AK7977" s="3">
        <v>7971</v>
      </c>
      <c r="AL7977" s="163">
        <v>7.3109022466455826</v>
      </c>
    </row>
    <row r="7978" spans="37:38" s="4" customFormat="1">
      <c r="AK7978" s="3">
        <v>7972</v>
      </c>
      <c r="AL7978" s="163">
        <v>7.3114519057801175</v>
      </c>
    </row>
    <row r="7979" spans="37:38" s="4" customFormat="1">
      <c r="AK7979" s="3">
        <v>7973</v>
      </c>
      <c r="AL7979" s="163">
        <v>7.3120016347612875</v>
      </c>
    </row>
    <row r="7980" spans="37:38" s="4" customFormat="1">
      <c r="AK7980" s="3">
        <v>7974</v>
      </c>
      <c r="AL7980" s="163">
        <v>7.3125514341331339</v>
      </c>
    </row>
    <row r="7981" spans="37:38" s="4" customFormat="1">
      <c r="AK7981" s="3">
        <v>7975</v>
      </c>
      <c r="AL7981" s="163">
        <v>7.3131013044402451</v>
      </c>
    </row>
    <row r="7982" spans="37:38" s="4" customFormat="1">
      <c r="AK7982" s="3">
        <v>7976</v>
      </c>
      <c r="AL7982" s="163">
        <v>7.3136512462278418</v>
      </c>
    </row>
    <row r="7983" spans="37:38" s="4" customFormat="1">
      <c r="AK7983" s="3">
        <v>7977</v>
      </c>
      <c r="AL7983" s="163">
        <v>7.314201260041429</v>
      </c>
    </row>
    <row r="7984" spans="37:38" s="4" customFormat="1">
      <c r="AK7984" s="3">
        <v>7978</v>
      </c>
      <c r="AL7984" s="163">
        <v>7.3147513464273004</v>
      </c>
    </row>
    <row r="7985" spans="37:38" s="4" customFormat="1">
      <c r="AK7985" s="3">
        <v>7979</v>
      </c>
      <c r="AL7985" s="163">
        <v>7.315301505932176</v>
      </c>
    </row>
    <row r="7986" spans="37:38" s="4" customFormat="1">
      <c r="AK7986" s="3">
        <v>7980</v>
      </c>
      <c r="AL7986" s="163">
        <v>7.3158517391033158</v>
      </c>
    </row>
    <row r="7987" spans="37:38" s="4" customFormat="1">
      <c r="AK7987" s="3">
        <v>7981</v>
      </c>
      <c r="AL7987" s="163">
        <v>7.3164020464885127</v>
      </c>
    </row>
    <row r="7988" spans="37:38" s="4" customFormat="1">
      <c r="AK7988" s="3">
        <v>7982</v>
      </c>
      <c r="AL7988" s="163">
        <v>7.3169524286361565</v>
      </c>
    </row>
    <row r="7989" spans="37:38" s="4" customFormat="1">
      <c r="AK7989" s="3">
        <v>7983</v>
      </c>
      <c r="AL7989" s="163">
        <v>7.317502886095113</v>
      </c>
    </row>
    <row r="7990" spans="37:38" s="4" customFormat="1">
      <c r="AK7990" s="3">
        <v>7984</v>
      </c>
      <c r="AL7990" s="163">
        <v>7.3180534194147882</v>
      </c>
    </row>
    <row r="7991" spans="37:38" s="4" customFormat="1">
      <c r="AK7991" s="3">
        <v>7985</v>
      </c>
      <c r="AL7991" s="163">
        <v>7.3186040291451349</v>
      </c>
    </row>
    <row r="7992" spans="37:38" s="4" customFormat="1">
      <c r="AK7992" s="3">
        <v>7986</v>
      </c>
      <c r="AL7992" s="163">
        <v>7.3191547158366532</v>
      </c>
    </row>
    <row r="7993" spans="37:38" s="4" customFormat="1">
      <c r="AK7993" s="3">
        <v>7987</v>
      </c>
      <c r="AL7993" s="163">
        <v>7.319705480040426</v>
      </c>
    </row>
    <row r="7994" spans="37:38" s="4" customFormat="1">
      <c r="AK7994" s="3">
        <v>7988</v>
      </c>
      <c r="AL7994" s="163">
        <v>7.320256322307948</v>
      </c>
    </row>
    <row r="7995" spans="37:38" s="4" customFormat="1">
      <c r="AK7995" s="3">
        <v>7989</v>
      </c>
      <c r="AL7995" s="163">
        <v>7.320807243191382</v>
      </c>
    </row>
    <row r="7996" spans="37:38" s="4" customFormat="1">
      <c r="AK7996" s="3">
        <v>7990</v>
      </c>
      <c r="AL7996" s="163">
        <v>7.3213582432433313</v>
      </c>
    </row>
    <row r="7997" spans="37:38" s="4" customFormat="1">
      <c r="AK7997" s="3">
        <v>7991</v>
      </c>
      <c r="AL7997" s="163">
        <v>7.3219093230170245</v>
      </c>
    </row>
    <row r="7998" spans="37:38" s="4" customFormat="1">
      <c r="AK7998" s="3">
        <v>7992</v>
      </c>
      <c r="AL7998" s="163">
        <v>7.3224604830661377</v>
      </c>
    </row>
    <row r="7999" spans="37:38" s="4" customFormat="1">
      <c r="AK7999" s="3">
        <v>7993</v>
      </c>
      <c r="AL7999" s="163">
        <v>7.3230117239449868</v>
      </c>
    </row>
    <row r="8000" spans="37:38" s="4" customFormat="1">
      <c r="AK8000" s="3">
        <v>7994</v>
      </c>
      <c r="AL8000" s="163">
        <v>7.3235630462083208</v>
      </c>
    </row>
    <row r="8001" spans="37:38" s="4" customFormat="1">
      <c r="AK8001" s="3">
        <v>7995</v>
      </c>
      <c r="AL8001" s="163">
        <v>7.324114450411578</v>
      </c>
    </row>
    <row r="8002" spans="37:38" s="4" customFormat="1">
      <c r="AK8002" s="3">
        <v>7996</v>
      </c>
      <c r="AL8002" s="163">
        <v>7.3246659371104812</v>
      </c>
    </row>
    <row r="8003" spans="37:38" s="4" customFormat="1">
      <c r="AK8003" s="3">
        <v>7997</v>
      </c>
      <c r="AL8003" s="163">
        <v>7.3252175068615841</v>
      </c>
    </row>
    <row r="8004" spans="37:38" s="4" customFormat="1">
      <c r="AK8004" s="3">
        <v>7998</v>
      </c>
      <c r="AL8004" s="163">
        <v>7.3257691602218529</v>
      </c>
    </row>
    <row r="8005" spans="37:38" s="4" customFormat="1">
      <c r="AK8005" s="3">
        <v>7999</v>
      </c>
      <c r="AL8005" s="163">
        <v>7.3263208977486727</v>
      </c>
    </row>
    <row r="8006" spans="37:38" s="4" customFormat="1">
      <c r="AK8006" s="3">
        <v>8000</v>
      </c>
      <c r="AL8006" s="163">
        <v>7.3268727200002175</v>
      </c>
    </row>
    <row r="8007" spans="37:38" s="4" customFormat="1">
      <c r="AK8007" s="3">
        <v>8001</v>
      </c>
      <c r="AL8007" s="163">
        <v>7.3274246275350166</v>
      </c>
    </row>
    <row r="8008" spans="37:38" s="4" customFormat="1">
      <c r="AK8008" s="3">
        <v>8002</v>
      </c>
      <c r="AL8008" s="163">
        <v>7.3279766209121178</v>
      </c>
    </row>
    <row r="8009" spans="37:38" s="4" customFormat="1">
      <c r="AK8009" s="3">
        <v>8003</v>
      </c>
      <c r="AL8009" s="163">
        <v>7.3285287006913151</v>
      </c>
    </row>
    <row r="8010" spans="37:38" s="4" customFormat="1">
      <c r="AK8010" s="3">
        <v>8004</v>
      </c>
      <c r="AL8010" s="163">
        <v>7.3290808674327081</v>
      </c>
    </row>
    <row r="8011" spans="37:38" s="4" customFormat="1">
      <c r="AK8011" s="3">
        <v>8005</v>
      </c>
      <c r="AL8011" s="163">
        <v>7.3296331216970572</v>
      </c>
    </row>
    <row r="8012" spans="37:38" s="4" customFormat="1">
      <c r="AK8012" s="3">
        <v>8006</v>
      </c>
      <c r="AL8012" s="163">
        <v>7.3301854640457051</v>
      </c>
    </row>
    <row r="8013" spans="37:38" s="4" customFormat="1">
      <c r="AK8013" s="3">
        <v>8007</v>
      </c>
      <c r="AL8013" s="163">
        <v>7.3307378950404498</v>
      </c>
    </row>
    <row r="8014" spans="37:38" s="4" customFormat="1">
      <c r="AK8014" s="3">
        <v>8008</v>
      </c>
      <c r="AL8014" s="163">
        <v>7.3312904152436715</v>
      </c>
    </row>
    <row r="8015" spans="37:38" s="4" customFormat="1">
      <c r="AK8015" s="3">
        <v>8009</v>
      </c>
      <c r="AL8015" s="163">
        <v>7.3318430252182267</v>
      </c>
    </row>
    <row r="8016" spans="37:38" s="4" customFormat="1">
      <c r="AK8016" s="3">
        <v>8010</v>
      </c>
      <c r="AL8016" s="163">
        <v>7.3323957255276042</v>
      </c>
    </row>
    <row r="8017" spans="37:38" s="4" customFormat="1">
      <c r="AK8017" s="3">
        <v>8011</v>
      </c>
      <c r="AL8017" s="163">
        <v>7.3329485167358754</v>
      </c>
    </row>
    <row r="8018" spans="37:38" s="4" customFormat="1">
      <c r="AK8018" s="3">
        <v>8012</v>
      </c>
      <c r="AL8018" s="163">
        <v>7.3335013994074458</v>
      </c>
    </row>
    <row r="8019" spans="37:38" s="4" customFormat="1">
      <c r="AK8019" s="3">
        <v>8013</v>
      </c>
      <c r="AL8019" s="163">
        <v>7.3340543741074882</v>
      </c>
    </row>
    <row r="8020" spans="37:38" s="4" customFormat="1">
      <c r="AK8020" s="3">
        <v>8014</v>
      </c>
      <c r="AL8020" s="163">
        <v>7.3346074414016016</v>
      </c>
    </row>
    <row r="8021" spans="37:38" s="4" customFormat="1">
      <c r="AK8021" s="3">
        <v>8015</v>
      </c>
      <c r="AL8021" s="163">
        <v>7.3351606018559679</v>
      </c>
    </row>
    <row r="8022" spans="37:38" s="4" customFormat="1">
      <c r="AK8022" s="3">
        <v>8016</v>
      </c>
      <c r="AL8022" s="163">
        <v>7.335713856037259</v>
      </c>
    </row>
    <row r="8023" spans="37:38" s="4" customFormat="1">
      <c r="AK8023" s="3">
        <v>8017</v>
      </c>
      <c r="AL8023" s="163">
        <v>7.3362672045127226</v>
      </c>
    </row>
    <row r="8024" spans="37:38" s="4" customFormat="1">
      <c r="AK8024" s="3">
        <v>8018</v>
      </c>
      <c r="AL8024" s="163">
        <v>7.3368206478502174</v>
      </c>
    </row>
    <row r="8025" spans="37:38" s="4" customFormat="1">
      <c r="AK8025" s="3">
        <v>8019</v>
      </c>
      <c r="AL8025" s="163">
        <v>7.3373741866180353</v>
      </c>
    </row>
    <row r="8026" spans="37:38" s="4" customFormat="1">
      <c r="AK8026" s="3">
        <v>8020</v>
      </c>
      <c r="AL8026" s="163">
        <v>7.337927821385108</v>
      </c>
    </row>
    <row r="8027" spans="37:38" s="4" customFormat="1">
      <c r="AK8027" s="3">
        <v>8021</v>
      </c>
      <c r="AL8027" s="163">
        <v>7.3384815527207579</v>
      </c>
    </row>
    <row r="8028" spans="37:38" s="4" customFormat="1">
      <c r="AK8028" s="3">
        <v>8022</v>
      </c>
      <c r="AL8028" s="163">
        <v>7.3390353811950888</v>
      </c>
    </row>
    <row r="8029" spans="37:38" s="4" customFormat="1">
      <c r="AK8029" s="3">
        <v>8023</v>
      </c>
      <c r="AL8029" s="163">
        <v>7.3395893073785672</v>
      </c>
    </row>
    <row r="8030" spans="37:38" s="4" customFormat="1">
      <c r="AK8030" s="3">
        <v>8024</v>
      </c>
      <c r="AL8030" s="163">
        <v>7.3401433318421851</v>
      </c>
    </row>
    <row r="8031" spans="37:38" s="4" customFormat="1">
      <c r="AK8031" s="3">
        <v>8025</v>
      </c>
      <c r="AL8031" s="163">
        <v>7.3406974551576738</v>
      </c>
    </row>
    <row r="8032" spans="37:38" s="4" customFormat="1">
      <c r="AK8032" s="3">
        <v>8026</v>
      </c>
      <c r="AL8032" s="163">
        <v>7.3412516778970911</v>
      </c>
    </row>
    <row r="8033" spans="37:38" s="4" customFormat="1">
      <c r="AK8033" s="3">
        <v>8027</v>
      </c>
      <c r="AL8033" s="163">
        <v>7.3418060006331629</v>
      </c>
    </row>
    <row r="8034" spans="37:38" s="4" customFormat="1">
      <c r="AK8034" s="3">
        <v>8028</v>
      </c>
      <c r="AL8034" s="163">
        <v>7.3423604239391338</v>
      </c>
    </row>
    <row r="8035" spans="37:38" s="4" customFormat="1">
      <c r="AK8035" s="3">
        <v>8029</v>
      </c>
      <c r="AL8035" s="163">
        <v>7.3429149483888025</v>
      </c>
    </row>
    <row r="8036" spans="37:38" s="4" customFormat="1">
      <c r="AK8036" s="3">
        <v>8030</v>
      </c>
      <c r="AL8036" s="163">
        <v>7.3434695745564724</v>
      </c>
    </row>
    <row r="8037" spans="37:38" s="4" customFormat="1">
      <c r="AK8037" s="3">
        <v>8031</v>
      </c>
      <c r="AL8037" s="163">
        <v>7.344024303017072</v>
      </c>
    </row>
    <row r="8038" spans="37:38" s="4" customFormat="1">
      <c r="AK8038" s="3">
        <v>8032</v>
      </c>
      <c r="AL8038" s="163">
        <v>7.3445791343459561</v>
      </c>
    </row>
    <row r="8039" spans="37:38" s="4" customFormat="1">
      <c r="AK8039" s="3">
        <v>8033</v>
      </c>
      <c r="AL8039" s="163">
        <v>7.3451340691191902</v>
      </c>
    </row>
    <row r="8040" spans="37:38" s="4" customFormat="1">
      <c r="AK8040" s="3">
        <v>8034</v>
      </c>
      <c r="AL8040" s="163">
        <v>7.345689107913195</v>
      </c>
    </row>
    <row r="8041" spans="37:38" s="4" customFormat="1">
      <c r="AK8041" s="3">
        <v>8035</v>
      </c>
      <c r="AL8041" s="163">
        <v>7.3462442513051016</v>
      </c>
    </row>
    <row r="8042" spans="37:38" s="4" customFormat="1">
      <c r="AK8042" s="3">
        <v>8036</v>
      </c>
      <c r="AL8042" s="163">
        <v>7.346799499872489</v>
      </c>
    </row>
    <row r="8043" spans="37:38" s="4" customFormat="1">
      <c r="AK8043" s="3">
        <v>8037</v>
      </c>
      <c r="AL8043" s="163">
        <v>7.3473548541935543</v>
      </c>
    </row>
    <row r="8044" spans="37:38" s="4" customFormat="1">
      <c r="AK8044" s="3">
        <v>8038</v>
      </c>
      <c r="AL8044" s="163">
        <v>7.3479103148469349</v>
      </c>
    </row>
    <row r="8045" spans="37:38" s="4" customFormat="1">
      <c r="AK8045" s="3">
        <v>8039</v>
      </c>
      <c r="AL8045" s="163">
        <v>7.3484658824119435</v>
      </c>
    </row>
    <row r="8046" spans="37:38" s="4" customFormat="1">
      <c r="AK8046" s="3">
        <v>8040</v>
      </c>
      <c r="AL8046" s="163">
        <v>7.349021557468383</v>
      </c>
    </row>
    <row r="8047" spans="37:38" s="4" customFormat="1">
      <c r="AK8047" s="3">
        <v>8041</v>
      </c>
      <c r="AL8047" s="163">
        <v>7.3495773405965394</v>
      </c>
    </row>
    <row r="8048" spans="37:38" s="4" customFormat="1">
      <c r="AK8048" s="3">
        <v>8042</v>
      </c>
      <c r="AL8048" s="163">
        <v>7.3501332323773738</v>
      </c>
    </row>
    <row r="8049" spans="37:38" s="4" customFormat="1">
      <c r="AK8049" s="3">
        <v>8043</v>
      </c>
      <c r="AL8049" s="163">
        <v>7.3506892333923091</v>
      </c>
    </row>
    <row r="8050" spans="37:38" s="4" customFormat="1">
      <c r="AK8050" s="3">
        <v>8044</v>
      </c>
      <c r="AL8050" s="163">
        <v>7.3512453442233436</v>
      </c>
    </row>
    <row r="8051" spans="37:38" s="4" customFormat="1">
      <c r="AK8051" s="3">
        <v>8045</v>
      </c>
      <c r="AL8051" s="163">
        <v>7.351801565453016</v>
      </c>
    </row>
    <row r="8052" spans="37:38" s="4" customFormat="1">
      <c r="AK8052" s="3">
        <v>8046</v>
      </c>
      <c r="AL8052" s="163">
        <v>7.3523578976643975</v>
      </c>
    </row>
    <row r="8053" spans="37:38" s="4" customFormat="1">
      <c r="AK8053" s="3">
        <v>8047</v>
      </c>
      <c r="AL8053" s="163">
        <v>7.3529143414411777</v>
      </c>
    </row>
    <row r="8054" spans="37:38" s="4" customFormat="1">
      <c r="AK8054" s="3">
        <v>8048</v>
      </c>
      <c r="AL8054" s="163">
        <v>7.3534708973674583</v>
      </c>
    </row>
    <row r="8055" spans="37:38" s="4" customFormat="1">
      <c r="AK8055" s="3">
        <v>8049</v>
      </c>
      <c r="AL8055" s="163">
        <v>7.3540275660280656</v>
      </c>
    </row>
    <row r="8056" spans="37:38" s="4" customFormat="1">
      <c r="AK8056" s="3">
        <v>8050</v>
      </c>
      <c r="AL8056" s="163">
        <v>7.3545843480082453</v>
      </c>
    </row>
    <row r="8057" spans="37:38" s="4" customFormat="1">
      <c r="AK8057" s="3">
        <v>8051</v>
      </c>
      <c r="AL8057" s="163">
        <v>7.355141243893847</v>
      </c>
    </row>
    <row r="8058" spans="37:38" s="4" customFormat="1">
      <c r="AK8058" s="3">
        <v>8052</v>
      </c>
      <c r="AL8058" s="163">
        <v>7.3556982542712461</v>
      </c>
    </row>
    <row r="8059" spans="37:38" s="4" customFormat="1">
      <c r="AK8059" s="3">
        <v>8053</v>
      </c>
      <c r="AL8059" s="163">
        <v>7.3562553797273935</v>
      </c>
    </row>
    <row r="8060" spans="37:38" s="4" customFormat="1">
      <c r="AK8060" s="3">
        <v>8054</v>
      </c>
      <c r="AL8060" s="163">
        <v>7.3568126208497375</v>
      </c>
    </row>
    <row r="8061" spans="37:38" s="4" customFormat="1">
      <c r="AK8061" s="3">
        <v>8055</v>
      </c>
      <c r="AL8061" s="163">
        <v>7.3573699782263446</v>
      </c>
    </row>
    <row r="8062" spans="37:38" s="4" customFormat="1">
      <c r="AK8062" s="3">
        <v>8056</v>
      </c>
      <c r="AL8062" s="163">
        <v>7.3579274524458</v>
      </c>
    </row>
    <row r="8063" spans="37:38" s="4" customFormat="1">
      <c r="AK8063" s="3">
        <v>8057</v>
      </c>
      <c r="AL8063" s="163">
        <v>7.3584850440972502</v>
      </c>
    </row>
    <row r="8064" spans="37:38" s="4" customFormat="1">
      <c r="AK8064" s="3">
        <v>8058</v>
      </c>
      <c r="AL8064" s="163">
        <v>7.3590427537703391</v>
      </c>
    </row>
    <row r="8065" spans="37:38" s="4" customFormat="1">
      <c r="AK8065" s="3">
        <v>8059</v>
      </c>
      <c r="AL8065" s="163">
        <v>7.3596005820553714</v>
      </c>
    </row>
    <row r="8066" spans="37:38" s="4" customFormat="1">
      <c r="AK8066" s="3">
        <v>8060</v>
      </c>
      <c r="AL8066" s="163">
        <v>7.3601585295430922</v>
      </c>
    </row>
    <row r="8067" spans="37:38" s="4" customFormat="1">
      <c r="AK8067" s="3">
        <v>8061</v>
      </c>
      <c r="AL8067" s="163">
        <v>7.3607165968248651</v>
      </c>
    </row>
    <row r="8068" spans="37:38" s="4" customFormat="1">
      <c r="AK8068" s="3">
        <v>8062</v>
      </c>
      <c r="AL8068" s="163">
        <v>7.3612747844925934</v>
      </c>
    </row>
    <row r="8069" spans="37:38" s="4" customFormat="1">
      <c r="AK8069" s="3">
        <v>8063</v>
      </c>
      <c r="AL8069" s="163">
        <v>7.3618330931387064</v>
      </c>
    </row>
    <row r="8070" spans="37:38" s="4" customFormat="1">
      <c r="AK8070" s="3">
        <v>8064</v>
      </c>
      <c r="AL8070" s="163">
        <v>7.3623915233561732</v>
      </c>
    </row>
    <row r="8071" spans="37:38" s="4" customFormat="1">
      <c r="AK8071" s="3">
        <v>8065</v>
      </c>
      <c r="AL8071" s="163">
        <v>7.3629500757385529</v>
      </c>
    </row>
    <row r="8072" spans="37:38" s="4" customFormat="1">
      <c r="AK8072" s="3">
        <v>8066</v>
      </c>
      <c r="AL8072" s="163">
        <v>7.3635087508800154</v>
      </c>
    </row>
    <row r="8073" spans="37:38" s="4" customFormat="1">
      <c r="AK8073" s="3">
        <v>8067</v>
      </c>
      <c r="AL8073" s="163">
        <v>7.364067549375136</v>
      </c>
    </row>
    <row r="8074" spans="37:38" s="4" customFormat="1">
      <c r="AK8074" s="3">
        <v>8068</v>
      </c>
      <c r="AL8074" s="163">
        <v>7.3646264718192356</v>
      </c>
    </row>
    <row r="8075" spans="37:38" s="4" customFormat="1">
      <c r="AK8075" s="3">
        <v>8069</v>
      </c>
      <c r="AL8075" s="163">
        <v>7.3651855188078912</v>
      </c>
    </row>
    <row r="8076" spans="37:38" s="4" customFormat="1">
      <c r="AK8076" s="3">
        <v>8070</v>
      </c>
      <c r="AL8076" s="163">
        <v>7.3657446909375537</v>
      </c>
    </row>
    <row r="8077" spans="37:38" s="4" customFormat="1">
      <c r="AK8077" s="3">
        <v>8071</v>
      </c>
      <c r="AL8077" s="163">
        <v>7.3663039888050719</v>
      </c>
    </row>
    <row r="8078" spans="37:38" s="4" customFormat="1">
      <c r="AK8078" s="3">
        <v>8072</v>
      </c>
      <c r="AL8078" s="163">
        <v>7.3668634130078061</v>
      </c>
    </row>
    <row r="8079" spans="37:38" s="4" customFormat="1">
      <c r="AK8079" s="3">
        <v>8073</v>
      </c>
      <c r="AL8079" s="163">
        <v>7.3674229641437918</v>
      </c>
    </row>
    <row r="8080" spans="37:38" s="4" customFormat="1">
      <c r="AK8080" s="3">
        <v>8074</v>
      </c>
      <c r="AL8080" s="163">
        <v>7.3679826428115334</v>
      </c>
    </row>
    <row r="8081" spans="37:38" s="4" customFormat="1">
      <c r="AK8081" s="3">
        <v>8075</v>
      </c>
      <c r="AL8081" s="163">
        <v>7.3685424496101604</v>
      </c>
    </row>
    <row r="8082" spans="37:38" s="4" customFormat="1">
      <c r="AK8082" s="3">
        <v>8076</v>
      </c>
      <c r="AL8082" s="163">
        <v>7.3691023851392146</v>
      </c>
    </row>
    <row r="8083" spans="37:38" s="4" customFormat="1">
      <c r="AK8083" s="3">
        <v>8077</v>
      </c>
      <c r="AL8083" s="163">
        <v>7.3696624499989625</v>
      </c>
    </row>
    <row r="8084" spans="37:38" s="4" customFormat="1">
      <c r="AK8084" s="3">
        <v>8078</v>
      </c>
      <c r="AL8084" s="163">
        <v>7.3702226447900685</v>
      </c>
    </row>
    <row r="8085" spans="37:38" s="4" customFormat="1">
      <c r="AK8085" s="3">
        <v>8079</v>
      </c>
      <c r="AL8085" s="163">
        <v>7.3707829701139431</v>
      </c>
    </row>
    <row r="8086" spans="37:38" s="4" customFormat="1">
      <c r="AK8086" s="3">
        <v>8080</v>
      </c>
      <c r="AL8086" s="163">
        <v>7.3713434265723876</v>
      </c>
    </row>
    <row r="8087" spans="37:38" s="4" customFormat="1">
      <c r="AK8087" s="3">
        <v>8081</v>
      </c>
      <c r="AL8087" s="163">
        <v>7.3719040147677717</v>
      </c>
    </row>
    <row r="8088" spans="37:38" s="4" customFormat="1">
      <c r="AK8088" s="3">
        <v>8082</v>
      </c>
      <c r="AL8088" s="163">
        <v>7.3724647353031045</v>
      </c>
    </row>
    <row r="8089" spans="37:38" s="4" customFormat="1">
      <c r="AK8089" s="3">
        <v>8083</v>
      </c>
      <c r="AL8089" s="163">
        <v>7.3730255887819141</v>
      </c>
    </row>
    <row r="8090" spans="37:38" s="4" customFormat="1">
      <c r="AK8090" s="3">
        <v>8084</v>
      </c>
      <c r="AL8090" s="163">
        <v>7.3735865758082397</v>
      </c>
    </row>
    <row r="8091" spans="37:38" s="4" customFormat="1">
      <c r="AK8091" s="3">
        <v>8085</v>
      </c>
      <c r="AL8091" s="163">
        <v>7.374147696986789</v>
      </c>
    </row>
    <row r="8092" spans="37:38" s="4" customFormat="1">
      <c r="AK8092" s="3">
        <v>8086</v>
      </c>
      <c r="AL8092" s="163">
        <v>7.3747089529225889</v>
      </c>
    </row>
    <row r="8093" spans="37:38" s="4" customFormat="1">
      <c r="AK8093" s="3">
        <v>8087</v>
      </c>
      <c r="AL8093" s="163">
        <v>7.3752703442215619</v>
      </c>
    </row>
    <row r="8094" spans="37:38" s="4" customFormat="1">
      <c r="AK8094" s="3">
        <v>8088</v>
      </c>
      <c r="AL8094" s="163">
        <v>7.3758318714898934</v>
      </c>
    </row>
    <row r="8095" spans="37:38" s="4" customFormat="1">
      <c r="AK8095" s="3">
        <v>8089</v>
      </c>
      <c r="AL8095" s="163">
        <v>7.3763935353345218</v>
      </c>
    </row>
    <row r="8096" spans="37:38" s="4" customFormat="1">
      <c r="AK8096" s="3">
        <v>8090</v>
      </c>
      <c r="AL8096" s="163">
        <v>7.3769553363627622</v>
      </c>
    </row>
    <row r="8097" spans="37:38" s="4" customFormat="1">
      <c r="AK8097" s="3">
        <v>8091</v>
      </c>
      <c r="AL8097" s="163">
        <v>7.3775172751827043</v>
      </c>
    </row>
    <row r="8098" spans="37:38" s="4" customFormat="1">
      <c r="AK8098" s="3">
        <v>8092</v>
      </c>
      <c r="AL8098" s="163">
        <v>7.3780793524027501</v>
      </c>
    </row>
    <row r="8099" spans="37:38" s="4" customFormat="1">
      <c r="AK8099" s="3">
        <v>8093</v>
      </c>
      <c r="AL8099" s="163">
        <v>7.3786415686320765</v>
      </c>
    </row>
    <row r="8100" spans="37:38" s="4" customFormat="1">
      <c r="AK8100" s="3">
        <v>8094</v>
      </c>
      <c r="AL8100" s="163">
        <v>7.3792039244802652</v>
      </c>
    </row>
    <row r="8101" spans="37:38" s="4" customFormat="1">
      <c r="AK8101" s="3">
        <v>8095</v>
      </c>
      <c r="AL8101" s="163">
        <v>7.3797664205576083</v>
      </c>
    </row>
    <row r="8102" spans="37:38" s="4" customFormat="1">
      <c r="AK8102" s="3">
        <v>8096</v>
      </c>
      <c r="AL8102" s="163">
        <v>7.380329057474782</v>
      </c>
    </row>
    <row r="8103" spans="37:38" s="4" customFormat="1">
      <c r="AK8103" s="3">
        <v>8097</v>
      </c>
      <c r="AL8103" s="163">
        <v>7.3808918358431015</v>
      </c>
    </row>
    <row r="8104" spans="37:38" s="4" customFormat="1">
      <c r="AK8104" s="3">
        <v>8098</v>
      </c>
      <c r="AL8104" s="163">
        <v>7.3814547562744792</v>
      </c>
    </row>
    <row r="8105" spans="37:38" s="4" customFormat="1">
      <c r="AK8105" s="3">
        <v>8099</v>
      </c>
      <c r="AL8105" s="163">
        <v>7.3820178193813604</v>
      </c>
    </row>
    <row r="8106" spans="37:38" s="4" customFormat="1">
      <c r="AK8106" s="3">
        <v>8100</v>
      </c>
      <c r="AL8106" s="163">
        <v>7.382581025776652</v>
      </c>
    </row>
    <row r="8107" spans="37:38" s="4" customFormat="1">
      <c r="AK8107" s="3">
        <v>8101</v>
      </c>
      <c r="AL8107" s="163">
        <v>7.3831443760739859</v>
      </c>
    </row>
    <row r="8108" spans="37:38" s="4" customFormat="1">
      <c r="AK8108" s="3">
        <v>8102</v>
      </c>
      <c r="AL8108" s="163">
        <v>7.3837078708874557</v>
      </c>
    </row>
    <row r="8109" spans="37:38" s="4" customFormat="1">
      <c r="AK8109" s="3">
        <v>8103</v>
      </c>
      <c r="AL8109" s="163">
        <v>7.3842715108317023</v>
      </c>
    </row>
    <row r="8110" spans="37:38" s="4" customFormat="1">
      <c r="AK8110" s="3">
        <v>8104</v>
      </c>
      <c r="AL8110" s="163">
        <v>7.3848352965219775</v>
      </c>
    </row>
    <row r="8111" spans="37:38" s="4" customFormat="1">
      <c r="AK8111" s="3">
        <v>8105</v>
      </c>
      <c r="AL8111" s="163">
        <v>7.3853992285740162</v>
      </c>
    </row>
    <row r="8112" spans="37:38" s="4" customFormat="1">
      <c r="AK8112" s="3">
        <v>8106</v>
      </c>
      <c r="AL8112" s="163">
        <v>7.3859633076042854</v>
      </c>
    </row>
    <row r="8113" spans="37:38" s="4" customFormat="1">
      <c r="AK8113" s="3">
        <v>8107</v>
      </c>
      <c r="AL8113" s="163">
        <v>7.3865275342295504</v>
      </c>
    </row>
    <row r="8114" spans="37:38" s="4" customFormat="1">
      <c r="AK8114" s="3">
        <v>8108</v>
      </c>
      <c r="AL8114" s="163">
        <v>7.3870919090673937</v>
      </c>
    </row>
    <row r="8115" spans="37:38" s="4" customFormat="1">
      <c r="AK8115" s="3">
        <v>8109</v>
      </c>
      <c r="AL8115" s="163">
        <v>7.3876564327357244</v>
      </c>
    </row>
    <row r="8116" spans="37:38" s="4" customFormat="1">
      <c r="AK8116" s="3">
        <v>8110</v>
      </c>
      <c r="AL8116" s="163">
        <v>7.3882211058532334</v>
      </c>
    </row>
    <row r="8117" spans="37:38" s="4" customFormat="1">
      <c r="AK8117" s="3">
        <v>8111</v>
      </c>
      <c r="AL8117" s="163">
        <v>7.3887859290390523</v>
      </c>
    </row>
    <row r="8118" spans="37:38" s="4" customFormat="1">
      <c r="AK8118" s="3">
        <v>8112</v>
      </c>
      <c r="AL8118" s="163">
        <v>7.389350902912831</v>
      </c>
    </row>
    <row r="8119" spans="37:38" s="4" customFormat="1">
      <c r="AK8119" s="3">
        <v>8113</v>
      </c>
      <c r="AL8119" s="163">
        <v>7.3899160280948237</v>
      </c>
    </row>
    <row r="8120" spans="37:38" s="4" customFormat="1">
      <c r="AK8120" s="3">
        <v>8114</v>
      </c>
      <c r="AL8120" s="163">
        <v>7.3904813052060092</v>
      </c>
    </row>
    <row r="8121" spans="37:38" s="4" customFormat="1">
      <c r="AK8121" s="3">
        <v>8115</v>
      </c>
      <c r="AL8121" s="163">
        <v>7.3910467348676221</v>
      </c>
    </row>
    <row r="8122" spans="37:38" s="4" customFormat="1">
      <c r="AK8122" s="3">
        <v>8116</v>
      </c>
      <c r="AL8122" s="163">
        <v>7.3916123177016928</v>
      </c>
    </row>
    <row r="8123" spans="37:38" s="4" customFormat="1">
      <c r="AK8123" s="3">
        <v>8117</v>
      </c>
      <c r="AL8123" s="163">
        <v>7.392178054330742</v>
      </c>
    </row>
    <row r="8124" spans="37:38" s="4" customFormat="1">
      <c r="AK8124" s="3">
        <v>8118</v>
      </c>
      <c r="AL8124" s="163">
        <v>7.3927439453777808</v>
      </c>
    </row>
    <row r="8125" spans="37:38" s="4" customFormat="1">
      <c r="AK8125" s="3">
        <v>8119</v>
      </c>
      <c r="AL8125" s="163">
        <v>7.3933099914665021</v>
      </c>
    </row>
    <row r="8126" spans="37:38" s="4" customFormat="1">
      <c r="AK8126" s="3">
        <v>8120</v>
      </c>
      <c r="AL8126" s="163">
        <v>7.3938761932211321</v>
      </c>
    </row>
    <row r="8127" spans="37:38" s="4" customFormat="1">
      <c r="AK8127" s="3">
        <v>8121</v>
      </c>
      <c r="AL8127" s="163">
        <v>7.3944425512664083</v>
      </c>
    </row>
    <row r="8128" spans="37:38" s="4" customFormat="1">
      <c r="AK8128" s="3">
        <v>8122</v>
      </c>
      <c r="AL8128" s="163">
        <v>7.3950090662275656</v>
      </c>
    </row>
    <row r="8129" spans="37:38" s="4" customFormat="1">
      <c r="AK8129" s="3">
        <v>8123</v>
      </c>
      <c r="AL8129" s="163">
        <v>7.3955757387306207</v>
      </c>
    </row>
    <row r="8130" spans="37:38" s="4" customFormat="1">
      <c r="AK8130" s="3">
        <v>8124</v>
      </c>
      <c r="AL8130" s="163">
        <v>7.3961425694019809</v>
      </c>
    </row>
    <row r="8131" spans="37:38" s="4" customFormat="1">
      <c r="AK8131" s="3">
        <v>8125</v>
      </c>
      <c r="AL8131" s="163">
        <v>7.3967095588686504</v>
      </c>
    </row>
    <row r="8132" spans="37:38" s="4" customFormat="1">
      <c r="AK8132" s="3">
        <v>8126</v>
      </c>
      <c r="AL8132" s="163">
        <v>7.3972767077582375</v>
      </c>
    </row>
    <row r="8133" spans="37:38" s="4" customFormat="1">
      <c r="AK8133" s="3">
        <v>8127</v>
      </c>
      <c r="AL8133" s="163">
        <v>7.3978440166988477</v>
      </c>
    </row>
    <row r="8134" spans="37:38" s="4" customFormat="1">
      <c r="AK8134" s="3">
        <v>8128</v>
      </c>
      <c r="AL8134" s="163">
        <v>7.3984114863192687</v>
      </c>
    </row>
    <row r="8135" spans="37:38" s="4" customFormat="1">
      <c r="AK8135" s="3">
        <v>8129</v>
      </c>
      <c r="AL8135" s="163">
        <v>7.3989791172486434</v>
      </c>
    </row>
    <row r="8136" spans="37:38" s="4" customFormat="1">
      <c r="AK8136" s="3">
        <v>8130</v>
      </c>
      <c r="AL8136" s="163">
        <v>7.3995469101168467</v>
      </c>
    </row>
    <row r="8137" spans="37:38" s="4" customFormat="1">
      <c r="AK8137" s="3">
        <v>8131</v>
      </c>
      <c r="AL8137" s="163">
        <v>7.4001148655543574</v>
      </c>
    </row>
    <row r="8138" spans="37:38" s="4" customFormat="1">
      <c r="AK8138" s="3">
        <v>8132</v>
      </c>
      <c r="AL8138" s="163">
        <v>7.4006829841920307</v>
      </c>
    </row>
    <row r="8139" spans="37:38" s="4" customFormat="1">
      <c r="AK8139" s="3">
        <v>8133</v>
      </c>
      <c r="AL8139" s="163">
        <v>7.4012512666614896</v>
      </c>
    </row>
    <row r="8140" spans="37:38" s="4" customFormat="1">
      <c r="AK8140" s="3">
        <v>8134</v>
      </c>
      <c r="AL8140" s="163">
        <v>7.4018197135947474</v>
      </c>
    </row>
    <row r="8141" spans="37:38" s="4" customFormat="1">
      <c r="AK8141" s="3">
        <v>8135</v>
      </c>
      <c r="AL8141" s="163">
        <v>7.4023883256244503</v>
      </c>
    </row>
    <row r="8142" spans="37:38" s="4" customFormat="1">
      <c r="AK8142" s="3">
        <v>8136</v>
      </c>
      <c r="AL8142" s="163">
        <v>7.4029571033839829</v>
      </c>
    </row>
    <row r="8143" spans="37:38" s="4" customFormat="1">
      <c r="AK8143" s="3">
        <v>8137</v>
      </c>
      <c r="AL8143" s="163">
        <v>7.4035260475069578</v>
      </c>
    </row>
    <row r="8144" spans="37:38" s="4" customFormat="1">
      <c r="AK8144" s="3">
        <v>8138</v>
      </c>
      <c r="AL8144" s="163">
        <v>7.4040951586277615</v>
      </c>
    </row>
    <row r="8145" spans="37:38" s="4" customFormat="1">
      <c r="AK8145" s="3">
        <v>8139</v>
      </c>
      <c r="AL8145" s="163">
        <v>7.4046644373813066</v>
      </c>
    </row>
    <row r="8146" spans="37:38" s="4" customFormat="1">
      <c r="AK8146" s="3">
        <v>8140</v>
      </c>
      <c r="AL8146" s="163">
        <v>7.4052338844031524</v>
      </c>
    </row>
    <row r="8147" spans="37:38" s="4" customFormat="1">
      <c r="AK8147" s="3">
        <v>8141</v>
      </c>
      <c r="AL8147" s="163">
        <v>7.4058035003292986</v>
      </c>
    </row>
    <row r="8148" spans="37:38" s="4" customFormat="1">
      <c r="AK8148" s="3">
        <v>8142</v>
      </c>
      <c r="AL8148" s="163">
        <v>7.4063732857963558</v>
      </c>
    </row>
    <row r="8149" spans="37:38" s="4" customFormat="1">
      <c r="AK8149" s="3">
        <v>8143</v>
      </c>
      <c r="AL8149" s="163">
        <v>7.406943241441553</v>
      </c>
    </row>
    <row r="8150" spans="37:38" s="4" customFormat="1">
      <c r="AK8150" s="3">
        <v>8144</v>
      </c>
      <c r="AL8150" s="163">
        <v>7.4075133679025598</v>
      </c>
    </row>
    <row r="8151" spans="37:38" s="4" customFormat="1">
      <c r="AK8151" s="3">
        <v>8145</v>
      </c>
      <c r="AL8151" s="163">
        <v>7.4080836658177986</v>
      </c>
    </row>
    <row r="8152" spans="37:38" s="4" customFormat="1">
      <c r="AK8152" s="3">
        <v>8146</v>
      </c>
      <c r="AL8152" s="163">
        <v>7.4086541358260547</v>
      </c>
    </row>
    <row r="8153" spans="37:38" s="4" customFormat="1">
      <c r="AK8153" s="3">
        <v>8147</v>
      </c>
      <c r="AL8153" s="163">
        <v>7.4092247785668306</v>
      </c>
    </row>
    <row r="8154" spans="37:38" s="4" customFormat="1">
      <c r="AK8154" s="3">
        <v>8148</v>
      </c>
      <c r="AL8154" s="163">
        <v>7.4097955946801761</v>
      </c>
    </row>
    <row r="8155" spans="37:38" s="4" customFormat="1">
      <c r="AK8155" s="3">
        <v>8149</v>
      </c>
      <c r="AL8155" s="163">
        <v>7.4103665848066385</v>
      </c>
    </row>
    <row r="8156" spans="37:38" s="4" customFormat="1">
      <c r="AK8156" s="3">
        <v>8150</v>
      </c>
      <c r="AL8156" s="163">
        <v>7.4109377495873332</v>
      </c>
    </row>
    <row r="8157" spans="37:38" s="4" customFormat="1">
      <c r="AK8157" s="3">
        <v>8151</v>
      </c>
      <c r="AL8157" s="163">
        <v>7.4115090896640226</v>
      </c>
    </row>
    <row r="8158" spans="37:38" s="4" customFormat="1">
      <c r="AK8158" s="3">
        <v>8152</v>
      </c>
      <c r="AL8158" s="163">
        <v>7.4120806056790229</v>
      </c>
    </row>
    <row r="8159" spans="37:38" s="4" customFormat="1">
      <c r="AK8159" s="3">
        <v>8153</v>
      </c>
      <c r="AL8159" s="163">
        <v>7.4126522982750913</v>
      </c>
    </row>
    <row r="8160" spans="37:38" s="4" customFormat="1">
      <c r="AK8160" s="3">
        <v>8154</v>
      </c>
      <c r="AL8160" s="163">
        <v>7.4132241680958302</v>
      </c>
    </row>
    <row r="8161" spans="37:38" s="4" customFormat="1">
      <c r="AK8161" s="3">
        <v>8155</v>
      </c>
      <c r="AL8161" s="163">
        <v>7.4137962157850765</v>
      </c>
    </row>
    <row r="8162" spans="37:38" s="4" customFormat="1">
      <c r="AK8162" s="3">
        <v>8156</v>
      </c>
      <c r="AL8162" s="163">
        <v>7.414368441987456</v>
      </c>
    </row>
    <row r="8163" spans="37:38" s="4" customFormat="1">
      <c r="AK8163" s="3">
        <v>8157</v>
      </c>
      <c r="AL8163" s="163">
        <v>7.4149408473481344</v>
      </c>
    </row>
    <row r="8164" spans="37:38" s="4" customFormat="1">
      <c r="AK8164" s="3">
        <v>8158</v>
      </c>
      <c r="AL8164" s="163">
        <v>7.4155134325127676</v>
      </c>
    </row>
    <row r="8165" spans="37:38" s="4" customFormat="1">
      <c r="AK8165" s="3">
        <v>8159</v>
      </c>
      <c r="AL8165" s="163">
        <v>7.4160861981276227</v>
      </c>
    </row>
    <row r="8166" spans="37:38" s="4" customFormat="1">
      <c r="AK8166" s="3">
        <v>8160</v>
      </c>
      <c r="AL8166" s="163">
        <v>7.416659144839592</v>
      </c>
    </row>
    <row r="8167" spans="37:38" s="4" customFormat="1">
      <c r="AK8167" s="3">
        <v>8161</v>
      </c>
      <c r="AL8167" s="163">
        <v>7.4172322732960225</v>
      </c>
    </row>
    <row r="8168" spans="37:38" s="4" customFormat="1">
      <c r="AK8168" s="3">
        <v>8162</v>
      </c>
      <c r="AL8168" s="163">
        <v>7.4178055841449577</v>
      </c>
    </row>
    <row r="8169" spans="37:38" s="4" customFormat="1">
      <c r="AK8169" s="3">
        <v>8163</v>
      </c>
      <c r="AL8169" s="163">
        <v>7.4183790780348957</v>
      </c>
    </row>
    <row r="8170" spans="37:38" s="4" customFormat="1">
      <c r="AK8170" s="3">
        <v>8164</v>
      </c>
      <c r="AL8170" s="163">
        <v>7.4189527556150026</v>
      </c>
    </row>
    <row r="8171" spans="37:38" s="4" customFormat="1">
      <c r="AK8171" s="3">
        <v>8165</v>
      </c>
      <c r="AL8171" s="163">
        <v>7.4195266175349346</v>
      </c>
    </row>
    <row r="8172" spans="37:38" s="4" customFormat="1">
      <c r="AK8172" s="3">
        <v>8166</v>
      </c>
      <c r="AL8172" s="163">
        <v>7.4201006644449947</v>
      </c>
    </row>
    <row r="8173" spans="37:38" s="4" customFormat="1">
      <c r="AK8173" s="3">
        <v>8167</v>
      </c>
      <c r="AL8173" s="163">
        <v>7.4206748969959762</v>
      </c>
    </row>
    <row r="8174" spans="37:38" s="4" customFormat="1">
      <c r="AK8174" s="3">
        <v>8168</v>
      </c>
      <c r="AL8174" s="163">
        <v>7.4212493158393116</v>
      </c>
    </row>
    <row r="8175" spans="37:38" s="4" customFormat="1">
      <c r="AK8175" s="3">
        <v>8169</v>
      </c>
      <c r="AL8175" s="163">
        <v>7.4218239216270021</v>
      </c>
    </row>
    <row r="8176" spans="37:38" s="4" customFormat="1">
      <c r="AK8176" s="3">
        <v>8170</v>
      </c>
      <c r="AL8176" s="163">
        <v>7.422398715011532</v>
      </c>
    </row>
    <row r="8177" spans="37:38" s="4" customFormat="1">
      <c r="AK8177" s="3">
        <v>8171</v>
      </c>
      <c r="AL8177" s="163">
        <v>7.4229736966460251</v>
      </c>
    </row>
    <row r="8178" spans="37:38" s="4" customFormat="1">
      <c r="AK8178" s="3">
        <v>8172</v>
      </c>
      <c r="AL8178" s="163">
        <v>7.423548867184202</v>
      </c>
    </row>
    <row r="8179" spans="37:38" s="4" customFormat="1">
      <c r="AK8179" s="3">
        <v>8173</v>
      </c>
      <c r="AL8179" s="163">
        <v>7.4241242272803802</v>
      </c>
    </row>
    <row r="8180" spans="37:38" s="4" customFormat="1">
      <c r="AK8180" s="3">
        <v>8174</v>
      </c>
      <c r="AL8180" s="163">
        <v>7.4246997775892964</v>
      </c>
    </row>
    <row r="8181" spans="37:38" s="4" customFormat="1">
      <c r="AK8181" s="3">
        <v>8175</v>
      </c>
      <c r="AL8181" s="163">
        <v>7.4252755187664334</v>
      </c>
    </row>
    <row r="8182" spans="37:38" s="4" customFormat="1">
      <c r="AK8182" s="3">
        <v>8176</v>
      </c>
      <c r="AL8182" s="163">
        <v>7.4258514514677145</v>
      </c>
    </row>
    <row r="8183" spans="37:38" s="4" customFormat="1">
      <c r="AK8183" s="3">
        <v>8177</v>
      </c>
      <c r="AL8183" s="163">
        <v>7.4264275763497025</v>
      </c>
    </row>
    <row r="8184" spans="37:38" s="4" customFormat="1">
      <c r="AK8184" s="3">
        <v>8178</v>
      </c>
      <c r="AL8184" s="163">
        <v>7.4270038940695855</v>
      </c>
    </row>
    <row r="8185" spans="37:38" s="4" customFormat="1">
      <c r="AK8185" s="3">
        <v>8179</v>
      </c>
      <c r="AL8185" s="163">
        <v>7.4275804052849708</v>
      </c>
    </row>
    <row r="8186" spans="37:38" s="4" customFormat="1">
      <c r="AK8186" s="3">
        <v>8180</v>
      </c>
      <c r="AL8186" s="163">
        <v>7.4281571106542188</v>
      </c>
    </row>
    <row r="8187" spans="37:38" s="4" customFormat="1">
      <c r="AK8187" s="3">
        <v>8181</v>
      </c>
      <c r="AL8187" s="163">
        <v>7.4287340108360951</v>
      </c>
    </row>
    <row r="8188" spans="37:38" s="4" customFormat="1">
      <c r="AK8188" s="3">
        <v>8182</v>
      </c>
      <c r="AL8188" s="163">
        <v>7.4293111064901112</v>
      </c>
    </row>
    <row r="8189" spans="37:38" s="4" customFormat="1">
      <c r="AK8189" s="3">
        <v>8183</v>
      </c>
      <c r="AL8189" s="163">
        <v>7.4298883982761623</v>
      </c>
    </row>
    <row r="8190" spans="37:38" s="4" customFormat="1">
      <c r="AK8190" s="3">
        <v>8184</v>
      </c>
      <c r="AL8190" s="163">
        <v>7.4304658868548543</v>
      </c>
    </row>
    <row r="8191" spans="37:38" s="4" customFormat="1">
      <c r="AK8191" s="3">
        <v>8185</v>
      </c>
      <c r="AL8191" s="163">
        <v>7.4310435728873827</v>
      </c>
    </row>
    <row r="8192" spans="37:38" s="4" customFormat="1">
      <c r="AK8192" s="3">
        <v>8186</v>
      </c>
      <c r="AL8192" s="163">
        <v>7.431621457035412</v>
      </c>
    </row>
    <row r="8193" spans="37:38" s="4" customFormat="1">
      <c r="AK8193" s="3">
        <v>8187</v>
      </c>
      <c r="AL8193" s="163">
        <v>7.4321995399611893</v>
      </c>
    </row>
    <row r="8194" spans="37:38" s="4" customFormat="1">
      <c r="AK8194" s="3">
        <v>8188</v>
      </c>
      <c r="AL8194" s="163">
        <v>7.4327778223276511</v>
      </c>
    </row>
    <row r="8195" spans="37:38" s="4" customFormat="1">
      <c r="AK8195" s="3">
        <v>8189</v>
      </c>
      <c r="AL8195" s="163">
        <v>7.4333563047982523</v>
      </c>
    </row>
    <row r="8196" spans="37:38" s="4" customFormat="1">
      <c r="AK8196" s="3">
        <v>8190</v>
      </c>
      <c r="AL8196" s="163">
        <v>7.4339349880369028</v>
      </c>
    </row>
    <row r="8197" spans="37:38" s="4" customFormat="1">
      <c r="AK8197" s="3">
        <v>8191</v>
      </c>
      <c r="AL8197" s="163">
        <v>7.4345138727082798</v>
      </c>
    </row>
    <row r="8198" spans="37:38" s="4" customFormat="1">
      <c r="AK8198" s="3">
        <v>8192</v>
      </c>
      <c r="AL8198" s="163">
        <v>7.435092959477565</v>
      </c>
    </row>
    <row r="8199" spans="37:38" s="4" customFormat="1">
      <c r="AK8199" s="3">
        <v>8193</v>
      </c>
      <c r="AL8199" s="163">
        <v>7.4356722490104517</v>
      </c>
    </row>
    <row r="8200" spans="37:38" s="4" customFormat="1">
      <c r="AK8200" s="3">
        <v>8194</v>
      </c>
      <c r="AL8200" s="163">
        <v>7.4362517419732441</v>
      </c>
    </row>
    <row r="8201" spans="37:38" s="4" customFormat="1">
      <c r="AK8201" s="3">
        <v>8195</v>
      </c>
      <c r="AL8201" s="163">
        <v>7.4368314390329076</v>
      </c>
    </row>
    <row r="8202" spans="37:38" s="4" customFormat="1">
      <c r="AK8202" s="3">
        <v>8196</v>
      </c>
      <c r="AL8202" s="163">
        <v>7.4374113408568618</v>
      </c>
    </row>
    <row r="8203" spans="37:38" s="4" customFormat="1">
      <c r="AK8203" s="3">
        <v>8197</v>
      </c>
      <c r="AL8203" s="163">
        <v>7.4379914481131237</v>
      </c>
    </row>
    <row r="8204" spans="37:38" s="4" customFormat="1">
      <c r="AK8204" s="3">
        <v>8198</v>
      </c>
      <c r="AL8204" s="163">
        <v>7.4385717614703566</v>
      </c>
    </row>
    <row r="8205" spans="37:38" s="4" customFormat="1">
      <c r="AK8205" s="3">
        <v>8199</v>
      </c>
      <c r="AL8205" s="163">
        <v>7.4391522815977709</v>
      </c>
    </row>
    <row r="8206" spans="37:38" s="4" customFormat="1">
      <c r="AK8206" s="3">
        <v>8200</v>
      </c>
      <c r="AL8206" s="163">
        <v>7.4397330091650957</v>
      </c>
    </row>
    <row r="8207" spans="37:38" s="4" customFormat="1">
      <c r="AK8207" s="3">
        <v>8201</v>
      </c>
      <c r="AL8207" s="163">
        <v>7.4403139448427495</v>
      </c>
    </row>
    <row r="8208" spans="37:38" s="4" customFormat="1">
      <c r="AK8208" s="3">
        <v>8202</v>
      </c>
      <c r="AL8208" s="163">
        <v>7.4408950893015842</v>
      </c>
    </row>
    <row r="8209" spans="37:38" s="4" customFormat="1">
      <c r="AK8209" s="3">
        <v>8203</v>
      </c>
      <c r="AL8209" s="163">
        <v>7.4414764432131832</v>
      </c>
    </row>
    <row r="8210" spans="37:38" s="4" customFormat="1">
      <c r="AK8210" s="3">
        <v>8204</v>
      </c>
      <c r="AL8210" s="163">
        <v>7.4420580072496278</v>
      </c>
    </row>
    <row r="8211" spans="37:38" s="4" customFormat="1">
      <c r="AK8211" s="3">
        <v>8205</v>
      </c>
      <c r="AL8211" s="163">
        <v>7.4426397820835319</v>
      </c>
    </row>
    <row r="8212" spans="37:38" s="4" customFormat="1">
      <c r="AK8212" s="3">
        <v>8206</v>
      </c>
      <c r="AL8212" s="163">
        <v>7.443221768388149</v>
      </c>
    </row>
    <row r="8213" spans="37:38" s="4" customFormat="1">
      <c r="AK8213" s="3">
        <v>8207</v>
      </c>
      <c r="AL8213" s="163">
        <v>7.4438039668373364</v>
      </c>
    </row>
    <row r="8214" spans="37:38" s="4" customFormat="1">
      <c r="AK8214" s="3">
        <v>8208</v>
      </c>
      <c r="AL8214" s="163">
        <v>7.4443863781054702</v>
      </c>
    </row>
    <row r="8215" spans="37:38" s="4" customFormat="1">
      <c r="AK8215" s="3">
        <v>8209</v>
      </c>
      <c r="AL8215" s="163">
        <v>7.4449690028675093</v>
      </c>
    </row>
    <row r="8216" spans="37:38" s="4" customFormat="1">
      <c r="AK8216" s="3">
        <v>8210</v>
      </c>
      <c r="AL8216" s="163">
        <v>7.445551841798995</v>
      </c>
    </row>
    <row r="8217" spans="37:38" s="4" customFormat="1">
      <c r="AK8217" s="3">
        <v>8211</v>
      </c>
      <c r="AL8217" s="163">
        <v>7.4461348955761366</v>
      </c>
    </row>
    <row r="8218" spans="37:38" s="4" customFormat="1">
      <c r="AK8218" s="3">
        <v>8212</v>
      </c>
      <c r="AL8218" s="163">
        <v>7.446718164875584</v>
      </c>
    </row>
    <row r="8219" spans="37:38" s="4" customFormat="1">
      <c r="AK8219" s="3">
        <v>8213</v>
      </c>
      <c r="AL8219" s="163">
        <v>7.4473016503747047</v>
      </c>
    </row>
    <row r="8220" spans="37:38" s="4" customFormat="1">
      <c r="AK8220" s="3">
        <v>8214</v>
      </c>
      <c r="AL8220" s="163">
        <v>7.4478853527512712</v>
      </c>
    </row>
    <row r="8221" spans="37:38" s="4" customFormat="1">
      <c r="AK8221" s="3">
        <v>8215</v>
      </c>
      <c r="AL8221" s="163">
        <v>7.4484692726837451</v>
      </c>
    </row>
    <row r="8222" spans="37:38" s="4" customFormat="1">
      <c r="AK8222" s="3">
        <v>8216</v>
      </c>
      <c r="AL8222" s="163">
        <v>7.4490534108512563</v>
      </c>
    </row>
    <row r="8223" spans="37:38" s="4" customFormat="1">
      <c r="AK8223" s="3">
        <v>8217</v>
      </c>
      <c r="AL8223" s="163">
        <v>7.4496377679333534</v>
      </c>
    </row>
    <row r="8224" spans="37:38" s="4" customFormat="1">
      <c r="AK8224" s="3">
        <v>8218</v>
      </c>
      <c r="AL8224" s="163">
        <v>7.4502223446102036</v>
      </c>
    </row>
    <row r="8225" spans="37:38" s="4" customFormat="1">
      <c r="AK8225" s="3">
        <v>8219</v>
      </c>
      <c r="AL8225" s="163">
        <v>7.450807141562656</v>
      </c>
    </row>
    <row r="8226" spans="37:38" s="4" customFormat="1">
      <c r="AK8226" s="3">
        <v>8220</v>
      </c>
      <c r="AL8226" s="163">
        <v>7.451392159471979</v>
      </c>
    </row>
    <row r="8227" spans="37:38" s="4" customFormat="1">
      <c r="AK8227" s="3">
        <v>8221</v>
      </c>
      <c r="AL8227" s="163">
        <v>7.4519773990201585</v>
      </c>
    </row>
    <row r="8228" spans="37:38" s="4" customFormat="1">
      <c r="AK8228" s="3">
        <v>8222</v>
      </c>
      <c r="AL8228" s="163">
        <v>7.4525628608896923</v>
      </c>
    </row>
    <row r="8229" spans="37:38" s="4" customFormat="1">
      <c r="AK8229" s="3">
        <v>8223</v>
      </c>
      <c r="AL8229" s="163">
        <v>7.4531485457636535</v>
      </c>
    </row>
    <row r="8230" spans="37:38" s="4" customFormat="1">
      <c r="AK8230" s="3">
        <v>8224</v>
      </c>
      <c r="AL8230" s="163">
        <v>7.4537344543257973</v>
      </c>
    </row>
    <row r="8231" spans="37:38" s="4" customFormat="1">
      <c r="AK8231" s="3">
        <v>8225</v>
      </c>
      <c r="AL8231" s="163">
        <v>7.4543205872602911</v>
      </c>
    </row>
    <row r="8232" spans="37:38" s="4" customFormat="1">
      <c r="AK8232" s="3">
        <v>8226</v>
      </c>
      <c r="AL8232" s="163">
        <v>7.4549069452520627</v>
      </c>
    </row>
    <row r="8233" spans="37:38" s="4" customFormat="1">
      <c r="AK8233" s="3">
        <v>8227</v>
      </c>
      <c r="AL8233" s="163">
        <v>7.4554935289864801</v>
      </c>
    </row>
    <row r="8234" spans="37:38" s="4" customFormat="1">
      <c r="AK8234" s="3">
        <v>8228</v>
      </c>
      <c r="AL8234" s="163">
        <v>7.4560803391495867</v>
      </c>
    </row>
    <row r="8235" spans="37:38" s="4" customFormat="1">
      <c r="AK8235" s="3">
        <v>8229</v>
      </c>
      <c r="AL8235" s="163">
        <v>7.4566673764279159</v>
      </c>
    </row>
    <row r="8236" spans="37:38" s="4" customFormat="1">
      <c r="AK8236" s="3">
        <v>8230</v>
      </c>
      <c r="AL8236" s="163">
        <v>7.4572546415086691</v>
      </c>
    </row>
    <row r="8237" spans="37:38" s="4" customFormat="1">
      <c r="AK8237" s="3">
        <v>8231</v>
      </c>
      <c r="AL8237" s="163">
        <v>7.4578421350795665</v>
      </c>
    </row>
    <row r="8238" spans="37:38" s="4" customFormat="1">
      <c r="AK8238" s="3">
        <v>8232</v>
      </c>
      <c r="AL8238" s="163">
        <v>7.4584298578290316</v>
      </c>
    </row>
    <row r="8239" spans="37:38" s="4" customFormat="1">
      <c r="AK8239" s="3">
        <v>8233</v>
      </c>
      <c r="AL8239" s="163">
        <v>7.4590178104458857</v>
      </c>
    </row>
    <row r="8240" spans="37:38" s="4" customFormat="1">
      <c r="AK8240" s="3">
        <v>8234</v>
      </c>
      <c r="AL8240" s="163">
        <v>7.4596059936196824</v>
      </c>
    </row>
    <row r="8241" spans="37:38" s="4" customFormat="1">
      <c r="AK8241" s="3">
        <v>8235</v>
      </c>
      <c r="AL8241" s="163">
        <v>7.4601944080404863</v>
      </c>
    </row>
    <row r="8242" spans="37:38" s="4" customFormat="1">
      <c r="AK8242" s="3">
        <v>8236</v>
      </c>
      <c r="AL8242" s="163">
        <v>7.4607830543989593</v>
      </c>
    </row>
    <row r="8243" spans="37:38" s="4" customFormat="1">
      <c r="AK8243" s="3">
        <v>8237</v>
      </c>
      <c r="AL8243" s="163">
        <v>7.4613719333863742</v>
      </c>
    </row>
    <row r="8244" spans="37:38" s="4" customFormat="1">
      <c r="AK8244" s="3">
        <v>8238</v>
      </c>
      <c r="AL8244" s="163">
        <v>7.4619610456946148</v>
      </c>
    </row>
    <row r="8245" spans="37:38" s="4" customFormat="1">
      <c r="AK8245" s="3">
        <v>8239</v>
      </c>
      <c r="AL8245" s="163">
        <v>7.4625503920160199</v>
      </c>
    </row>
    <row r="8246" spans="37:38" s="4" customFormat="1">
      <c r="AK8246" s="3">
        <v>8240</v>
      </c>
      <c r="AL8246" s="163">
        <v>7.4631399730435604</v>
      </c>
    </row>
    <row r="8247" spans="37:38" s="4" customFormat="1">
      <c r="AK8247" s="3">
        <v>8241</v>
      </c>
      <c r="AL8247" s="163">
        <v>7.4637297894709604</v>
      </c>
    </row>
    <row r="8248" spans="37:38" s="4" customFormat="1">
      <c r="AK8248" s="3">
        <v>8242</v>
      </c>
      <c r="AL8248" s="163">
        <v>7.4643198419922641</v>
      </c>
    </row>
    <row r="8249" spans="37:38" s="4" customFormat="1">
      <c r="AK8249" s="3">
        <v>8243</v>
      </c>
      <c r="AL8249" s="163">
        <v>7.464910131302311</v>
      </c>
    </row>
    <row r="8250" spans="37:38" s="4" customFormat="1">
      <c r="AK8250" s="3">
        <v>8244</v>
      </c>
      <c r="AL8250" s="163">
        <v>7.4655006580964667</v>
      </c>
    </row>
    <row r="8251" spans="37:38" s="4" customFormat="1">
      <c r="AK8251" s="3">
        <v>8245</v>
      </c>
      <c r="AL8251" s="163">
        <v>7.466091423070516</v>
      </c>
    </row>
    <row r="8252" spans="37:38" s="4" customFormat="1">
      <c r="AK8252" s="3">
        <v>8246</v>
      </c>
      <c r="AL8252" s="163">
        <v>7.466682426921146</v>
      </c>
    </row>
    <row r="8253" spans="37:38" s="4" customFormat="1">
      <c r="AK8253" s="3">
        <v>8247</v>
      </c>
      <c r="AL8253" s="163">
        <v>7.4672736703453566</v>
      </c>
    </row>
    <row r="8254" spans="37:38" s="4" customFormat="1">
      <c r="AK8254" s="3">
        <v>8248</v>
      </c>
      <c r="AL8254" s="163">
        <v>7.4678651540409007</v>
      </c>
    </row>
    <row r="8255" spans="37:38" s="4" customFormat="1">
      <c r="AK8255" s="3">
        <v>8249</v>
      </c>
      <c r="AL8255" s="163">
        <v>7.4684568787058936</v>
      </c>
    </row>
    <row r="8256" spans="37:38" s="4" customFormat="1">
      <c r="AK8256" s="3">
        <v>8250</v>
      </c>
      <c r="AL8256" s="163">
        <v>7.4690488450393531</v>
      </c>
    </row>
    <row r="8257" spans="37:38" s="4" customFormat="1">
      <c r="AK8257" s="3">
        <v>8251</v>
      </c>
      <c r="AL8257" s="163">
        <v>7.4696410537406948</v>
      </c>
    </row>
    <row r="8258" spans="37:38" s="4" customFormat="1">
      <c r="AK8258" s="3">
        <v>8252</v>
      </c>
      <c r="AL8258" s="163">
        <v>7.4702335055099098</v>
      </c>
    </row>
    <row r="8259" spans="37:38" s="4" customFormat="1">
      <c r="AK8259" s="3">
        <v>8253</v>
      </c>
      <c r="AL8259" s="163">
        <v>7.4708262010476645</v>
      </c>
    </row>
    <row r="8260" spans="37:38" s="4" customFormat="1">
      <c r="AK8260" s="3">
        <v>8254</v>
      </c>
      <c r="AL8260" s="163">
        <v>7.4714191410551365</v>
      </c>
    </row>
    <row r="8261" spans="37:38" s="4" customFormat="1">
      <c r="AK8261" s="3">
        <v>8255</v>
      </c>
      <c r="AL8261" s="163">
        <v>7.4720123262341147</v>
      </c>
    </row>
    <row r="8262" spans="37:38" s="4" customFormat="1">
      <c r="AK8262" s="3">
        <v>8256</v>
      </c>
      <c r="AL8262" s="163">
        <v>7.4726057572869564</v>
      </c>
    </row>
    <row r="8263" spans="37:38" s="4" customFormat="1">
      <c r="AK8263" s="3">
        <v>8257</v>
      </c>
      <c r="AL8263" s="163">
        <v>7.4731994349165873</v>
      </c>
    </row>
    <row r="8264" spans="37:38" s="4" customFormat="1">
      <c r="AK8264" s="3">
        <v>8258</v>
      </c>
      <c r="AL8264" s="163">
        <v>7.4737933598266579</v>
      </c>
    </row>
    <row r="8265" spans="37:38" s="4" customFormat="1">
      <c r="AK8265" s="3">
        <v>8259</v>
      </c>
      <c r="AL8265" s="163">
        <v>7.4743875327212876</v>
      </c>
    </row>
    <row r="8266" spans="37:38" s="4" customFormat="1">
      <c r="AK8266" s="3">
        <v>8260</v>
      </c>
      <c r="AL8266" s="163">
        <v>7.4749819543051643</v>
      </c>
    </row>
    <row r="8267" spans="37:38" s="4" customFormat="1">
      <c r="AK8267" s="3">
        <v>8261</v>
      </c>
      <c r="AL8267" s="163">
        <v>7.4755766252836651</v>
      </c>
    </row>
    <row r="8268" spans="37:38" s="4" customFormat="1">
      <c r="AK8268" s="3">
        <v>8262</v>
      </c>
      <c r="AL8268" s="163">
        <v>7.4761715463626146</v>
      </c>
    </row>
    <row r="8269" spans="37:38" s="4" customFormat="1">
      <c r="AK8269" s="3">
        <v>8263</v>
      </c>
      <c r="AL8269" s="163">
        <v>7.4767667182485624</v>
      </c>
    </row>
    <row r="8270" spans="37:38" s="4" customFormat="1">
      <c r="AK8270" s="3">
        <v>8264</v>
      </c>
      <c r="AL8270" s="163">
        <v>7.4773621416486193</v>
      </c>
    </row>
    <row r="8271" spans="37:38" s="4" customFormat="1">
      <c r="AK8271" s="3">
        <v>8265</v>
      </c>
      <c r="AL8271" s="163">
        <v>7.4779578172703296</v>
      </c>
    </row>
    <row r="8272" spans="37:38" s="4" customFormat="1">
      <c r="AK8272" s="3">
        <v>8266</v>
      </c>
      <c r="AL8272" s="163">
        <v>7.4785537458221114</v>
      </c>
    </row>
    <row r="8273" spans="37:38" s="4" customFormat="1">
      <c r="AK8273" s="3">
        <v>8267</v>
      </c>
      <c r="AL8273" s="163">
        <v>7.4791499280126601</v>
      </c>
    </row>
    <row r="8274" spans="37:38" s="4" customFormat="1">
      <c r="AK8274" s="3">
        <v>8268</v>
      </c>
      <c r="AL8274" s="163">
        <v>7.4797463645515592</v>
      </c>
    </row>
    <row r="8275" spans="37:38" s="4" customFormat="1">
      <c r="AK8275" s="3">
        <v>8269</v>
      </c>
      <c r="AL8275" s="163">
        <v>7.4803430561487403</v>
      </c>
    </row>
    <row r="8276" spans="37:38" s="4" customFormat="1">
      <c r="AK8276" s="3">
        <v>8270</v>
      </c>
      <c r="AL8276" s="163">
        <v>7.480940003514867</v>
      </c>
    </row>
    <row r="8277" spans="37:38" s="4" customFormat="1">
      <c r="AK8277" s="3">
        <v>8271</v>
      </c>
      <c r="AL8277" s="163">
        <v>7.4815372073612139</v>
      </c>
    </row>
    <row r="8278" spans="37:38" s="4" customFormat="1">
      <c r="AK8278" s="3">
        <v>8272</v>
      </c>
      <c r="AL8278" s="163">
        <v>7.4821346683994321</v>
      </c>
    </row>
    <row r="8279" spans="37:38" s="4" customFormat="1">
      <c r="AK8279" s="3">
        <v>8273</v>
      </c>
      <c r="AL8279" s="163">
        <v>7.4827323873419544</v>
      </c>
    </row>
    <row r="8280" spans="37:38" s="4" customFormat="1">
      <c r="AK8280" s="3">
        <v>8274</v>
      </c>
      <c r="AL8280" s="163">
        <v>7.4833303649018177</v>
      </c>
    </row>
    <row r="8281" spans="37:38" s="4" customFormat="1">
      <c r="AK8281" s="3">
        <v>8275</v>
      </c>
      <c r="AL8281" s="163">
        <v>7.4839286017925772</v>
      </c>
    </row>
    <row r="8282" spans="37:38" s="4" customFormat="1">
      <c r="AK8282" s="3">
        <v>8276</v>
      </c>
      <c r="AL8282" s="163">
        <v>7.4845270987283286</v>
      </c>
    </row>
    <row r="8283" spans="37:38" s="4" customFormat="1">
      <c r="AK8283" s="3">
        <v>8277</v>
      </c>
      <c r="AL8283" s="163">
        <v>7.4851258564238989</v>
      </c>
    </row>
    <row r="8284" spans="37:38" s="4" customFormat="1">
      <c r="AK8284" s="3">
        <v>8278</v>
      </c>
      <c r="AL8284" s="163">
        <v>7.4857248755946557</v>
      </c>
    </row>
    <row r="8285" spans="37:38" s="4" customFormat="1">
      <c r="AK8285" s="3">
        <v>8279</v>
      </c>
      <c r="AL8285" s="163">
        <v>7.4863241569563712</v>
      </c>
    </row>
    <row r="8286" spans="37:38" s="4" customFormat="1">
      <c r="AK8286" s="3">
        <v>8280</v>
      </c>
      <c r="AL8286" s="163">
        <v>7.4869237012257557</v>
      </c>
    </row>
    <row r="8287" spans="37:38" s="4" customFormat="1">
      <c r="AK8287" s="3">
        <v>8281</v>
      </c>
      <c r="AL8287" s="163">
        <v>7.4875235091198391</v>
      </c>
    </row>
    <row r="8288" spans="37:38" s="4" customFormat="1">
      <c r="AK8288" s="3">
        <v>8282</v>
      </c>
      <c r="AL8288" s="163">
        <v>7.4881235813563336</v>
      </c>
    </row>
    <row r="8289" spans="37:38" s="4" customFormat="1">
      <c r="AK8289" s="3">
        <v>8283</v>
      </c>
      <c r="AL8289" s="163">
        <v>7.4887239186535908</v>
      </c>
    </row>
    <row r="8290" spans="37:38" s="4" customFormat="1">
      <c r="AK8290" s="3">
        <v>8284</v>
      </c>
      <c r="AL8290" s="163">
        <v>7.4893245217304525</v>
      </c>
    </row>
    <row r="8291" spans="37:38" s="4" customFormat="1">
      <c r="AK8291" s="3">
        <v>8285</v>
      </c>
      <c r="AL8291" s="163">
        <v>7.4899253913064001</v>
      </c>
    </row>
    <row r="8292" spans="37:38" s="4" customFormat="1">
      <c r="AK8292" s="3">
        <v>8286</v>
      </c>
      <c r="AL8292" s="163">
        <v>7.4905265281015403</v>
      </c>
    </row>
    <row r="8293" spans="37:38" s="4" customFormat="1">
      <c r="AK8293" s="3">
        <v>8287</v>
      </c>
      <c r="AL8293" s="163">
        <v>7.4911279328365907</v>
      </c>
    </row>
    <row r="8294" spans="37:38" s="4" customFormat="1">
      <c r="AK8294" s="3">
        <v>8288</v>
      </c>
      <c r="AL8294" s="163">
        <v>7.4917296062326955</v>
      </c>
    </row>
    <row r="8295" spans="37:38" s="4" customFormat="1">
      <c r="AK8295" s="3">
        <v>8289</v>
      </c>
      <c r="AL8295" s="163">
        <v>7.4923315490118583</v>
      </c>
    </row>
    <row r="8296" spans="37:38" s="4" customFormat="1">
      <c r="AK8296" s="3">
        <v>8290</v>
      </c>
      <c r="AL8296" s="163">
        <v>7.4929337618964453</v>
      </c>
    </row>
    <row r="8297" spans="37:38" s="4" customFormat="1">
      <c r="AK8297" s="3">
        <v>8291</v>
      </c>
      <c r="AL8297" s="163">
        <v>7.4935362456094907</v>
      </c>
    </row>
    <row r="8298" spans="37:38" s="4" customFormat="1">
      <c r="AK8298" s="3">
        <v>8292</v>
      </c>
      <c r="AL8298" s="163">
        <v>7.4941390008746538</v>
      </c>
    </row>
    <row r="8299" spans="37:38" s="4" customFormat="1">
      <c r="AK8299" s="3">
        <v>8293</v>
      </c>
      <c r="AL8299" s="163">
        <v>7.4947420284161979</v>
      </c>
    </row>
    <row r="8300" spans="37:38" s="4" customFormat="1">
      <c r="AK8300" s="3">
        <v>8294</v>
      </c>
      <c r="AL8300" s="163">
        <v>7.4953453289589334</v>
      </c>
    </row>
    <row r="8301" spans="37:38" s="4" customFormat="1">
      <c r="AK8301" s="3">
        <v>8295</v>
      </c>
      <c r="AL8301" s="163">
        <v>7.4959489032282605</v>
      </c>
    </row>
    <row r="8302" spans="37:38" s="4" customFormat="1">
      <c r="AK8302" s="3">
        <v>8296</v>
      </c>
      <c r="AL8302" s="163">
        <v>7.4965527519502331</v>
      </c>
    </row>
    <row r="8303" spans="37:38" s="4" customFormat="1">
      <c r="AK8303" s="3">
        <v>8297</v>
      </c>
      <c r="AL8303" s="163">
        <v>7.4971568758514451</v>
      </c>
    </row>
    <row r="8304" spans="37:38" s="4" customFormat="1">
      <c r="AK8304" s="3">
        <v>8298</v>
      </c>
      <c r="AL8304" s="163">
        <v>7.4977612756591085</v>
      </c>
    </row>
    <row r="8305" spans="37:38" s="4" customFormat="1">
      <c r="AK8305" s="3">
        <v>8299</v>
      </c>
      <c r="AL8305" s="163">
        <v>7.4983659521009827</v>
      </c>
    </row>
    <row r="8306" spans="37:38" s="4" customFormat="1">
      <c r="AK8306" s="3">
        <v>8300</v>
      </c>
      <c r="AL8306" s="163">
        <v>7.4989709059055443</v>
      </c>
    </row>
    <row r="8307" spans="37:38" s="4" customFormat="1">
      <c r="AK8307" s="3">
        <v>8301</v>
      </c>
      <c r="AL8307" s="163">
        <v>7.4995761378017249</v>
      </c>
    </row>
    <row r="8308" spans="37:38" s="4" customFormat="1">
      <c r="AK8308" s="3">
        <v>8302</v>
      </c>
      <c r="AL8308" s="163">
        <v>7.5001816485191526</v>
      </c>
    </row>
    <row r="8309" spans="37:38" s="4" customFormat="1">
      <c r="AK8309" s="3">
        <v>8303</v>
      </c>
      <c r="AL8309" s="163">
        <v>7.5007874387879312</v>
      </c>
    </row>
    <row r="8310" spans="37:38" s="4" customFormat="1">
      <c r="AK8310" s="3">
        <v>8304</v>
      </c>
      <c r="AL8310" s="163">
        <v>7.5013935093390174</v>
      </c>
    </row>
    <row r="8311" spans="37:38" s="4" customFormat="1">
      <c r="AK8311" s="3">
        <v>8305</v>
      </c>
      <c r="AL8311" s="163">
        <v>7.501999860903581</v>
      </c>
    </row>
    <row r="8312" spans="37:38" s="4" customFormat="1">
      <c r="AK8312" s="3">
        <v>8306</v>
      </c>
      <c r="AL8312" s="163">
        <v>7.5026064942136941</v>
      </c>
    </row>
    <row r="8313" spans="37:38" s="4" customFormat="1">
      <c r="AK8313" s="3">
        <v>8307</v>
      </c>
      <c r="AL8313" s="163">
        <v>7.5032134100019192</v>
      </c>
    </row>
    <row r="8314" spans="37:38" s="4" customFormat="1">
      <c r="AK8314" s="3">
        <v>8308</v>
      </c>
      <c r="AL8314" s="163">
        <v>7.5038206090014441</v>
      </c>
    </row>
    <row r="8315" spans="37:38" s="4" customFormat="1">
      <c r="AK8315" s="3">
        <v>8309</v>
      </c>
      <c r="AL8315" s="163">
        <v>7.5044280919460249</v>
      </c>
    </row>
    <row r="8316" spans="37:38" s="4" customFormat="1">
      <c r="AK8316" s="3">
        <v>8310</v>
      </c>
      <c r="AL8316" s="163">
        <v>7.505035859570043</v>
      </c>
    </row>
    <row r="8317" spans="37:38" s="4" customFormat="1">
      <c r="AK8317" s="3">
        <v>8311</v>
      </c>
      <c r="AL8317" s="163">
        <v>7.5056439126083561</v>
      </c>
    </row>
    <row r="8318" spans="37:38" s="4" customFormat="1">
      <c r="AK8318" s="3">
        <v>8312</v>
      </c>
      <c r="AL8318" s="163">
        <v>7.5062522517965462</v>
      </c>
    </row>
    <row r="8319" spans="37:38" s="4" customFormat="1">
      <c r="AK8319" s="3">
        <v>8313</v>
      </c>
      <c r="AL8319" s="163">
        <v>7.5068608778708636</v>
      </c>
    </row>
    <row r="8320" spans="37:38" s="4" customFormat="1">
      <c r="AK8320" s="3">
        <v>8314</v>
      </c>
      <c r="AL8320" s="163">
        <v>7.507469791567992</v>
      </c>
    </row>
    <row r="8321" spans="37:38" s="4" customFormat="1">
      <c r="AK8321" s="3">
        <v>8315</v>
      </c>
      <c r="AL8321" s="163">
        <v>7.5080789936253325</v>
      </c>
    </row>
    <row r="8322" spans="37:38" s="4" customFormat="1">
      <c r="AK8322" s="3">
        <v>8316</v>
      </c>
      <c r="AL8322" s="163">
        <v>7.5086884847806914</v>
      </c>
    </row>
    <row r="8323" spans="37:38" s="4" customFormat="1">
      <c r="AK8323" s="3">
        <v>8317</v>
      </c>
      <c r="AL8323" s="163">
        <v>7.5092982657727489</v>
      </c>
    </row>
    <row r="8324" spans="37:38" s="4" customFormat="1">
      <c r="AK8324" s="3">
        <v>8318</v>
      </c>
      <c r="AL8324" s="163">
        <v>7.5099083373406756</v>
      </c>
    </row>
    <row r="8325" spans="37:38" s="4" customFormat="1">
      <c r="AK8325" s="3">
        <v>8319</v>
      </c>
      <c r="AL8325" s="163">
        <v>7.5105187002240257</v>
      </c>
    </row>
    <row r="8326" spans="37:38" s="4" customFormat="1">
      <c r="AK8326" s="3">
        <v>8320</v>
      </c>
      <c r="AL8326" s="163">
        <v>7.5111293551633693</v>
      </c>
    </row>
    <row r="8327" spans="37:38" s="4" customFormat="1">
      <c r="AK8327" s="3">
        <v>8321</v>
      </c>
      <c r="AL8327" s="163">
        <v>7.5117403028994687</v>
      </c>
    </row>
    <row r="8328" spans="37:38" s="4" customFormat="1">
      <c r="AK8328" s="3">
        <v>8322</v>
      </c>
      <c r="AL8328" s="163">
        <v>7.5123515441739741</v>
      </c>
    </row>
    <row r="8329" spans="37:38" s="4" customFormat="1">
      <c r="AK8329" s="3">
        <v>8323</v>
      </c>
      <c r="AL8329" s="163">
        <v>7.5129630797289764</v>
      </c>
    </row>
    <row r="8330" spans="37:38" s="4" customFormat="1">
      <c r="AK8330" s="3">
        <v>8324</v>
      </c>
      <c r="AL8330" s="163">
        <v>7.5135749103072484</v>
      </c>
    </row>
    <row r="8331" spans="37:38" s="4" customFormat="1">
      <c r="AK8331" s="3">
        <v>8325</v>
      </c>
      <c r="AL8331" s="163">
        <v>7.5141870366520536</v>
      </c>
    </row>
    <row r="8332" spans="37:38" s="4" customFormat="1">
      <c r="AK8332" s="3">
        <v>8326</v>
      </c>
      <c r="AL8332" s="163">
        <v>7.5147994595074508</v>
      </c>
    </row>
    <row r="8333" spans="37:38" s="4" customFormat="1">
      <c r="AK8333" s="3">
        <v>8327</v>
      </c>
      <c r="AL8333" s="163">
        <v>7.5154121796178899</v>
      </c>
    </row>
    <row r="8334" spans="37:38" s="4" customFormat="1">
      <c r="AK8334" s="3">
        <v>8328</v>
      </c>
      <c r="AL8334" s="163">
        <v>7.51602519772851</v>
      </c>
    </row>
    <row r="8335" spans="37:38" s="4" customFormat="1">
      <c r="AK8335" s="3">
        <v>8329</v>
      </c>
      <c r="AL8335" s="163">
        <v>7.5166385145851251</v>
      </c>
    </row>
    <row r="8336" spans="37:38" s="4" customFormat="1">
      <c r="AK8336" s="3">
        <v>8330</v>
      </c>
      <c r="AL8336" s="163">
        <v>7.5172521309340041</v>
      </c>
    </row>
    <row r="8337" spans="37:38" s="4" customFormat="1">
      <c r="AK8337" s="3">
        <v>8331</v>
      </c>
      <c r="AL8337" s="163">
        <v>7.5178660475221193</v>
      </c>
    </row>
    <row r="8338" spans="37:38" s="4" customFormat="1">
      <c r="AK8338" s="3">
        <v>8332</v>
      </c>
      <c r="AL8338" s="163">
        <v>7.5184802650970255</v>
      </c>
    </row>
    <row r="8339" spans="37:38" s="4" customFormat="1">
      <c r="AK8339" s="3">
        <v>8333</v>
      </c>
      <c r="AL8339" s="163">
        <v>7.5190947844068319</v>
      </c>
    </row>
    <row r="8340" spans="37:38" s="4" customFormat="1">
      <c r="AK8340" s="3">
        <v>8334</v>
      </c>
      <c r="AL8340" s="163">
        <v>7.5197096062003723</v>
      </c>
    </row>
    <row r="8341" spans="37:38" s="4" customFormat="1">
      <c r="AK8341" s="3">
        <v>8335</v>
      </c>
      <c r="AL8341" s="163">
        <v>7.520324731226836</v>
      </c>
    </row>
    <row r="8342" spans="37:38" s="4" customFormat="1">
      <c r="AK8342" s="3">
        <v>8336</v>
      </c>
      <c r="AL8342" s="163">
        <v>7.5209401602362789</v>
      </c>
    </row>
    <row r="8343" spans="37:38" s="4" customFormat="1">
      <c r="AK8343" s="3">
        <v>8337</v>
      </c>
      <c r="AL8343" s="163">
        <v>7.521555893979226</v>
      </c>
    </row>
    <row r="8344" spans="37:38" s="4" customFormat="1">
      <c r="AK8344" s="3">
        <v>8338</v>
      </c>
      <c r="AL8344" s="163">
        <v>7.522171933206927</v>
      </c>
    </row>
    <row r="8345" spans="37:38" s="4" customFormat="1">
      <c r="AK8345" s="3">
        <v>8339</v>
      </c>
      <c r="AL8345" s="163">
        <v>7.5227882786710225</v>
      </c>
    </row>
    <row r="8346" spans="37:38" s="4" customFormat="1">
      <c r="AK8346" s="3">
        <v>8340</v>
      </c>
      <c r="AL8346" s="163">
        <v>7.523404931123892</v>
      </c>
    </row>
    <row r="8347" spans="37:38" s="4" customFormat="1">
      <c r="AK8347" s="3">
        <v>8341</v>
      </c>
      <c r="AL8347" s="163">
        <v>7.5240218913185259</v>
      </c>
    </row>
    <row r="8348" spans="37:38" s="4" customFormat="1">
      <c r="AK8348" s="3">
        <v>8342</v>
      </c>
      <c r="AL8348" s="163">
        <v>7.5246391600084905</v>
      </c>
    </row>
    <row r="8349" spans="37:38" s="4" customFormat="1">
      <c r="AK8349" s="3">
        <v>8343</v>
      </c>
      <c r="AL8349" s="163">
        <v>7.5252567379479132</v>
      </c>
    </row>
    <row r="8350" spans="37:38" s="4" customFormat="1">
      <c r="AK8350" s="3">
        <v>8344</v>
      </c>
      <c r="AL8350" s="163">
        <v>7.5258746258915608</v>
      </c>
    </row>
    <row r="8351" spans="37:38" s="4" customFormat="1">
      <c r="AK8351" s="3">
        <v>8345</v>
      </c>
      <c r="AL8351" s="163">
        <v>7.5264928245948468</v>
      </c>
    </row>
    <row r="8352" spans="37:38" s="4" customFormat="1">
      <c r="AK8352" s="3">
        <v>8346</v>
      </c>
      <c r="AL8352" s="163">
        <v>7.5271113348138456</v>
      </c>
    </row>
    <row r="8353" spans="37:38" s="4" customFormat="1">
      <c r="AK8353" s="3">
        <v>8347</v>
      </c>
      <c r="AL8353" s="163">
        <v>7.5277301573050153</v>
      </c>
    </row>
    <row r="8354" spans="37:38" s="4" customFormat="1">
      <c r="AK8354" s="3">
        <v>8348</v>
      </c>
      <c r="AL8354" s="163">
        <v>7.5283492928255029</v>
      </c>
    </row>
    <row r="8355" spans="37:38" s="4" customFormat="1">
      <c r="AK8355" s="3">
        <v>8349</v>
      </c>
      <c r="AL8355" s="163">
        <v>7.5289687421332374</v>
      </c>
    </row>
    <row r="8356" spans="37:38" s="4" customFormat="1">
      <c r="AK8356" s="3">
        <v>8350</v>
      </c>
      <c r="AL8356" s="163">
        <v>7.5295885059864389</v>
      </c>
    </row>
    <row r="8357" spans="37:38" s="4" customFormat="1">
      <c r="AK8357" s="3">
        <v>8351</v>
      </c>
      <c r="AL8357" s="163">
        <v>7.5302085851442939</v>
      </c>
    </row>
    <row r="8358" spans="37:38" s="4" customFormat="1">
      <c r="AK8358" s="3">
        <v>8352</v>
      </c>
      <c r="AL8358" s="163">
        <v>7.53082898036633</v>
      </c>
    </row>
    <row r="8359" spans="37:38" s="4" customFormat="1">
      <c r="AK8359" s="3">
        <v>8353</v>
      </c>
      <c r="AL8359" s="163">
        <v>7.5314496924126999</v>
      </c>
    </row>
    <row r="8360" spans="37:38" s="4" customFormat="1">
      <c r="AK8360" s="3">
        <v>8354</v>
      </c>
      <c r="AL8360" s="163">
        <v>7.5320707220443097</v>
      </c>
    </row>
    <row r="8361" spans="37:38" s="4" customFormat="1">
      <c r="AK8361" s="3">
        <v>8355</v>
      </c>
      <c r="AL8361" s="163">
        <v>7.5326920700225344</v>
      </c>
    </row>
    <row r="8362" spans="37:38" s="4" customFormat="1">
      <c r="AK8362" s="3">
        <v>8356</v>
      </c>
      <c r="AL8362" s="163">
        <v>7.5333137371094381</v>
      </c>
    </row>
    <row r="8363" spans="37:38" s="4" customFormat="1">
      <c r="AK8363" s="3">
        <v>8357</v>
      </c>
      <c r="AL8363" s="163">
        <v>7.533935724067625</v>
      </c>
    </row>
    <row r="8364" spans="37:38" s="4" customFormat="1">
      <c r="AK8364" s="3">
        <v>8358</v>
      </c>
      <c r="AL8364" s="163">
        <v>7.5345580316602891</v>
      </c>
    </row>
    <row r="8365" spans="37:38" s="4" customFormat="1">
      <c r="AK8365" s="3">
        <v>8359</v>
      </c>
      <c r="AL8365" s="163">
        <v>7.5351806606513847</v>
      </c>
    </row>
    <row r="8366" spans="37:38" s="4" customFormat="1">
      <c r="AK8366" s="3">
        <v>8360</v>
      </c>
      <c r="AL8366" s="163">
        <v>7.5358036118052993</v>
      </c>
    </row>
    <row r="8367" spans="37:38" s="4" customFormat="1">
      <c r="AK8367" s="3">
        <v>8361</v>
      </c>
      <c r="AL8367" s="163">
        <v>7.5364268858870815</v>
      </c>
    </row>
    <row r="8368" spans="37:38" s="4" customFormat="1">
      <c r="AK8368" s="3">
        <v>8362</v>
      </c>
      <c r="AL8368" s="163">
        <v>7.5370504836623198</v>
      </c>
    </row>
    <row r="8369" spans="37:38" s="4" customFormat="1">
      <c r="AK8369" s="3">
        <v>8363</v>
      </c>
      <c r="AL8369" s="163">
        <v>7.5376744058974907</v>
      </c>
    </row>
    <row r="8370" spans="37:38" s="4" customFormat="1">
      <c r="AK8370" s="3">
        <v>8364</v>
      </c>
      <c r="AL8370" s="163">
        <v>7.5382986533592984</v>
      </c>
    </row>
    <row r="8371" spans="37:38" s="4" customFormat="1">
      <c r="AK8371" s="3">
        <v>8365</v>
      </c>
      <c r="AL8371" s="163">
        <v>7.5389232268153279</v>
      </c>
    </row>
    <row r="8372" spans="37:38" s="4" customFormat="1">
      <c r="AK8372" s="3">
        <v>8366</v>
      </c>
      <c r="AL8372" s="163">
        <v>7.5395481270335196</v>
      </c>
    </row>
    <row r="8373" spans="37:38" s="4" customFormat="1">
      <c r="AK8373" s="3">
        <v>8367</v>
      </c>
      <c r="AL8373" s="163">
        <v>7.5401733547827519</v>
      </c>
    </row>
    <row r="8374" spans="37:38" s="4" customFormat="1">
      <c r="AK8374" s="3">
        <v>8368</v>
      </c>
      <c r="AL8374" s="163">
        <v>7.540798910832244</v>
      </c>
    </row>
    <row r="8375" spans="37:38" s="4" customFormat="1">
      <c r="AK8375" s="3">
        <v>8369</v>
      </c>
      <c r="AL8375" s="163">
        <v>7.5414247959519543</v>
      </c>
    </row>
    <row r="8376" spans="37:38" s="4" customFormat="1">
      <c r="AK8376" s="3">
        <v>8370</v>
      </c>
      <c r="AL8376" s="163">
        <v>7.5420510109123668</v>
      </c>
    </row>
    <row r="8377" spans="37:38" s="4" customFormat="1">
      <c r="AK8377" s="3">
        <v>8371</v>
      </c>
      <c r="AL8377" s="163">
        <v>7.5426775564845698</v>
      </c>
    </row>
    <row r="8378" spans="37:38" s="4" customFormat="1">
      <c r="AK8378" s="3">
        <v>8372</v>
      </c>
      <c r="AL8378" s="163">
        <v>7.5433044334404613</v>
      </c>
    </row>
    <row r="8379" spans="37:38" s="4" customFormat="1">
      <c r="AK8379" s="3">
        <v>8373</v>
      </c>
      <c r="AL8379" s="163">
        <v>7.5439316425522591</v>
      </c>
    </row>
    <row r="8380" spans="37:38" s="4" customFormat="1">
      <c r="AK8380" s="3">
        <v>8374</v>
      </c>
      <c r="AL8380" s="163">
        <v>7.5445591845929059</v>
      </c>
    </row>
    <row r="8381" spans="37:38" s="4" customFormat="1">
      <c r="AK8381" s="3">
        <v>8375</v>
      </c>
      <c r="AL8381" s="163">
        <v>7.5451870603360902</v>
      </c>
    </row>
    <row r="8382" spans="37:38" s="4" customFormat="1">
      <c r="AK8382" s="3">
        <v>8376</v>
      </c>
      <c r="AL8382" s="163">
        <v>7.5458152705558774</v>
      </c>
    </row>
    <row r="8383" spans="37:38" s="4" customFormat="1">
      <c r="AK8383" s="3">
        <v>8377</v>
      </c>
      <c r="AL8383" s="163">
        <v>7.5464438160271072</v>
      </c>
    </row>
    <row r="8384" spans="37:38" s="4" customFormat="1">
      <c r="AK8384" s="3">
        <v>8378</v>
      </c>
      <c r="AL8384" s="163">
        <v>7.5470726975251523</v>
      </c>
    </row>
    <row r="8385" spans="37:38" s="4" customFormat="1">
      <c r="AK8385" s="3">
        <v>8379</v>
      </c>
      <c r="AL8385" s="163">
        <v>7.5477019158259964</v>
      </c>
    </row>
    <row r="8386" spans="37:38" s="4" customFormat="1">
      <c r="AK8386" s="3">
        <v>8380</v>
      </c>
      <c r="AL8386" s="163">
        <v>7.5483314717063479</v>
      </c>
    </row>
    <row r="8387" spans="37:38" s="4" customFormat="1">
      <c r="AK8387" s="3">
        <v>8381</v>
      </c>
      <c r="AL8387" s="163">
        <v>7.5489613659433488</v>
      </c>
    </row>
    <row r="8388" spans="37:38" s="4" customFormat="1">
      <c r="AK8388" s="3">
        <v>8382</v>
      </c>
      <c r="AL8388" s="163">
        <v>7.5495915993148728</v>
      </c>
    </row>
    <row r="8389" spans="37:38" s="4" customFormat="1">
      <c r="AK8389" s="3">
        <v>8383</v>
      </c>
      <c r="AL8389" s="163">
        <v>7.5502221725993337</v>
      </c>
    </row>
    <row r="8390" spans="37:38" s="4" customFormat="1">
      <c r="AK8390" s="3">
        <v>8384</v>
      </c>
      <c r="AL8390" s="163">
        <v>7.5508530865757777</v>
      </c>
    </row>
    <row r="8391" spans="37:38" s="4" customFormat="1">
      <c r="AK8391" s="3">
        <v>8385</v>
      </c>
      <c r="AL8391" s="163">
        <v>7.5514843420239401</v>
      </c>
    </row>
    <row r="8392" spans="37:38" s="4" customFormat="1">
      <c r="AK8392" s="3">
        <v>8386</v>
      </c>
      <c r="AL8392" s="163">
        <v>7.5521159397240325</v>
      </c>
    </row>
    <row r="8393" spans="37:38" s="4" customFormat="1">
      <c r="AK8393" s="3">
        <v>8387</v>
      </c>
      <c r="AL8393" s="163">
        <v>7.5527478804569981</v>
      </c>
    </row>
    <row r="8394" spans="37:38" s="4" customFormat="1">
      <c r="AK8394" s="3">
        <v>8388</v>
      </c>
      <c r="AL8394" s="163">
        <v>7.5533801650043699</v>
      </c>
    </row>
    <row r="8395" spans="37:38" s="4" customFormat="1">
      <c r="AK8395" s="3">
        <v>8389</v>
      </c>
      <c r="AL8395" s="163">
        <v>7.5540127941481288</v>
      </c>
    </row>
    <row r="8396" spans="37:38" s="4" customFormat="1">
      <c r="AK8396" s="3">
        <v>8390</v>
      </c>
      <c r="AL8396" s="163">
        <v>7.5546457686711506</v>
      </c>
    </row>
    <row r="8397" spans="37:38" s="4" customFormat="1">
      <c r="AK8397" s="3">
        <v>8391</v>
      </c>
      <c r="AL8397" s="163">
        <v>7.5552790893566169</v>
      </c>
    </row>
    <row r="8398" spans="37:38" s="4" customFormat="1">
      <c r="AK8398" s="3">
        <v>8392</v>
      </c>
      <c r="AL8398" s="163">
        <v>7.5559127569886044</v>
      </c>
    </row>
    <row r="8399" spans="37:38" s="4" customFormat="1">
      <c r="AK8399" s="3">
        <v>8393</v>
      </c>
      <c r="AL8399" s="163">
        <v>7.5565467723516733</v>
      </c>
    </row>
    <row r="8400" spans="37:38" s="4" customFormat="1">
      <c r="AK8400" s="3">
        <v>8394</v>
      </c>
      <c r="AL8400" s="163">
        <v>7.5571811362309305</v>
      </c>
    </row>
    <row r="8401" spans="37:38" s="4" customFormat="1">
      <c r="AK8401" s="3">
        <v>8395</v>
      </c>
      <c r="AL8401" s="163">
        <v>7.5578158494121723</v>
      </c>
    </row>
    <row r="8402" spans="37:38" s="4" customFormat="1">
      <c r="AK8402" s="3">
        <v>8396</v>
      </c>
      <c r="AL8402" s="163">
        <v>7.5584509126818773</v>
      </c>
    </row>
    <row r="8403" spans="37:38" s="4" customFormat="1">
      <c r="AK8403" s="3">
        <v>8397</v>
      </c>
      <c r="AL8403" s="163">
        <v>7.5590863268269288</v>
      </c>
    </row>
    <row r="8404" spans="37:38" s="4" customFormat="1">
      <c r="AK8404" s="3">
        <v>8398</v>
      </c>
      <c r="AL8404" s="163">
        <v>7.5597220926350346</v>
      </c>
    </row>
    <row r="8405" spans="37:38" s="4" customFormat="1">
      <c r="AK8405" s="3">
        <v>8399</v>
      </c>
      <c r="AL8405" s="163">
        <v>7.5603582108944423</v>
      </c>
    </row>
    <row r="8406" spans="37:38" s="4" customFormat="1">
      <c r="AK8406" s="3">
        <v>8400</v>
      </c>
      <c r="AL8406" s="163">
        <v>7.5609946823939609</v>
      </c>
    </row>
    <row r="8407" spans="37:38" s="4" customFormat="1">
      <c r="AK8407" s="3">
        <v>8401</v>
      </c>
      <c r="AL8407" s="163">
        <v>7.56163150792311</v>
      </c>
    </row>
    <row r="8408" spans="37:38" s="4" customFormat="1">
      <c r="AK8408" s="3">
        <v>8402</v>
      </c>
      <c r="AL8408" s="163">
        <v>7.5622686882719989</v>
      </c>
    </row>
    <row r="8409" spans="37:38" s="4" customFormat="1">
      <c r="AK8409" s="3">
        <v>8403</v>
      </c>
      <c r="AL8409" s="163">
        <v>7.5629062242311846</v>
      </c>
    </row>
    <row r="8410" spans="37:38" s="4" customFormat="1">
      <c r="AK8410" s="3">
        <v>8404</v>
      </c>
      <c r="AL8410" s="163">
        <v>7.5635441165921549</v>
      </c>
    </row>
    <row r="8411" spans="37:38" s="4" customFormat="1">
      <c r="AK8411" s="3">
        <v>8405</v>
      </c>
      <c r="AL8411" s="163">
        <v>7.5641823661466532</v>
      </c>
    </row>
    <row r="8412" spans="37:38" s="4" customFormat="1">
      <c r="AK8412" s="3">
        <v>8406</v>
      </c>
      <c r="AL8412" s="163">
        <v>7.5648209736873895</v>
      </c>
    </row>
    <row r="8413" spans="37:38" s="4" customFormat="1">
      <c r="AK8413" s="3">
        <v>8407</v>
      </c>
      <c r="AL8413" s="163">
        <v>7.5654599400073721</v>
      </c>
    </row>
    <row r="8414" spans="37:38" s="4" customFormat="1">
      <c r="AK8414" s="3">
        <v>8408</v>
      </c>
      <c r="AL8414" s="163">
        <v>7.566099265900462</v>
      </c>
    </row>
    <row r="8415" spans="37:38" s="4" customFormat="1">
      <c r="AK8415" s="3">
        <v>8409</v>
      </c>
      <c r="AL8415" s="163">
        <v>7.5667389521610318</v>
      </c>
    </row>
    <row r="8416" spans="37:38" s="4" customFormat="1">
      <c r="AK8416" s="3">
        <v>8410</v>
      </c>
      <c r="AL8416" s="163">
        <v>7.567378999584065</v>
      </c>
    </row>
    <row r="8417" spans="37:38" s="4" customFormat="1">
      <c r="AK8417" s="3">
        <v>8411</v>
      </c>
      <c r="AL8417" s="163">
        <v>7.5680194089651849</v>
      </c>
    </row>
    <row r="8418" spans="37:38" s="4" customFormat="1">
      <c r="AK8418" s="3">
        <v>8412</v>
      </c>
      <c r="AL8418" s="163">
        <v>7.5686601811005971</v>
      </c>
    </row>
    <row r="8419" spans="37:38" s="4" customFormat="1">
      <c r="AK8419" s="3">
        <v>8413</v>
      </c>
      <c r="AL8419" s="163">
        <v>7.5693013167872181</v>
      </c>
    </row>
    <row r="8420" spans="37:38" s="4" customFormat="1">
      <c r="AK8420" s="3">
        <v>8414</v>
      </c>
      <c r="AL8420" s="163">
        <v>7.5699428168224046</v>
      </c>
    </row>
    <row r="8421" spans="37:38" s="4" customFormat="1">
      <c r="AK8421" s="3">
        <v>8415</v>
      </c>
      <c r="AL8421" s="163">
        <v>7.5705846820043092</v>
      </c>
    </row>
    <row r="8422" spans="37:38" s="4" customFormat="1">
      <c r="AK8422" s="3">
        <v>8416</v>
      </c>
      <c r="AL8422" s="163">
        <v>7.5712269131316674</v>
      </c>
    </row>
    <row r="8423" spans="37:38" s="4" customFormat="1">
      <c r="AK8423" s="3">
        <v>8417</v>
      </c>
      <c r="AL8423" s="163">
        <v>7.5718695110036975</v>
      </c>
    </row>
    <row r="8424" spans="37:38" s="4" customFormat="1">
      <c r="AK8424" s="3">
        <v>8418</v>
      </c>
      <c r="AL8424" s="163">
        <v>7.5725124764204708</v>
      </c>
    </row>
    <row r="8425" spans="37:38" s="4" customFormat="1">
      <c r="AK8425" s="3">
        <v>8419</v>
      </c>
      <c r="AL8425" s="163">
        <v>7.5731558101823282</v>
      </c>
    </row>
    <row r="8426" spans="37:38" s="4" customFormat="1">
      <c r="AK8426" s="3">
        <v>8420</v>
      </c>
      <c r="AL8426" s="163">
        <v>7.5737995130906484</v>
      </c>
    </row>
    <row r="8427" spans="37:38" s="4" customFormat="1">
      <c r="AK8427" s="3">
        <v>8421</v>
      </c>
      <c r="AL8427" s="163">
        <v>7.5744435859470229</v>
      </c>
    </row>
    <row r="8428" spans="37:38" s="4" customFormat="1">
      <c r="AK8428" s="3">
        <v>8422</v>
      </c>
      <c r="AL8428" s="163">
        <v>7.5750880295539815</v>
      </c>
    </row>
    <row r="8429" spans="37:38" s="4" customFormat="1">
      <c r="AK8429" s="3">
        <v>8423</v>
      </c>
      <c r="AL8429" s="163">
        <v>7.5757328447145085</v>
      </c>
    </row>
    <row r="8430" spans="37:38" s="4" customFormat="1">
      <c r="AK8430" s="3">
        <v>8424</v>
      </c>
      <c r="AL8430" s="163">
        <v>7.5763780322322987</v>
      </c>
    </row>
    <row r="8431" spans="37:38" s="4" customFormat="1">
      <c r="AK8431" s="3">
        <v>8425</v>
      </c>
      <c r="AL8431" s="163">
        <v>7.5770235929114591</v>
      </c>
    </row>
    <row r="8432" spans="37:38" s="4" customFormat="1">
      <c r="AK8432" s="3">
        <v>8426</v>
      </c>
      <c r="AL8432" s="163">
        <v>7.5776695275570347</v>
      </c>
    </row>
    <row r="8433" spans="37:38" s="4" customFormat="1">
      <c r="AK8433" s="3">
        <v>8427</v>
      </c>
      <c r="AL8433" s="163">
        <v>7.5783158369743404</v>
      </c>
    </row>
    <row r="8434" spans="37:38" s="4" customFormat="1">
      <c r="AK8434" s="3">
        <v>8428</v>
      </c>
      <c r="AL8434" s="163">
        <v>7.5789625219696148</v>
      </c>
    </row>
    <row r="8435" spans="37:38" s="4" customFormat="1">
      <c r="AK8435" s="3">
        <v>8429</v>
      </c>
      <c r="AL8435" s="163">
        <v>7.5796095833495656</v>
      </c>
    </row>
    <row r="8436" spans="37:38" s="4" customFormat="1">
      <c r="AK8436" s="3">
        <v>8430</v>
      </c>
      <c r="AL8436" s="163">
        <v>7.5802570219215397</v>
      </c>
    </row>
    <row r="8437" spans="37:38" s="4" customFormat="1">
      <c r="AK8437" s="3">
        <v>8431</v>
      </c>
      <c r="AL8437" s="163">
        <v>7.580904838493467</v>
      </c>
    </row>
    <row r="8438" spans="37:38" s="4" customFormat="1">
      <c r="AK8438" s="3">
        <v>8432</v>
      </c>
      <c r="AL8438" s="163">
        <v>7.5815530338739165</v>
      </c>
    </row>
    <row r="8439" spans="37:38" s="4" customFormat="1">
      <c r="AK8439" s="3">
        <v>8433</v>
      </c>
      <c r="AL8439" s="163">
        <v>7.5822016088722535</v>
      </c>
    </row>
    <row r="8440" spans="37:38" s="4" customFormat="1">
      <c r="AK8440" s="3">
        <v>8434</v>
      </c>
      <c r="AL8440" s="163">
        <v>7.5828505642981128</v>
      </c>
    </row>
    <row r="8441" spans="37:38" s="4" customFormat="1">
      <c r="AK8441" s="3">
        <v>8435</v>
      </c>
      <c r="AL8441" s="163">
        <v>7.5834999009620816</v>
      </c>
    </row>
    <row r="8442" spans="37:38" s="4" customFormat="1">
      <c r="AK8442" s="3">
        <v>8436</v>
      </c>
      <c r="AL8442" s="163">
        <v>7.5841496196750882</v>
      </c>
    </row>
    <row r="8443" spans="37:38" s="4" customFormat="1">
      <c r="AK8443" s="3">
        <v>8437</v>
      </c>
      <c r="AL8443" s="163">
        <v>7.5847997212489275</v>
      </c>
    </row>
    <row r="8444" spans="37:38" s="4" customFormat="1">
      <c r="AK8444" s="3">
        <v>8438</v>
      </c>
      <c r="AL8444" s="163">
        <v>7.5854502064959064</v>
      </c>
    </row>
    <row r="8445" spans="37:38" s="4" customFormat="1">
      <c r="AK8445" s="3">
        <v>8439</v>
      </c>
      <c r="AL8445" s="163">
        <v>7.5861010762289283</v>
      </c>
    </row>
    <row r="8446" spans="37:38" s="4" customFormat="1">
      <c r="AK8446" s="3">
        <v>8440</v>
      </c>
      <c r="AL8446" s="163">
        <v>7.5867523312614935</v>
      </c>
    </row>
    <row r="8447" spans="37:38" s="4" customFormat="1">
      <c r="AK8447" s="3">
        <v>8441</v>
      </c>
      <c r="AL8447" s="163">
        <v>7.5874039724078983</v>
      </c>
    </row>
    <row r="8448" spans="37:38" s="4" customFormat="1">
      <c r="AK8448" s="3">
        <v>8442</v>
      </c>
      <c r="AL8448" s="163">
        <v>7.58805600048278</v>
      </c>
    </row>
    <row r="8449" spans="37:38" s="4" customFormat="1">
      <c r="AK8449" s="3">
        <v>8443</v>
      </c>
      <c r="AL8449" s="163">
        <v>7.5887084163016851</v>
      </c>
    </row>
    <row r="8450" spans="37:38" s="4" customFormat="1">
      <c r="AK8450" s="3">
        <v>8444</v>
      </c>
      <c r="AL8450" s="163">
        <v>7.5893612206805727</v>
      </c>
    </row>
    <row r="8451" spans="37:38" s="4" customFormat="1">
      <c r="AK8451" s="3">
        <v>8445</v>
      </c>
      <c r="AL8451" s="163">
        <v>7.5900144144361121</v>
      </c>
    </row>
    <row r="8452" spans="37:38" s="4" customFormat="1">
      <c r="AK8452" s="3">
        <v>8446</v>
      </c>
      <c r="AL8452" s="163">
        <v>7.5906679983857117</v>
      </c>
    </row>
    <row r="8453" spans="37:38" s="4" customFormat="1">
      <c r="AK8453" s="3">
        <v>8447</v>
      </c>
      <c r="AL8453" s="163">
        <v>7.5913219733469788</v>
      </c>
    </row>
    <row r="8454" spans="37:38" s="4" customFormat="1">
      <c r="AK8454" s="3">
        <v>8448</v>
      </c>
      <c r="AL8454" s="163">
        <v>7.591976340138757</v>
      </c>
    </row>
    <row r="8455" spans="37:38" s="4" customFormat="1">
      <c r="AK8455" s="3">
        <v>8449</v>
      </c>
      <c r="AL8455" s="163">
        <v>7.5926310995799753</v>
      </c>
    </row>
    <row r="8456" spans="37:38" s="4" customFormat="1">
      <c r="AK8456" s="3">
        <v>8450</v>
      </c>
      <c r="AL8456" s="163">
        <v>7.5932862524905289</v>
      </c>
    </row>
    <row r="8457" spans="37:38" s="4" customFormat="1">
      <c r="AK8457" s="3">
        <v>8451</v>
      </c>
      <c r="AL8457" s="163">
        <v>7.5939417996907537</v>
      </c>
    </row>
    <row r="8458" spans="37:38" s="4" customFormat="1">
      <c r="AK8458" s="3">
        <v>8452</v>
      </c>
      <c r="AL8458" s="163">
        <v>7.5945977420016959</v>
      </c>
    </row>
    <row r="8459" spans="37:38" s="4" customFormat="1">
      <c r="AK8459" s="3">
        <v>8453</v>
      </c>
      <c r="AL8459" s="163">
        <v>7.5952540802449136</v>
      </c>
    </row>
    <row r="8460" spans="37:38" s="4" customFormat="1">
      <c r="AK8460" s="3">
        <v>8454</v>
      </c>
      <c r="AL8460" s="163">
        <v>7.595910815242803</v>
      </c>
    </row>
    <row r="8461" spans="37:38" s="4" customFormat="1">
      <c r="AK8461" s="3">
        <v>8455</v>
      </c>
      <c r="AL8461" s="163">
        <v>7.5965679478182153</v>
      </c>
    </row>
    <row r="8462" spans="37:38" s="4" customFormat="1">
      <c r="AK8462" s="3">
        <v>8456</v>
      </c>
      <c r="AL8462" s="163">
        <v>7.5972254787945701</v>
      </c>
    </row>
    <row r="8463" spans="37:38" s="4" customFormat="1">
      <c r="AK8463" s="3">
        <v>8457</v>
      </c>
      <c r="AL8463" s="163">
        <v>7.5978834089961111</v>
      </c>
    </row>
    <row r="8464" spans="37:38" s="4" customFormat="1">
      <c r="AK8464" s="3">
        <v>8458</v>
      </c>
      <c r="AL8464" s="163">
        <v>7.5985417392475227</v>
      </c>
    </row>
    <row r="8465" spans="37:38" s="4" customFormat="1">
      <c r="AK8465" s="3">
        <v>8459</v>
      </c>
      <c r="AL8465" s="163">
        <v>7.5992004703741998</v>
      </c>
    </row>
    <row r="8466" spans="37:38" s="4" customFormat="1">
      <c r="AK8466" s="3">
        <v>8460</v>
      </c>
      <c r="AL8466" s="163">
        <v>7.5998596032021482</v>
      </c>
    </row>
    <row r="8467" spans="37:38" s="4" customFormat="1">
      <c r="AK8467" s="3">
        <v>8461</v>
      </c>
      <c r="AL8467" s="163">
        <v>7.6005191385580844</v>
      </c>
    </row>
    <row r="8468" spans="37:38" s="4" customFormat="1">
      <c r="AK8468" s="3">
        <v>8462</v>
      </c>
      <c r="AL8468" s="163">
        <v>7.6011790772691796</v>
      </c>
    </row>
    <row r="8469" spans="37:38" s="4" customFormat="1">
      <c r="AK8469" s="3">
        <v>8463</v>
      </c>
      <c r="AL8469" s="163">
        <v>7.6018394201633441</v>
      </c>
    </row>
    <row r="8470" spans="37:38" s="4" customFormat="1">
      <c r="AK8470" s="3">
        <v>8464</v>
      </c>
      <c r="AL8470" s="163">
        <v>7.6025001680690565</v>
      </c>
    </row>
    <row r="8471" spans="37:38" s="4" customFormat="1">
      <c r="AK8471" s="3">
        <v>8465</v>
      </c>
      <c r="AL8471" s="163">
        <v>7.6031613218155343</v>
      </c>
    </row>
    <row r="8472" spans="37:38" s="4" customFormat="1">
      <c r="AK8472" s="3">
        <v>8466</v>
      </c>
      <c r="AL8472" s="163">
        <v>7.6038228822324072</v>
      </c>
    </row>
    <row r="8473" spans="37:38" s="4" customFormat="1">
      <c r="AK8473" s="3">
        <v>8467</v>
      </c>
      <c r="AL8473" s="163">
        <v>7.6044848501502571</v>
      </c>
    </row>
    <row r="8474" spans="37:38" s="4" customFormat="1">
      <c r="AK8474" s="3">
        <v>8468</v>
      </c>
      <c r="AL8474" s="163">
        <v>7.6051472263998221</v>
      </c>
    </row>
    <row r="8475" spans="37:38" s="4" customFormat="1">
      <c r="AK8475" s="3">
        <v>8469</v>
      </c>
      <c r="AL8475" s="163">
        <v>7.6058100118130483</v>
      </c>
    </row>
    <row r="8476" spans="37:38" s="4" customFormat="1">
      <c r="AK8476" s="3">
        <v>8470</v>
      </c>
      <c r="AL8476" s="163">
        <v>7.6064732072219954</v>
      </c>
    </row>
    <row r="8477" spans="37:38" s="4" customFormat="1">
      <c r="AK8477" s="3">
        <v>8471</v>
      </c>
      <c r="AL8477" s="163">
        <v>7.6071368134595616</v>
      </c>
    </row>
    <row r="8478" spans="37:38" s="4" customFormat="1">
      <c r="AK8478" s="3">
        <v>8472</v>
      </c>
      <c r="AL8478" s="163">
        <v>7.6078008313593557</v>
      </c>
    </row>
    <row r="8479" spans="37:38" s="4" customFormat="1">
      <c r="AK8479" s="3">
        <v>8473</v>
      </c>
      <c r="AL8479" s="163">
        <v>7.608465261755498</v>
      </c>
    </row>
    <row r="8480" spans="37:38" s="4" customFormat="1">
      <c r="AK8480" s="3">
        <v>8474</v>
      </c>
      <c r="AL8480" s="163">
        <v>7.6091301054827625</v>
      </c>
    </row>
    <row r="8481" spans="37:38" s="4" customFormat="1">
      <c r="AK8481" s="3">
        <v>8475</v>
      </c>
      <c r="AL8481" s="163">
        <v>7.6097953633765059</v>
      </c>
    </row>
    <row r="8482" spans="37:38" s="4" customFormat="1">
      <c r="AK8482" s="3">
        <v>8476</v>
      </c>
      <c r="AL8482" s="163">
        <v>7.6104610362727385</v>
      </c>
    </row>
    <row r="8483" spans="37:38" s="4" customFormat="1">
      <c r="AK8483" s="3">
        <v>8477</v>
      </c>
      <c r="AL8483" s="163">
        <v>7.611127125008224</v>
      </c>
    </row>
    <row r="8484" spans="37:38" s="4" customFormat="1">
      <c r="AK8484" s="3">
        <v>8478</v>
      </c>
      <c r="AL8484" s="163">
        <v>7.6117936304201521</v>
      </c>
    </row>
    <row r="8485" spans="37:38" s="4" customFormat="1">
      <c r="AK8485" s="3">
        <v>8479</v>
      </c>
      <c r="AL8485" s="163">
        <v>7.6124605533465513</v>
      </c>
    </row>
    <row r="8486" spans="37:38" s="4" customFormat="1">
      <c r="AK8486" s="3">
        <v>8480</v>
      </c>
      <c r="AL8486" s="163">
        <v>7.6131278946257765</v>
      </c>
    </row>
    <row r="8487" spans="37:38" s="4" customFormat="1">
      <c r="AK8487" s="3">
        <v>8481</v>
      </c>
      <c r="AL8487" s="163">
        <v>7.6137956550971069</v>
      </c>
    </row>
    <row r="8488" spans="37:38" s="4" customFormat="1">
      <c r="AK8488" s="3">
        <v>8482</v>
      </c>
      <c r="AL8488" s="163">
        <v>7.6144638356003753</v>
      </c>
    </row>
    <row r="8489" spans="37:38" s="4" customFormat="1">
      <c r="AK8489" s="3">
        <v>8483</v>
      </c>
      <c r="AL8489" s="163">
        <v>7.6151324369759834</v>
      </c>
    </row>
    <row r="8490" spans="37:38" s="4" customFormat="1">
      <c r="AK8490" s="3">
        <v>8484</v>
      </c>
      <c r="AL8490" s="163">
        <v>7.615801460064958</v>
      </c>
    </row>
    <row r="8491" spans="37:38" s="4" customFormat="1">
      <c r="AK8491" s="3">
        <v>8485</v>
      </c>
      <c r="AL8491" s="163">
        <v>7.6164709057089652</v>
      </c>
    </row>
    <row r="8492" spans="37:38" s="4" customFormat="1">
      <c r="AK8492" s="3">
        <v>8486</v>
      </c>
      <c r="AL8492" s="163">
        <v>7.6171407747503395</v>
      </c>
    </row>
    <row r="8493" spans="37:38" s="4" customFormat="1">
      <c r="AK8493" s="3">
        <v>8487</v>
      </c>
      <c r="AL8493" s="163">
        <v>7.6178110680321254</v>
      </c>
    </row>
    <row r="8494" spans="37:38" s="4" customFormat="1">
      <c r="AK8494" s="3">
        <v>8488</v>
      </c>
      <c r="AL8494" s="163">
        <v>7.6184817863976946</v>
      </c>
    </row>
    <row r="8495" spans="37:38" s="4" customFormat="1">
      <c r="AK8495" s="3">
        <v>8489</v>
      </c>
      <c r="AL8495" s="163">
        <v>7.6191529306914134</v>
      </c>
    </row>
    <row r="8496" spans="37:38" s="4" customFormat="1">
      <c r="AK8496" s="3">
        <v>8490</v>
      </c>
      <c r="AL8496" s="163">
        <v>7.6198245017580462</v>
      </c>
    </row>
    <row r="8497" spans="37:38" s="4" customFormat="1">
      <c r="AK8497" s="3">
        <v>8491</v>
      </c>
      <c r="AL8497" s="163">
        <v>7.6204965004431529</v>
      </c>
    </row>
    <row r="8498" spans="37:38" s="4" customFormat="1">
      <c r="AK8498" s="3">
        <v>8492</v>
      </c>
      <c r="AL8498" s="163">
        <v>7.6211689275927199</v>
      </c>
    </row>
    <row r="8499" spans="37:38" s="4" customFormat="1">
      <c r="AK8499" s="3">
        <v>8493</v>
      </c>
      <c r="AL8499" s="163">
        <v>7.6218417840534585</v>
      </c>
    </row>
    <row r="8500" spans="37:38" s="4" customFormat="1">
      <c r="AK8500" s="3">
        <v>8494</v>
      </c>
      <c r="AL8500" s="163">
        <v>7.6225150706728044</v>
      </c>
    </row>
    <row r="8501" spans="37:38" s="4" customFormat="1">
      <c r="AK8501" s="3">
        <v>8495</v>
      </c>
      <c r="AL8501" s="163">
        <v>7.6231887882987195</v>
      </c>
    </row>
    <row r="8502" spans="37:38" s="4" customFormat="1">
      <c r="AK8502" s="3">
        <v>8496</v>
      </c>
      <c r="AL8502" s="163">
        <v>7.6238629377797764</v>
      </c>
    </row>
    <row r="8503" spans="37:38" s="4" customFormat="1">
      <c r="AK8503" s="3">
        <v>8497</v>
      </c>
      <c r="AL8503" s="163">
        <v>7.6245375199652869</v>
      </c>
    </row>
    <row r="8504" spans="37:38" s="4" customFormat="1">
      <c r="AK8504" s="3">
        <v>8498</v>
      </c>
      <c r="AL8504" s="163">
        <v>7.6252125357051455</v>
      </c>
    </row>
    <row r="8505" spans="37:38" s="4" customFormat="1">
      <c r="AK8505" s="3">
        <v>8499</v>
      </c>
      <c r="AL8505" s="163">
        <v>7.6258879858498148</v>
      </c>
    </row>
    <row r="8506" spans="37:38" s="4" customFormat="1">
      <c r="AK8506" s="3">
        <v>8500</v>
      </c>
      <c r="AL8506" s="163">
        <v>7.626563871250454</v>
      </c>
    </row>
    <row r="8507" spans="37:38" s="4" customFormat="1">
      <c r="AK8507" s="3">
        <v>8501</v>
      </c>
      <c r="AL8507" s="163">
        <v>7.627240192758876</v>
      </c>
    </row>
    <row r="8508" spans="37:38" s="4" customFormat="1">
      <c r="AK8508" s="3">
        <v>8502</v>
      </c>
      <c r="AL8508" s="163">
        <v>7.6279169512274052</v>
      </c>
    </row>
    <row r="8509" spans="37:38" s="4" customFormat="1">
      <c r="AK8509" s="3">
        <v>8503</v>
      </c>
      <c r="AL8509" s="163">
        <v>7.6285941475091619</v>
      </c>
    </row>
    <row r="8510" spans="37:38" s="4" customFormat="1">
      <c r="AK8510" s="3">
        <v>8504</v>
      </c>
      <c r="AL8510" s="163">
        <v>7.6292717824578062</v>
      </c>
    </row>
    <row r="8511" spans="37:38" s="4" customFormat="1">
      <c r="AK8511" s="3">
        <v>8505</v>
      </c>
      <c r="AL8511" s="163">
        <v>7.6299498569276523</v>
      </c>
    </row>
    <row r="8512" spans="37:38" s="4" customFormat="1">
      <c r="AK8512" s="3">
        <v>8506</v>
      </c>
      <c r="AL8512" s="163">
        <v>7.6306283717736108</v>
      </c>
    </row>
    <row r="8513" spans="37:38" s="4" customFormat="1">
      <c r="AK8513" s="3">
        <v>8507</v>
      </c>
      <c r="AL8513" s="163">
        <v>7.6313073278513173</v>
      </c>
    </row>
    <row r="8514" spans="37:38" s="4" customFormat="1">
      <c r="AK8514" s="3">
        <v>8508</v>
      </c>
      <c r="AL8514" s="163">
        <v>7.6319867260168905</v>
      </c>
    </row>
    <row r="8515" spans="37:38" s="4" customFormat="1">
      <c r="AK8515" s="3">
        <v>8509</v>
      </c>
      <c r="AL8515" s="163">
        <v>7.6326665671272451</v>
      </c>
    </row>
    <row r="8516" spans="37:38" s="4" customFormat="1">
      <c r="AK8516" s="3">
        <v>8510</v>
      </c>
      <c r="AL8516" s="163">
        <v>7.6333468520397787</v>
      </c>
    </row>
    <row r="8517" spans="37:38" s="4" customFormat="1">
      <c r="AK8517" s="3">
        <v>8511</v>
      </c>
      <c r="AL8517" s="163">
        <v>7.6340275816127416</v>
      </c>
    </row>
    <row r="8518" spans="37:38" s="4" customFormat="1">
      <c r="AK8518" s="3">
        <v>8512</v>
      </c>
      <c r="AL8518" s="163">
        <v>7.6347087567047254</v>
      </c>
    </row>
    <row r="8519" spans="37:38" s="4" customFormat="1">
      <c r="AK8519" s="3">
        <v>8513</v>
      </c>
      <c r="AL8519" s="163">
        <v>7.6353903781752308</v>
      </c>
    </row>
    <row r="8520" spans="37:38" s="4" customFormat="1">
      <c r="AK8520" s="3">
        <v>8514</v>
      </c>
      <c r="AL8520" s="163">
        <v>7.6360724468841568</v>
      </c>
    </row>
    <row r="8521" spans="37:38" s="4" customFormat="1">
      <c r="AK8521" s="3">
        <v>8515</v>
      </c>
      <c r="AL8521" s="163">
        <v>7.6367549636922547</v>
      </c>
    </row>
    <row r="8522" spans="37:38" s="4" customFormat="1">
      <c r="AK8522" s="3">
        <v>8516</v>
      </c>
      <c r="AL8522" s="163">
        <v>7.6374379294607877</v>
      </c>
    </row>
    <row r="8523" spans="37:38" s="4" customFormat="1">
      <c r="AK8523" s="3">
        <v>8517</v>
      </c>
      <c r="AL8523" s="163">
        <v>7.6381213450516157</v>
      </c>
    </row>
    <row r="8524" spans="37:38" s="4" customFormat="1">
      <c r="AK8524" s="3">
        <v>8518</v>
      </c>
      <c r="AL8524" s="163">
        <v>7.6388052113273659</v>
      </c>
    </row>
    <row r="8525" spans="37:38" s="4" customFormat="1">
      <c r="AK8525" s="3">
        <v>8519</v>
      </c>
      <c r="AL8525" s="163">
        <v>7.6394895291511205</v>
      </c>
    </row>
    <row r="8526" spans="37:38" s="4" customFormat="1">
      <c r="AK8526" s="3">
        <v>8520</v>
      </c>
      <c r="AL8526" s="163">
        <v>7.6401742993867714</v>
      </c>
    </row>
    <row r="8527" spans="37:38" s="4" customFormat="1">
      <c r="AK8527" s="3">
        <v>8521</v>
      </c>
      <c r="AL8527" s="163">
        <v>7.6408595228988219</v>
      </c>
    </row>
    <row r="8528" spans="37:38" s="4" customFormat="1">
      <c r="AK8528" s="3">
        <v>8522</v>
      </c>
      <c r="AL8528" s="163">
        <v>7.6415452005523434</v>
      </c>
    </row>
    <row r="8529" spans="37:38" s="4" customFormat="1">
      <c r="AK8529" s="3">
        <v>8523</v>
      </c>
      <c r="AL8529" s="163">
        <v>7.6422313332130329</v>
      </c>
    </row>
    <row r="8530" spans="37:38" s="4" customFormat="1">
      <c r="AK8530" s="3">
        <v>8524</v>
      </c>
      <c r="AL8530" s="163">
        <v>7.6429179217472125</v>
      </c>
    </row>
    <row r="8531" spans="37:38" s="4" customFormat="1">
      <c r="AK8531" s="3">
        <v>8525</v>
      </c>
      <c r="AL8531" s="163">
        <v>7.6436049670220285</v>
      </c>
    </row>
    <row r="8532" spans="37:38" s="4" customFormat="1">
      <c r="AK8532" s="3">
        <v>8526</v>
      </c>
      <c r="AL8532" s="163">
        <v>7.6442924699049826</v>
      </c>
    </row>
    <row r="8533" spans="37:38" s="4" customFormat="1">
      <c r="AK8533" s="3">
        <v>8527</v>
      </c>
      <c r="AL8533" s="163">
        <v>7.6449804312644716</v>
      </c>
    </row>
    <row r="8534" spans="37:38" s="4" customFormat="1">
      <c r="AK8534" s="3">
        <v>8528</v>
      </c>
      <c r="AL8534" s="163">
        <v>7.645668851969333</v>
      </c>
    </row>
    <row r="8535" spans="37:38" s="4" customFormat="1">
      <c r="AK8535" s="3">
        <v>8529</v>
      </c>
      <c r="AL8535" s="163">
        <v>7.6463577328892001</v>
      </c>
    </row>
    <row r="8536" spans="37:38" s="4" customFormat="1">
      <c r="AK8536" s="3">
        <v>8530</v>
      </c>
      <c r="AL8536" s="163">
        <v>7.6470470748941182</v>
      </c>
    </row>
    <row r="8537" spans="37:38" s="4" customFormat="1">
      <c r="AK8537" s="3">
        <v>8531</v>
      </c>
      <c r="AL8537" s="163">
        <v>7.6477368788551274</v>
      </c>
    </row>
    <row r="8538" spans="37:38" s="4" customFormat="1">
      <c r="AK8538" s="3">
        <v>8532</v>
      </c>
      <c r="AL8538" s="163">
        <v>7.6484271456434527</v>
      </c>
    </row>
    <row r="8539" spans="37:38" s="4" customFormat="1">
      <c r="AK8539" s="3">
        <v>8533</v>
      </c>
      <c r="AL8539" s="163">
        <v>7.6491178761314131</v>
      </c>
    </row>
    <row r="8540" spans="37:38" s="4" customFormat="1">
      <c r="AK8540" s="3">
        <v>8534</v>
      </c>
      <c r="AL8540" s="163">
        <v>7.6498090711916689</v>
      </c>
    </row>
    <row r="8541" spans="37:38" s="4" customFormat="1">
      <c r="AK8541" s="3">
        <v>8535</v>
      </c>
      <c r="AL8541" s="163">
        <v>7.6505007316975195</v>
      </c>
    </row>
    <row r="8542" spans="37:38" s="4" customFormat="1">
      <c r="AK8542" s="3">
        <v>8536</v>
      </c>
      <c r="AL8542" s="163">
        <v>7.6511928585230748</v>
      </c>
    </row>
    <row r="8543" spans="37:38" s="4" customFormat="1">
      <c r="AK8543" s="3">
        <v>8537</v>
      </c>
      <c r="AL8543" s="163">
        <v>7.6518854525430129</v>
      </c>
    </row>
    <row r="8544" spans="37:38" s="4" customFormat="1">
      <c r="AK8544" s="3">
        <v>8538</v>
      </c>
      <c r="AL8544" s="163">
        <v>7.6525785146326086</v>
      </c>
    </row>
    <row r="8545" spans="37:38" s="4" customFormat="1">
      <c r="AK8545" s="3">
        <v>8539</v>
      </c>
      <c r="AL8545" s="163">
        <v>7.6532720456677907</v>
      </c>
    </row>
    <row r="8546" spans="37:38" s="4" customFormat="1">
      <c r="AK8546" s="3">
        <v>8540</v>
      </c>
      <c r="AL8546" s="163">
        <v>7.6539660465250847</v>
      </c>
    </row>
    <row r="8547" spans="37:38" s="4" customFormat="1">
      <c r="AK8547" s="3">
        <v>8541</v>
      </c>
      <c r="AL8547" s="163">
        <v>7.6546605180817835</v>
      </c>
    </row>
    <row r="8548" spans="37:38" s="4" customFormat="1">
      <c r="AK8548" s="3">
        <v>8542</v>
      </c>
      <c r="AL8548" s="163">
        <v>7.6553554612157626</v>
      </c>
    </row>
    <row r="8549" spans="37:38" s="4" customFormat="1">
      <c r="AK8549" s="3">
        <v>8543</v>
      </c>
      <c r="AL8549" s="163">
        <v>7.6560508768054092</v>
      </c>
    </row>
    <row r="8550" spans="37:38" s="4" customFormat="1">
      <c r="AK8550" s="3">
        <v>8544</v>
      </c>
      <c r="AL8550" s="163">
        <v>7.6567467657299346</v>
      </c>
    </row>
    <row r="8551" spans="37:38" s="4" customFormat="1">
      <c r="AK8551" s="3">
        <v>8545</v>
      </c>
      <c r="AL8551" s="163">
        <v>7.6574431288691045</v>
      </c>
    </row>
    <row r="8552" spans="37:38" s="4" customFormat="1">
      <c r="AK8552" s="3">
        <v>8546</v>
      </c>
      <c r="AL8552" s="163">
        <v>7.6581399671033523</v>
      </c>
    </row>
    <row r="8553" spans="37:38" s="4" customFormat="1">
      <c r="AK8553" s="3">
        <v>8547</v>
      </c>
      <c r="AL8553" s="163">
        <v>7.6588372813136942</v>
      </c>
    </row>
    <row r="8554" spans="37:38" s="4" customFormat="1">
      <c r="AK8554" s="3">
        <v>8548</v>
      </c>
      <c r="AL8554" s="163">
        <v>7.6595350723818427</v>
      </c>
    </row>
    <row r="8555" spans="37:38" s="4" customFormat="1">
      <c r="AK8555" s="3">
        <v>8549</v>
      </c>
      <c r="AL8555" s="163">
        <v>7.660233341190164</v>
      </c>
    </row>
    <row r="8556" spans="37:38" s="4" customFormat="1">
      <c r="AK8556" s="3">
        <v>8550</v>
      </c>
      <c r="AL8556" s="163">
        <v>7.6609320886216494</v>
      </c>
    </row>
    <row r="8557" spans="37:38" s="4" customFormat="1">
      <c r="AK8557" s="3">
        <v>8551</v>
      </c>
      <c r="AL8557" s="163">
        <v>7.6616313155598021</v>
      </c>
    </row>
    <row r="8558" spans="37:38" s="4" customFormat="1">
      <c r="AK8558" s="3">
        <v>8552</v>
      </c>
      <c r="AL8558" s="163">
        <v>7.6623310228890915</v>
      </c>
    </row>
    <row r="8559" spans="37:38" s="4" customFormat="1">
      <c r="AK8559" s="3">
        <v>8553</v>
      </c>
      <c r="AL8559" s="163">
        <v>7.6630312114942143</v>
      </c>
    </row>
    <row r="8560" spans="37:38" s="4" customFormat="1">
      <c r="AK8560" s="3">
        <v>8554</v>
      </c>
      <c r="AL8560" s="163">
        <v>7.6637318822607625</v>
      </c>
    </row>
    <row r="8561" spans="37:38" s="4" customFormat="1">
      <c r="AK8561" s="3">
        <v>8555</v>
      </c>
      <c r="AL8561" s="163">
        <v>7.6644330360750956</v>
      </c>
    </row>
    <row r="8562" spans="37:38" s="4" customFormat="1">
      <c r="AK8562" s="3">
        <v>8556</v>
      </c>
      <c r="AL8562" s="163">
        <v>7.6651346738238573</v>
      </c>
    </row>
    <row r="8563" spans="37:38" s="4" customFormat="1">
      <c r="AK8563" s="3">
        <v>8557</v>
      </c>
      <c r="AL8563" s="163">
        <v>7.6658367963945437</v>
      </c>
    </row>
    <row r="8564" spans="37:38" s="4" customFormat="1">
      <c r="AK8564" s="3">
        <v>8558</v>
      </c>
      <c r="AL8564" s="163">
        <v>7.6665394046753761</v>
      </c>
    </row>
    <row r="8565" spans="37:38" s="4" customFormat="1">
      <c r="AK8565" s="3">
        <v>8559</v>
      </c>
      <c r="AL8565" s="163">
        <v>7.6672424995549875</v>
      </c>
    </row>
    <row r="8566" spans="37:38" s="4" customFormat="1">
      <c r="AK8566" s="3">
        <v>8560</v>
      </c>
      <c r="AL8566" s="163">
        <v>7.6679460819229064</v>
      </c>
    </row>
    <row r="8567" spans="37:38" s="4" customFormat="1">
      <c r="AK8567" s="3">
        <v>8561</v>
      </c>
      <c r="AL8567" s="163">
        <v>7.6686501526690591</v>
      </c>
    </row>
    <row r="8568" spans="37:38" s="4" customFormat="1">
      <c r="AK8568" s="3">
        <v>8562</v>
      </c>
      <c r="AL8568" s="163">
        <v>7.6693547126842105</v>
      </c>
    </row>
    <row r="8569" spans="37:38" s="4" customFormat="1">
      <c r="AK8569" s="3">
        <v>8563</v>
      </c>
      <c r="AL8569" s="163">
        <v>7.6700597628596086</v>
      </c>
    </row>
    <row r="8570" spans="37:38" s="4" customFormat="1">
      <c r="AK8570" s="3">
        <v>8564</v>
      </c>
      <c r="AL8570" s="163">
        <v>7.6707653040873964</v>
      </c>
    </row>
    <row r="8571" spans="37:38" s="4" customFormat="1">
      <c r="AK8571" s="3">
        <v>8565</v>
      </c>
      <c r="AL8571" s="163">
        <v>7.6714713372599874</v>
      </c>
    </row>
    <row r="8572" spans="37:38" s="4" customFormat="1">
      <c r="AK8572" s="3">
        <v>8566</v>
      </c>
      <c r="AL8572" s="163">
        <v>7.6721778632708322</v>
      </c>
    </row>
    <row r="8573" spans="37:38" s="4" customFormat="1">
      <c r="AK8573" s="3">
        <v>8567</v>
      </c>
      <c r="AL8573" s="163">
        <v>7.6728848830137508</v>
      </c>
    </row>
    <row r="8574" spans="37:38" s="4" customFormat="1">
      <c r="AK8574" s="3">
        <v>8568</v>
      </c>
      <c r="AL8574" s="163">
        <v>7.6735923973832314</v>
      </c>
    </row>
    <row r="8575" spans="37:38" s="4" customFormat="1">
      <c r="AK8575" s="3">
        <v>8569</v>
      </c>
      <c r="AL8575" s="163">
        <v>7.6743004072745578</v>
      </c>
    </row>
    <row r="8576" spans="37:38" s="4" customFormat="1">
      <c r="AK8576" s="3">
        <v>8570</v>
      </c>
      <c r="AL8576" s="163">
        <v>7.6750089135835395</v>
      </c>
    </row>
    <row r="8577" spans="37:38" s="4" customFormat="1">
      <c r="AK8577" s="3">
        <v>8571</v>
      </c>
      <c r="AL8577" s="163">
        <v>7.6757179172067111</v>
      </c>
    </row>
    <row r="8578" spans="37:38" s="4" customFormat="1">
      <c r="AK8578" s="3">
        <v>8572</v>
      </c>
      <c r="AL8578" s="163">
        <v>7.6764274190411896</v>
      </c>
    </row>
    <row r="8579" spans="37:38" s="4" customFormat="1">
      <c r="AK8579" s="3">
        <v>8573</v>
      </c>
      <c r="AL8579" s="163">
        <v>7.6771374199847315</v>
      </c>
    </row>
    <row r="8580" spans="37:38" s="4" customFormat="1">
      <c r="AK8580" s="3">
        <v>8574</v>
      </c>
      <c r="AL8580" s="163">
        <v>7.6778479209357045</v>
      </c>
    </row>
    <row r="8581" spans="37:38" s="4" customFormat="1">
      <c r="AK8581" s="3">
        <v>8575</v>
      </c>
      <c r="AL8581" s="163">
        <v>7.6785589227932434</v>
      </c>
    </row>
    <row r="8582" spans="37:38" s="4" customFormat="1">
      <c r="AK8582" s="3">
        <v>8576</v>
      </c>
      <c r="AL8582" s="163">
        <v>7.6792704264571086</v>
      </c>
    </row>
    <row r="8583" spans="37:38" s="4" customFormat="1">
      <c r="AK8583" s="3">
        <v>8577</v>
      </c>
      <c r="AL8583" s="163">
        <v>7.6799824328275719</v>
      </c>
    </row>
    <row r="8584" spans="37:38" s="4" customFormat="1">
      <c r="AK8584" s="3">
        <v>8578</v>
      </c>
      <c r="AL8584" s="163">
        <v>7.680694942805701</v>
      </c>
    </row>
    <row r="8585" spans="37:38" s="4" customFormat="1">
      <c r="AK8585" s="3">
        <v>8579</v>
      </c>
      <c r="AL8585" s="163">
        <v>7.6814079572931604</v>
      </c>
    </row>
    <row r="8586" spans="37:38" s="4" customFormat="1">
      <c r="AK8586" s="3">
        <v>8580</v>
      </c>
      <c r="AL8586" s="163">
        <v>7.6821214771922115</v>
      </c>
    </row>
    <row r="8587" spans="37:38" s="4" customFormat="1">
      <c r="AK8587" s="3">
        <v>8581</v>
      </c>
      <c r="AL8587" s="163">
        <v>7.682835503405741</v>
      </c>
    </row>
    <row r="8588" spans="37:38" s="4" customFormat="1">
      <c r="AK8588" s="3">
        <v>8582</v>
      </c>
      <c r="AL8588" s="163">
        <v>7.6835500368374596</v>
      </c>
    </row>
    <row r="8589" spans="37:38" s="4" customFormat="1">
      <c r="AK8589" s="3">
        <v>8583</v>
      </c>
      <c r="AL8589" s="163">
        <v>7.6842650783915616</v>
      </c>
    </row>
    <row r="8590" spans="37:38" s="4" customFormat="1">
      <c r="AK8590" s="3">
        <v>8584</v>
      </c>
      <c r="AL8590" s="163">
        <v>7.6849806289729514</v>
      </c>
    </row>
    <row r="8591" spans="37:38" s="4" customFormat="1">
      <c r="AK8591" s="3">
        <v>8585</v>
      </c>
      <c r="AL8591" s="163">
        <v>7.685696689487159</v>
      </c>
    </row>
    <row r="8592" spans="37:38" s="4" customFormat="1">
      <c r="AK8592" s="3">
        <v>8586</v>
      </c>
      <c r="AL8592" s="163">
        <v>7.6864132608403679</v>
      </c>
    </row>
    <row r="8593" spans="37:38" s="4" customFormat="1">
      <c r="AK8593" s="3">
        <v>8587</v>
      </c>
      <c r="AL8593" s="163">
        <v>7.687130343939387</v>
      </c>
    </row>
    <row r="8594" spans="37:38" s="4" customFormat="1">
      <c r="AK8594" s="3">
        <v>8588</v>
      </c>
      <c r="AL8594" s="163">
        <v>7.6878479396917072</v>
      </c>
    </row>
    <row r="8595" spans="37:38" s="4" customFormat="1">
      <c r="AK8595" s="3">
        <v>8589</v>
      </c>
      <c r="AL8595" s="163">
        <v>7.6885660490055301</v>
      </c>
    </row>
    <row r="8596" spans="37:38" s="4" customFormat="1">
      <c r="AK8596" s="3">
        <v>8590</v>
      </c>
      <c r="AL8596" s="163">
        <v>7.6892846727895687</v>
      </c>
    </row>
    <row r="8597" spans="37:38" s="4" customFormat="1">
      <c r="AK8597" s="3">
        <v>8591</v>
      </c>
      <c r="AL8597" s="163">
        <v>7.6900038119531615</v>
      </c>
    </row>
    <row r="8598" spans="37:38" s="4" customFormat="1">
      <c r="AK8598" s="3">
        <v>8592</v>
      </c>
      <c r="AL8598" s="163">
        <v>7.6907234674064995</v>
      </c>
    </row>
    <row r="8599" spans="37:38" s="4" customFormat="1">
      <c r="AK8599" s="3">
        <v>8593</v>
      </c>
      <c r="AL8599" s="163">
        <v>7.6914436400603421</v>
      </c>
    </row>
    <row r="8600" spans="37:38" s="4" customFormat="1">
      <c r="AK8600" s="3">
        <v>8594</v>
      </c>
      <c r="AL8600" s="163">
        <v>7.6921643308259604</v>
      </c>
    </row>
    <row r="8601" spans="37:38" s="4" customFormat="1">
      <c r="AK8601" s="3">
        <v>8595</v>
      </c>
      <c r="AL8601" s="163">
        <v>7.692885540615535</v>
      </c>
    </row>
    <row r="8602" spans="37:38" s="4" customFormat="1">
      <c r="AK8602" s="3">
        <v>8596</v>
      </c>
      <c r="AL8602" s="163">
        <v>7.6936072703415022</v>
      </c>
    </row>
    <row r="8603" spans="37:38" s="4" customFormat="1">
      <c r="AK8603" s="3">
        <v>8597</v>
      </c>
      <c r="AL8603" s="163">
        <v>7.6943295209173499</v>
      </c>
    </row>
    <row r="8604" spans="37:38" s="4" customFormat="1">
      <c r="AK8604" s="3">
        <v>8598</v>
      </c>
      <c r="AL8604" s="163">
        <v>7.6950522932570067</v>
      </c>
    </row>
    <row r="8605" spans="37:38" s="4" customFormat="1">
      <c r="AK8605" s="3">
        <v>8599</v>
      </c>
      <c r="AL8605" s="163">
        <v>7.6957755882751258</v>
      </c>
    </row>
    <row r="8606" spans="37:38" s="4" customFormat="1">
      <c r="AK8606" s="3">
        <v>8600</v>
      </c>
      <c r="AL8606" s="163">
        <v>7.6964994068869004</v>
      </c>
    </row>
    <row r="8607" spans="37:38" s="4" customFormat="1">
      <c r="AK8607" s="3">
        <v>8601</v>
      </c>
      <c r="AL8607" s="163">
        <v>7.6972237500083338</v>
      </c>
    </row>
    <row r="8608" spans="37:38" s="4" customFormat="1">
      <c r="AK8608" s="3">
        <v>8602</v>
      </c>
      <c r="AL8608" s="163">
        <v>7.6979486185560404</v>
      </c>
    </row>
    <row r="8609" spans="37:38" s="4" customFormat="1">
      <c r="AK8609" s="3">
        <v>8603</v>
      </c>
      <c r="AL8609" s="163">
        <v>7.6986740134471034</v>
      </c>
    </row>
    <row r="8610" spans="37:38" s="4" customFormat="1">
      <c r="AK8610" s="3">
        <v>8604</v>
      </c>
      <c r="AL8610" s="163">
        <v>7.6993999355995157</v>
      </c>
    </row>
    <row r="8611" spans="37:38" s="4" customFormat="1">
      <c r="AK8611" s="3">
        <v>8605</v>
      </c>
      <c r="AL8611" s="163">
        <v>7.7001263859317817</v>
      </c>
    </row>
    <row r="8612" spans="37:38" s="4" customFormat="1">
      <c r="AK8612" s="3">
        <v>8606</v>
      </c>
      <c r="AL8612" s="163">
        <v>7.7008533653630167</v>
      </c>
    </row>
    <row r="8613" spans="37:38" s="4" customFormat="1">
      <c r="AK8613" s="3">
        <v>8607</v>
      </c>
      <c r="AL8613" s="163">
        <v>7.701580874813132</v>
      </c>
    </row>
    <row r="8614" spans="37:38" s="4" customFormat="1">
      <c r="AK8614" s="3">
        <v>8608</v>
      </c>
      <c r="AL8614" s="163">
        <v>7.7023089152026074</v>
      </c>
    </row>
    <row r="8615" spans="37:38" s="4" customFormat="1">
      <c r="AK8615" s="3">
        <v>8609</v>
      </c>
      <c r="AL8615" s="163">
        <v>7.7030374874525194</v>
      </c>
    </row>
    <row r="8616" spans="37:38" s="4" customFormat="1">
      <c r="AK8616" s="3">
        <v>8610</v>
      </c>
      <c r="AL8616" s="163">
        <v>7.7037665924846976</v>
      </c>
    </row>
    <row r="8617" spans="37:38" s="4" customFormat="1">
      <c r="AK8617" s="3">
        <v>8611</v>
      </c>
      <c r="AL8617" s="163">
        <v>7.7044962312215972</v>
      </c>
    </row>
    <row r="8618" spans="37:38" s="4" customFormat="1">
      <c r="AK8618" s="3">
        <v>8612</v>
      </c>
      <c r="AL8618" s="163">
        <v>7.7052264045862557</v>
      </c>
    </row>
    <row r="8619" spans="37:38" s="4" customFormat="1">
      <c r="AK8619" s="3">
        <v>8613</v>
      </c>
      <c r="AL8619" s="163">
        <v>7.7059571135024214</v>
      </c>
    </row>
    <row r="8620" spans="37:38" s="4" customFormat="1">
      <c r="AK8620" s="3">
        <v>8614</v>
      </c>
      <c r="AL8620" s="163">
        <v>7.7066883588945103</v>
      </c>
    </row>
    <row r="8621" spans="37:38" s="4" customFormat="1">
      <c r="AK8621" s="3">
        <v>8615</v>
      </c>
      <c r="AL8621" s="163">
        <v>7.7074201416875923</v>
      </c>
    </row>
    <row r="8622" spans="37:38" s="4" customFormat="1">
      <c r="AK8622" s="3">
        <v>8616</v>
      </c>
      <c r="AL8622" s="163">
        <v>7.7081524628073907</v>
      </c>
    </row>
    <row r="8623" spans="37:38" s="4" customFormat="1">
      <c r="AK8623" s="3">
        <v>8617</v>
      </c>
      <c r="AL8623" s="163">
        <v>7.7088853231802261</v>
      </c>
    </row>
    <row r="8624" spans="37:38" s="4" customFormat="1">
      <c r="AK8624" s="3">
        <v>8618</v>
      </c>
      <c r="AL8624" s="163">
        <v>7.7096187237331577</v>
      </c>
    </row>
    <row r="8625" spans="37:38" s="4" customFormat="1">
      <c r="AK8625" s="3">
        <v>8619</v>
      </c>
      <c r="AL8625" s="163">
        <v>7.7103526653937422</v>
      </c>
    </row>
    <row r="8626" spans="37:38" s="4" customFormat="1">
      <c r="AK8626" s="3">
        <v>8620</v>
      </c>
      <c r="AL8626" s="163">
        <v>7.7110871490903889</v>
      </c>
    </row>
    <row r="8627" spans="37:38" s="4" customFormat="1">
      <c r="AK8627" s="3">
        <v>8621</v>
      </c>
      <c r="AL8627" s="163">
        <v>7.7118221757520189</v>
      </c>
    </row>
    <row r="8628" spans="37:38" s="4" customFormat="1">
      <c r="AK8628" s="3">
        <v>8622</v>
      </c>
      <c r="AL8628" s="163">
        <v>7.7125577463083346</v>
      </c>
    </row>
    <row r="8629" spans="37:38" s="4" customFormat="1">
      <c r="AK8629" s="3">
        <v>8623</v>
      </c>
      <c r="AL8629" s="163">
        <v>7.7132938616895359</v>
      </c>
    </row>
    <row r="8630" spans="37:38" s="4" customFormat="1">
      <c r="AK8630" s="3">
        <v>8624</v>
      </c>
      <c r="AL8630" s="163">
        <v>7.7140305228266612</v>
      </c>
    </row>
    <row r="8631" spans="37:38" s="4" customFormat="1">
      <c r="AK8631" s="3">
        <v>8625</v>
      </c>
      <c r="AL8631" s="163">
        <v>7.7147677306511753</v>
      </c>
    </row>
    <row r="8632" spans="37:38" s="4" customFormat="1">
      <c r="AK8632" s="3">
        <v>8626</v>
      </c>
      <c r="AL8632" s="163">
        <v>7.7155054860953953</v>
      </c>
    </row>
    <row r="8633" spans="37:38" s="4" customFormat="1">
      <c r="AK8633" s="3">
        <v>8627</v>
      </c>
      <c r="AL8633" s="163">
        <v>7.7162437900922498</v>
      </c>
    </row>
    <row r="8634" spans="37:38" s="4" customFormat="1">
      <c r="AK8634" s="3">
        <v>8628</v>
      </c>
      <c r="AL8634" s="163">
        <v>7.7169826435752498</v>
      </c>
    </row>
    <row r="8635" spans="37:38" s="4" customFormat="1">
      <c r="AK8635" s="3">
        <v>8629</v>
      </c>
      <c r="AL8635" s="163">
        <v>7.7177220474786168</v>
      </c>
    </row>
    <row r="8636" spans="37:38" s="4" customFormat="1">
      <c r="AK8636" s="3">
        <v>8630</v>
      </c>
      <c r="AL8636" s="163">
        <v>7.7184620027372404</v>
      </c>
    </row>
    <row r="8637" spans="37:38" s="4" customFormat="1">
      <c r="AK8637" s="3">
        <v>8631</v>
      </c>
      <c r="AL8637" s="163">
        <v>7.7192025102866069</v>
      </c>
    </row>
    <row r="8638" spans="37:38" s="4" customFormat="1">
      <c r="AK8638" s="3">
        <v>8632</v>
      </c>
      <c r="AL8638" s="163">
        <v>7.7199435710629842</v>
      </c>
    </row>
    <row r="8639" spans="37:38" s="4" customFormat="1">
      <c r="AK8639" s="3">
        <v>8633</v>
      </c>
      <c r="AL8639" s="163">
        <v>7.7206851860030952</v>
      </c>
    </row>
    <row r="8640" spans="37:38" s="4" customFormat="1">
      <c r="AK8640" s="3">
        <v>8634</v>
      </c>
      <c r="AL8640" s="163">
        <v>7.7214273560445292</v>
      </c>
    </row>
    <row r="8641" spans="37:38" s="4" customFormat="1">
      <c r="AK8641" s="3">
        <v>8635</v>
      </c>
      <c r="AL8641" s="163">
        <v>7.7221700821253592</v>
      </c>
    </row>
    <row r="8642" spans="37:38" s="4" customFormat="1">
      <c r="AK8642" s="3">
        <v>8636</v>
      </c>
      <c r="AL8642" s="163">
        <v>7.7229133651844677</v>
      </c>
    </row>
    <row r="8643" spans="37:38" s="4" customFormat="1">
      <c r="AK8643" s="3">
        <v>8637</v>
      </c>
      <c r="AL8643" s="163">
        <v>7.7236572061612492</v>
      </c>
    </row>
    <row r="8644" spans="37:38" s="4" customFormat="1">
      <c r="AK8644" s="3">
        <v>8638</v>
      </c>
      <c r="AL8644" s="163">
        <v>7.7244016059958938</v>
      </c>
    </row>
    <row r="8645" spans="37:38" s="4" customFormat="1">
      <c r="AK8645" s="3">
        <v>8639</v>
      </c>
      <c r="AL8645" s="163">
        <v>7.7251465656291884</v>
      </c>
    </row>
    <row r="8646" spans="37:38" s="4" customFormat="1">
      <c r="AK8646" s="3">
        <v>8640</v>
      </c>
      <c r="AL8646" s="163">
        <v>7.7258920860024602</v>
      </c>
    </row>
    <row r="8647" spans="37:38" s="4" customFormat="1">
      <c r="AK8647" s="3">
        <v>8641</v>
      </c>
      <c r="AL8647" s="163">
        <v>7.7266381680579457</v>
      </c>
    </row>
    <row r="8648" spans="37:38" s="4" customFormat="1">
      <c r="AK8648" s="3">
        <v>8642</v>
      </c>
      <c r="AL8648" s="163">
        <v>7.7273848127383076</v>
      </c>
    </row>
    <row r="8649" spans="37:38" s="4" customFormat="1">
      <c r="AK8649" s="3">
        <v>8643</v>
      </c>
      <c r="AL8649" s="163">
        <v>7.728132020987033</v>
      </c>
    </row>
    <row r="8650" spans="37:38" s="4" customFormat="1">
      <c r="AK8650" s="3">
        <v>8644</v>
      </c>
      <c r="AL8650" s="163">
        <v>7.7288797937480638</v>
      </c>
    </row>
    <row r="8651" spans="37:38" s="4" customFormat="1">
      <c r="AK8651" s="3">
        <v>8645</v>
      </c>
      <c r="AL8651" s="163">
        <v>7.7296281319663223</v>
      </c>
    </row>
    <row r="8652" spans="37:38" s="4" customFormat="1">
      <c r="AK8652" s="3">
        <v>8646</v>
      </c>
      <c r="AL8652" s="163">
        <v>7.7303770365869582</v>
      </c>
    </row>
    <row r="8653" spans="37:38" s="4" customFormat="1">
      <c r="AK8653" s="3">
        <v>8647</v>
      </c>
      <c r="AL8653" s="163">
        <v>7.7311265085562582</v>
      </c>
    </row>
    <row r="8654" spans="37:38" s="4" customFormat="1">
      <c r="AK8654" s="3">
        <v>8648</v>
      </c>
      <c r="AL8654" s="163">
        <v>7.7318765488207646</v>
      </c>
    </row>
    <row r="8655" spans="37:38" s="4" customFormat="1">
      <c r="AK8655" s="3">
        <v>8649</v>
      </c>
      <c r="AL8655" s="163">
        <v>7.7326271583279151</v>
      </c>
    </row>
    <row r="8656" spans="37:38" s="4" customFormat="1">
      <c r="AK8656" s="3">
        <v>8650</v>
      </c>
      <c r="AL8656" s="163">
        <v>7.7333783380256875</v>
      </c>
    </row>
    <row r="8657" spans="37:38" s="4" customFormat="1">
      <c r="AK8657" s="3">
        <v>8651</v>
      </c>
      <c r="AL8657" s="163">
        <v>7.7341300888628695</v>
      </c>
    </row>
    <row r="8658" spans="37:38" s="4" customFormat="1">
      <c r="AK8658" s="3">
        <v>8652</v>
      </c>
      <c r="AL8658" s="163">
        <v>7.7348824117887176</v>
      </c>
    </row>
    <row r="8659" spans="37:38" s="4" customFormat="1">
      <c r="AK8659" s="3">
        <v>8653</v>
      </c>
      <c r="AL8659" s="163">
        <v>7.7356353077532276</v>
      </c>
    </row>
    <row r="8660" spans="37:38" s="4" customFormat="1">
      <c r="AK8660" s="3">
        <v>8654</v>
      </c>
      <c r="AL8660" s="163">
        <v>7.7363887777070914</v>
      </c>
    </row>
    <row r="8661" spans="37:38" s="4" customFormat="1">
      <c r="AK8661" s="3">
        <v>8655</v>
      </c>
      <c r="AL8661" s="163">
        <v>7.7371428226015837</v>
      </c>
    </row>
    <row r="8662" spans="37:38" s="4" customFormat="1">
      <c r="AK8662" s="3">
        <v>8656</v>
      </c>
      <c r="AL8662" s="163">
        <v>7.7378974433888743</v>
      </c>
    </row>
    <row r="8663" spans="37:38" s="4" customFormat="1">
      <c r="AK8663" s="3">
        <v>8657</v>
      </c>
      <c r="AL8663" s="163">
        <v>7.7386526410213605</v>
      </c>
    </row>
    <row r="8664" spans="37:38" s="4" customFormat="1">
      <c r="AK8664" s="3">
        <v>8658</v>
      </c>
      <c r="AL8664" s="163">
        <v>7.7394084164525339</v>
      </c>
    </row>
    <row r="8665" spans="37:38" s="4" customFormat="1">
      <c r="AK8665" s="3">
        <v>8659</v>
      </c>
      <c r="AL8665" s="163">
        <v>7.7401647706362553</v>
      </c>
    </row>
    <row r="8666" spans="37:38" s="4" customFormat="1">
      <c r="AK8666" s="3">
        <v>8660</v>
      </c>
      <c r="AL8666" s="163">
        <v>7.7409217045272669</v>
      </c>
    </row>
    <row r="8667" spans="37:38" s="4" customFormat="1">
      <c r="AK8667" s="3">
        <v>8661</v>
      </c>
      <c r="AL8667" s="163">
        <v>7.7416792190807797</v>
      </c>
    </row>
    <row r="8668" spans="37:38" s="4" customFormat="1">
      <c r="AK8668" s="3">
        <v>8662</v>
      </c>
      <c r="AL8668" s="163">
        <v>7.7424373152527153</v>
      </c>
    </row>
    <row r="8669" spans="37:38" s="4" customFormat="1">
      <c r="AK8669" s="3">
        <v>8663</v>
      </c>
      <c r="AL8669" s="163">
        <v>7.743195993999791</v>
      </c>
    </row>
    <row r="8670" spans="37:38" s="4" customFormat="1">
      <c r="AK8670" s="3">
        <v>8664</v>
      </c>
      <c r="AL8670" s="163">
        <v>7.7439552562791221</v>
      </c>
    </row>
    <row r="8671" spans="37:38" s="4" customFormat="1">
      <c r="AK8671" s="3">
        <v>8665</v>
      </c>
      <c r="AL8671" s="163">
        <v>7.744715103048847</v>
      </c>
    </row>
    <row r="8672" spans="37:38" s="4" customFormat="1">
      <c r="AK8672" s="3">
        <v>8666</v>
      </c>
      <c r="AL8672" s="163">
        <v>7.7454755352675448</v>
      </c>
    </row>
    <row r="8673" spans="37:38" s="4" customFormat="1">
      <c r="AK8673" s="3">
        <v>8667</v>
      </c>
      <c r="AL8673" s="163">
        <v>7.7462365538943487</v>
      </c>
    </row>
    <row r="8674" spans="37:38" s="4" customFormat="1">
      <c r="AK8674" s="3">
        <v>8668</v>
      </c>
      <c r="AL8674" s="163">
        <v>7.7469981598892161</v>
      </c>
    </row>
    <row r="8675" spans="37:38" s="4" customFormat="1">
      <c r="AK8675" s="3">
        <v>8669</v>
      </c>
      <c r="AL8675" s="163">
        <v>7.7477603542129145</v>
      </c>
    </row>
    <row r="8676" spans="37:38" s="4" customFormat="1">
      <c r="AK8676" s="3">
        <v>8670</v>
      </c>
      <c r="AL8676" s="163">
        <v>7.748523137826453</v>
      </c>
    </row>
    <row r="8677" spans="37:38" s="4" customFormat="1">
      <c r="AK8677" s="3">
        <v>8671</v>
      </c>
      <c r="AL8677" s="163">
        <v>7.7492865116918495</v>
      </c>
    </row>
    <row r="8678" spans="37:38" s="4" customFormat="1">
      <c r="AK8678" s="3">
        <v>8672</v>
      </c>
      <c r="AL8678" s="163">
        <v>7.7500504767717899</v>
      </c>
    </row>
    <row r="8679" spans="37:38" s="4" customFormat="1">
      <c r="AK8679" s="3">
        <v>8673</v>
      </c>
      <c r="AL8679" s="163">
        <v>7.7508150340293582</v>
      </c>
    </row>
    <row r="8680" spans="37:38" s="4" customFormat="1">
      <c r="AK8680" s="3">
        <v>8674</v>
      </c>
      <c r="AL8680" s="163">
        <v>7.7515801844285761</v>
      </c>
    </row>
    <row r="8681" spans="37:38" s="4" customFormat="1">
      <c r="AK8681" s="3">
        <v>8675</v>
      </c>
      <c r="AL8681" s="163">
        <v>7.7523459289339485</v>
      </c>
    </row>
    <row r="8682" spans="37:38" s="4" customFormat="1">
      <c r="AK8682" s="3">
        <v>8676</v>
      </c>
      <c r="AL8682" s="163">
        <v>7.7531122685107619</v>
      </c>
    </row>
    <row r="8683" spans="37:38" s="4" customFormat="1">
      <c r="AK8683" s="3">
        <v>8677</v>
      </c>
      <c r="AL8683" s="163">
        <v>7.7538792041248428</v>
      </c>
    </row>
    <row r="8684" spans="37:38" s="4" customFormat="1">
      <c r="AK8684" s="3">
        <v>8678</v>
      </c>
      <c r="AL8684" s="163">
        <v>7.7546467367428704</v>
      </c>
    </row>
    <row r="8685" spans="37:38" s="4" customFormat="1">
      <c r="AK8685" s="3">
        <v>8679</v>
      </c>
      <c r="AL8685" s="163">
        <v>7.7554148673320213</v>
      </c>
    </row>
    <row r="8686" spans="37:38" s="4" customFormat="1">
      <c r="AK8686" s="3">
        <v>8680</v>
      </c>
      <c r="AL8686" s="163">
        <v>7.75618359686014</v>
      </c>
    </row>
    <row r="8687" spans="37:38" s="4" customFormat="1">
      <c r="AK8687" s="3">
        <v>8681</v>
      </c>
      <c r="AL8687" s="163">
        <v>7.7569529262958667</v>
      </c>
    </row>
    <row r="8688" spans="37:38" s="4" customFormat="1">
      <c r="AK8688" s="3">
        <v>8682</v>
      </c>
      <c r="AL8688" s="163">
        <v>7.7577228566084102</v>
      </c>
    </row>
    <row r="8689" spans="37:38" s="4" customFormat="1">
      <c r="AK8689" s="3">
        <v>8683</v>
      </c>
      <c r="AL8689" s="163">
        <v>7.7584933887676186</v>
      </c>
    </row>
    <row r="8690" spans="37:38" s="4" customFormat="1">
      <c r="AK8690" s="3">
        <v>8684</v>
      </c>
      <c r="AL8690" s="163">
        <v>7.759264523744136</v>
      </c>
    </row>
    <row r="8691" spans="37:38" s="4" customFormat="1">
      <c r="AK8691" s="3">
        <v>8685</v>
      </c>
      <c r="AL8691" s="163">
        <v>7.7600362625091321</v>
      </c>
    </row>
    <row r="8692" spans="37:38" s="4" customFormat="1">
      <c r="AK8692" s="3">
        <v>8686</v>
      </c>
      <c r="AL8692" s="163">
        <v>7.7608086060344732</v>
      </c>
    </row>
    <row r="8693" spans="37:38" s="4" customFormat="1">
      <c r="AK8693" s="3">
        <v>8687</v>
      </c>
      <c r="AL8693" s="163">
        <v>7.7615815552927501</v>
      </c>
    </row>
    <row r="8694" spans="37:38" s="4" customFormat="1">
      <c r="AK8694" s="3">
        <v>8688</v>
      </c>
      <c r="AL8694" s="163">
        <v>7.7623551112572216</v>
      </c>
    </row>
    <row r="8695" spans="37:38" s="4" customFormat="1">
      <c r="AK8695" s="3">
        <v>8689</v>
      </c>
      <c r="AL8695" s="163">
        <v>7.7631292749017433</v>
      </c>
    </row>
    <row r="8696" spans="37:38" s="4" customFormat="1">
      <c r="AK8696" s="3">
        <v>8690</v>
      </c>
      <c r="AL8696" s="163">
        <v>7.7639040472008531</v>
      </c>
    </row>
    <row r="8697" spans="37:38" s="4" customFormat="1">
      <c r="AK8697" s="3">
        <v>8691</v>
      </c>
      <c r="AL8697" s="163">
        <v>7.7646794291298278</v>
      </c>
    </row>
    <row r="8698" spans="37:38" s="4" customFormat="1">
      <c r="AK8698" s="3">
        <v>8692</v>
      </c>
      <c r="AL8698" s="163">
        <v>7.7654554216645408</v>
      </c>
    </row>
    <row r="8699" spans="37:38" s="4" customFormat="1">
      <c r="AK8699" s="3">
        <v>8693</v>
      </c>
      <c r="AL8699" s="163">
        <v>7.7662320257814912</v>
      </c>
    </row>
    <row r="8700" spans="37:38" s="4" customFormat="1">
      <c r="AK8700" s="3">
        <v>8694</v>
      </c>
      <c r="AL8700" s="163">
        <v>7.7670092424579309</v>
      </c>
    </row>
    <row r="8701" spans="37:38" s="4" customFormat="1">
      <c r="AK8701" s="3">
        <v>8695</v>
      </c>
      <c r="AL8701" s="163">
        <v>7.7677870726717799</v>
      </c>
    </row>
    <row r="8702" spans="37:38" s="4" customFormat="1">
      <c r="AK8702" s="3">
        <v>8696</v>
      </c>
      <c r="AL8702" s="163">
        <v>7.7685655174016546</v>
      </c>
    </row>
    <row r="8703" spans="37:38" s="4" customFormat="1">
      <c r="AK8703" s="3">
        <v>8697</v>
      </c>
      <c r="AL8703" s="163">
        <v>7.7693445776267254</v>
      </c>
    </row>
    <row r="8704" spans="37:38" s="4" customFormat="1">
      <c r="AK8704" s="3">
        <v>8698</v>
      </c>
      <c r="AL8704" s="163">
        <v>7.7701242543268165</v>
      </c>
    </row>
    <row r="8705" spans="37:38" s="4" customFormat="1">
      <c r="AK8705" s="3">
        <v>8699</v>
      </c>
      <c r="AL8705" s="163">
        <v>7.7709045484827044</v>
      </c>
    </row>
    <row r="8706" spans="37:38" s="4" customFormat="1">
      <c r="AK8706" s="3">
        <v>8700</v>
      </c>
      <c r="AL8706" s="163">
        <v>7.7716854610753643</v>
      </c>
    </row>
    <row r="8707" spans="37:38" s="4" customFormat="1">
      <c r="AK8707" s="3">
        <v>8701</v>
      </c>
      <c r="AL8707" s="163">
        <v>7.7724669930869226</v>
      </c>
    </row>
    <row r="8708" spans="37:38" s="4" customFormat="1">
      <c r="AK8708" s="3">
        <v>8702</v>
      </c>
      <c r="AL8708" s="163">
        <v>7.7732491454998467</v>
      </c>
    </row>
    <row r="8709" spans="37:38" s="4" customFormat="1">
      <c r="AK8709" s="3">
        <v>8703</v>
      </c>
      <c r="AL8709" s="163">
        <v>7.7740319192973999</v>
      </c>
    </row>
    <row r="8710" spans="37:38" s="4" customFormat="1">
      <c r="AK8710" s="3">
        <v>8704</v>
      </c>
      <c r="AL8710" s="163">
        <v>7.7748153154634849</v>
      </c>
    </row>
    <row r="8711" spans="37:38" s="4" customFormat="1">
      <c r="AK8711" s="3">
        <v>8705</v>
      </c>
      <c r="AL8711" s="163">
        <v>7.7755993349826866</v>
      </c>
    </row>
    <row r="8712" spans="37:38" s="4" customFormat="1">
      <c r="AK8712" s="3">
        <v>8706</v>
      </c>
      <c r="AL8712" s="163">
        <v>7.776383978840272</v>
      </c>
    </row>
    <row r="8713" spans="37:38" s="4" customFormat="1">
      <c r="AK8713" s="3">
        <v>8707</v>
      </c>
      <c r="AL8713" s="163">
        <v>7.7771692480222043</v>
      </c>
    </row>
    <row r="8714" spans="37:38" s="4" customFormat="1">
      <c r="AK8714" s="3">
        <v>8708</v>
      </c>
      <c r="AL8714" s="163">
        <v>7.777955143514987</v>
      </c>
    </row>
    <row r="8715" spans="37:38" s="4" customFormat="1">
      <c r="AK8715" s="3">
        <v>8709</v>
      </c>
      <c r="AL8715" s="163">
        <v>7.7787416663058906</v>
      </c>
    </row>
    <row r="8716" spans="37:38" s="4" customFormat="1">
      <c r="AK8716" s="3">
        <v>8710</v>
      </c>
      <c r="AL8716" s="163">
        <v>7.7795288173829107</v>
      </c>
    </row>
    <row r="8717" spans="37:38" s="4" customFormat="1">
      <c r="AK8717" s="3">
        <v>8711</v>
      </c>
      <c r="AL8717" s="163">
        <v>7.7803165977346964</v>
      </c>
    </row>
    <row r="8718" spans="37:38" s="4" customFormat="1">
      <c r="AK8718" s="3">
        <v>8712</v>
      </c>
      <c r="AL8718" s="163">
        <v>7.7811050083504227</v>
      </c>
    </row>
    <row r="8719" spans="37:38" s="4" customFormat="1">
      <c r="AK8719" s="3">
        <v>8713</v>
      </c>
      <c r="AL8719" s="163">
        <v>7.7818940502199752</v>
      </c>
    </row>
    <row r="8720" spans="37:38" s="4" customFormat="1">
      <c r="AK8720" s="3">
        <v>8714</v>
      </c>
      <c r="AL8720" s="163">
        <v>7.7826837243341771</v>
      </c>
    </row>
    <row r="8721" spans="37:38" s="4" customFormat="1">
      <c r="AK8721" s="3">
        <v>8715</v>
      </c>
      <c r="AL8721" s="163">
        <v>7.7834740316841504</v>
      </c>
    </row>
    <row r="8722" spans="37:38" s="4" customFormat="1">
      <c r="AK8722" s="3">
        <v>8716</v>
      </c>
      <c r="AL8722" s="163">
        <v>7.784264973261898</v>
      </c>
    </row>
    <row r="8723" spans="37:38" s="4" customFormat="1">
      <c r="AK8723" s="3">
        <v>8717</v>
      </c>
      <c r="AL8723" s="163">
        <v>7.7850565500600482</v>
      </c>
    </row>
    <row r="8724" spans="37:38" s="4" customFormat="1">
      <c r="AK8724" s="3">
        <v>8718</v>
      </c>
      <c r="AL8724" s="163">
        <v>7.7858487630719964</v>
      </c>
    </row>
    <row r="8725" spans="37:38" s="4" customFormat="1">
      <c r="AK8725" s="3">
        <v>8719</v>
      </c>
      <c r="AL8725" s="163">
        <v>7.7866416132916214</v>
      </c>
    </row>
    <row r="8726" spans="37:38" s="4" customFormat="1">
      <c r="AK8726" s="3">
        <v>8720</v>
      </c>
      <c r="AL8726" s="163">
        <v>7.7874351017135837</v>
      </c>
    </row>
    <row r="8727" spans="37:38" s="4" customFormat="1">
      <c r="AK8727" s="3">
        <v>8721</v>
      </c>
      <c r="AL8727" s="163">
        <v>7.7882292293331545</v>
      </c>
    </row>
    <row r="8728" spans="37:38" s="4" customFormat="1">
      <c r="AK8728" s="3">
        <v>8722</v>
      </c>
      <c r="AL8728" s="163">
        <v>7.7890239971465149</v>
      </c>
    </row>
    <row r="8729" spans="37:38" s="4" customFormat="1">
      <c r="AK8729" s="3">
        <v>8723</v>
      </c>
      <c r="AL8729" s="163">
        <v>7.7898194061501584</v>
      </c>
    </row>
    <row r="8730" spans="37:38" s="4" customFormat="1">
      <c r="AK8730" s="3">
        <v>8724</v>
      </c>
      <c r="AL8730" s="163">
        <v>7.7906154573414454</v>
      </c>
    </row>
    <row r="8731" spans="37:38" s="4" customFormat="1">
      <c r="AK8731" s="3">
        <v>8725</v>
      </c>
      <c r="AL8731" s="163">
        <v>7.7914121517184327</v>
      </c>
    </row>
    <row r="8732" spans="37:38" s="4" customFormat="1">
      <c r="AK8732" s="3">
        <v>8726</v>
      </c>
      <c r="AL8732" s="163">
        <v>7.7922094902798733</v>
      </c>
    </row>
    <row r="8733" spans="37:38" s="4" customFormat="1">
      <c r="AK8733" s="3">
        <v>8727</v>
      </c>
      <c r="AL8733" s="163">
        <v>7.7930074740249751</v>
      </c>
    </row>
    <row r="8734" spans="37:38" s="4" customFormat="1">
      <c r="AK8734" s="3">
        <v>8728</v>
      </c>
      <c r="AL8734" s="163">
        <v>7.7938061039538837</v>
      </c>
    </row>
    <row r="8735" spans="37:38" s="4" customFormat="1">
      <c r="AK8735" s="3">
        <v>8729</v>
      </c>
      <c r="AL8735" s="163">
        <v>7.7946053810673135</v>
      </c>
    </row>
    <row r="8736" spans="37:38" s="4" customFormat="1">
      <c r="AK8736" s="3">
        <v>8730</v>
      </c>
      <c r="AL8736" s="163">
        <v>7.7954053063665327</v>
      </c>
    </row>
    <row r="8737" spans="37:38" s="4" customFormat="1">
      <c r="AK8737" s="3">
        <v>8731</v>
      </c>
      <c r="AL8737" s="163">
        <v>7.7962058808537336</v>
      </c>
    </row>
    <row r="8738" spans="37:38" s="4" customFormat="1">
      <c r="AK8738" s="3">
        <v>8732</v>
      </c>
      <c r="AL8738" s="163">
        <v>7.7970071055315486</v>
      </c>
    </row>
    <row r="8739" spans="37:38" s="4" customFormat="1">
      <c r="AK8739" s="3">
        <v>8733</v>
      </c>
      <c r="AL8739" s="163">
        <v>7.7978089814034774</v>
      </c>
    </row>
    <row r="8740" spans="37:38" s="4" customFormat="1">
      <c r="AK8740" s="3">
        <v>8734</v>
      </c>
      <c r="AL8740" s="163">
        <v>7.7986115094735311</v>
      </c>
    </row>
    <row r="8741" spans="37:38" s="4" customFormat="1">
      <c r="AK8741" s="3">
        <v>8735</v>
      </c>
      <c r="AL8741" s="163">
        <v>7.7994146907465165</v>
      </c>
    </row>
    <row r="8742" spans="37:38" s="4" customFormat="1">
      <c r="AK8742" s="3">
        <v>8736</v>
      </c>
      <c r="AL8742" s="163">
        <v>7.8002185262278516</v>
      </c>
    </row>
    <row r="8743" spans="37:38" s="4" customFormat="1">
      <c r="AK8743" s="3">
        <v>8737</v>
      </c>
      <c r="AL8743" s="163">
        <v>7.8010230169235655</v>
      </c>
    </row>
    <row r="8744" spans="37:38" s="4" customFormat="1">
      <c r="AK8744" s="3">
        <v>8738</v>
      </c>
      <c r="AL8744" s="163">
        <v>7.8018281638405966</v>
      </c>
    </row>
    <row r="8745" spans="37:38" s="4" customFormat="1">
      <c r="AK8745" s="3">
        <v>8739</v>
      </c>
      <c r="AL8745" s="163">
        <v>7.8026339679862531</v>
      </c>
    </row>
    <row r="8746" spans="37:38" s="4" customFormat="1">
      <c r="AK8746" s="3">
        <v>8740</v>
      </c>
      <c r="AL8746" s="163">
        <v>7.8034404303687097</v>
      </c>
    </row>
    <row r="8747" spans="37:38" s="4" customFormat="1">
      <c r="AK8747" s="3">
        <v>8741</v>
      </c>
      <c r="AL8747" s="163">
        <v>7.8042475519968519</v>
      </c>
    </row>
    <row r="8748" spans="37:38" s="4" customFormat="1">
      <c r="AK8748" s="3">
        <v>8742</v>
      </c>
      <c r="AL8748" s="163">
        <v>7.8050553338801478</v>
      </c>
    </row>
    <row r="8749" spans="37:38" s="4" customFormat="1">
      <c r="AK8749" s="3">
        <v>8743</v>
      </c>
      <c r="AL8749" s="163">
        <v>7.8058637770286481</v>
      </c>
    </row>
    <row r="8750" spans="37:38" s="4" customFormat="1">
      <c r="AK8750" s="3">
        <v>8744</v>
      </c>
      <c r="AL8750" s="163">
        <v>7.8066728824533698</v>
      </c>
    </row>
    <row r="8751" spans="37:38" s="4" customFormat="1">
      <c r="AK8751" s="3">
        <v>8745</v>
      </c>
      <c r="AL8751" s="163">
        <v>7.8074826511656994</v>
      </c>
    </row>
    <row r="8752" spans="37:38" s="4" customFormat="1">
      <c r="AK8752" s="3">
        <v>8746</v>
      </c>
      <c r="AL8752" s="163">
        <v>7.8082930841779472</v>
      </c>
    </row>
    <row r="8753" spans="37:38" s="4" customFormat="1">
      <c r="AK8753" s="3">
        <v>8747</v>
      </c>
      <c r="AL8753" s="163">
        <v>7.8091041825028498</v>
      </c>
    </row>
    <row r="8754" spans="37:38" s="4" customFormat="1">
      <c r="AK8754" s="3">
        <v>8748</v>
      </c>
      <c r="AL8754" s="163">
        <v>7.8099159471540247</v>
      </c>
    </row>
    <row r="8755" spans="37:38" s="4" customFormat="1">
      <c r="AK8755" s="3">
        <v>8749</v>
      </c>
      <c r="AL8755" s="163">
        <v>7.8107283791457007</v>
      </c>
    </row>
    <row r="8756" spans="37:38" s="4" customFormat="1">
      <c r="AK8756" s="3">
        <v>8750</v>
      </c>
      <c r="AL8756" s="163">
        <v>7.8115414794928171</v>
      </c>
    </row>
    <row r="8757" spans="37:38" s="4" customFormat="1">
      <c r="AK8757" s="3">
        <v>8751</v>
      </c>
      <c r="AL8757" s="163">
        <v>7.8123552492109525</v>
      </c>
    </row>
    <row r="8758" spans="37:38" s="4" customFormat="1">
      <c r="AK8758" s="3">
        <v>8752</v>
      </c>
      <c r="AL8758" s="163">
        <v>7.8131696893162541</v>
      </c>
    </row>
    <row r="8759" spans="37:38" s="4" customFormat="1">
      <c r="AK8759" s="3">
        <v>8753</v>
      </c>
      <c r="AL8759" s="163">
        <v>7.8139848008258497</v>
      </c>
    </row>
    <row r="8760" spans="37:38" s="4" customFormat="1">
      <c r="AK8760" s="3">
        <v>8754</v>
      </c>
      <c r="AL8760" s="163">
        <v>7.8148005847572364</v>
      </c>
    </row>
    <row r="8761" spans="37:38" s="4" customFormat="1">
      <c r="AK8761" s="3">
        <v>8755</v>
      </c>
      <c r="AL8761" s="163">
        <v>7.8156170421287072</v>
      </c>
    </row>
    <row r="8762" spans="37:38" s="4" customFormat="1">
      <c r="AK8762" s="3">
        <v>8756</v>
      </c>
      <c r="AL8762" s="163">
        <v>7.8164341739592942</v>
      </c>
    </row>
    <row r="8763" spans="37:38" s="4" customFormat="1">
      <c r="AK8763" s="3">
        <v>8757</v>
      </c>
      <c r="AL8763" s="163">
        <v>7.8172519812686261</v>
      </c>
    </row>
    <row r="8764" spans="37:38" s="4" customFormat="1">
      <c r="AK8764" s="3">
        <v>8758</v>
      </c>
      <c r="AL8764" s="163">
        <v>7.8180704650770565</v>
      </c>
    </row>
    <row r="8765" spans="37:38" s="4" customFormat="1">
      <c r="AK8765" s="3">
        <v>8759</v>
      </c>
      <c r="AL8765" s="163">
        <v>7.8188896264055643</v>
      </c>
    </row>
    <row r="8766" spans="37:38" s="4" customFormat="1">
      <c r="AK8766" s="3">
        <v>8760</v>
      </c>
      <c r="AL8766" s="163">
        <v>7.8197094662759241</v>
      </c>
    </row>
    <row r="8767" spans="37:38" s="4" customFormat="1">
      <c r="AK8767" s="3">
        <v>8761</v>
      </c>
      <c r="AL8767" s="163">
        <v>7.8205299857104222</v>
      </c>
    </row>
    <row r="8768" spans="37:38" s="4" customFormat="1">
      <c r="AK8768" s="3">
        <v>8762</v>
      </c>
      <c r="AL8768" s="163">
        <v>7.8213511857321549</v>
      </c>
    </row>
    <row r="8769" spans="37:38" s="4" customFormat="1">
      <c r="AK8769" s="3">
        <v>8763</v>
      </c>
      <c r="AL8769" s="163">
        <v>7.8221730673648722</v>
      </c>
    </row>
    <row r="8770" spans="37:38" s="4" customFormat="1">
      <c r="AK8770" s="3">
        <v>8764</v>
      </c>
      <c r="AL8770" s="163">
        <v>7.8229956316329634</v>
      </c>
    </row>
    <row r="8771" spans="37:38" s="4" customFormat="1">
      <c r="AK8771" s="3">
        <v>8765</v>
      </c>
      <c r="AL8771" s="163">
        <v>7.823818879561486</v>
      </c>
    </row>
    <row r="8772" spans="37:38" s="4" customFormat="1">
      <c r="AK8772" s="3">
        <v>8766</v>
      </c>
      <c r="AL8772" s="163">
        <v>7.8246428121763216</v>
      </c>
    </row>
    <row r="8773" spans="37:38" s="4" customFormat="1">
      <c r="AK8773" s="3">
        <v>8767</v>
      </c>
      <c r="AL8773" s="163">
        <v>7.8254674305038776</v>
      </c>
    </row>
    <row r="8774" spans="37:38" s="4" customFormat="1">
      <c r="AK8774" s="3">
        <v>8768</v>
      </c>
      <c r="AL8774" s="163">
        <v>7.8262927355712861</v>
      </c>
    </row>
    <row r="8775" spans="37:38" s="4" customFormat="1">
      <c r="AK8775" s="3">
        <v>8769</v>
      </c>
      <c r="AL8775" s="163">
        <v>7.8271187284063757</v>
      </c>
    </row>
    <row r="8776" spans="37:38" s="4" customFormat="1">
      <c r="AK8776" s="3">
        <v>8770</v>
      </c>
      <c r="AL8776" s="163">
        <v>7.8279454100376</v>
      </c>
    </row>
    <row r="8777" spans="37:38" s="4" customFormat="1">
      <c r="AK8777" s="3">
        <v>8771</v>
      </c>
      <c r="AL8777" s="163">
        <v>7.8287727814942798</v>
      </c>
    </row>
    <row r="8778" spans="37:38" s="4" customFormat="1">
      <c r="AK8778" s="3">
        <v>8772</v>
      </c>
      <c r="AL8778" s="163">
        <v>7.8296008438061335</v>
      </c>
    </row>
    <row r="8779" spans="37:38" s="4" customFormat="1">
      <c r="AK8779" s="3">
        <v>8773</v>
      </c>
      <c r="AL8779" s="163">
        <v>7.8304295980037608</v>
      </c>
    </row>
    <row r="8780" spans="37:38" s="4" customFormat="1">
      <c r="AK8780" s="3">
        <v>8774</v>
      </c>
      <c r="AL8780" s="163">
        <v>7.831259045118415</v>
      </c>
    </row>
    <row r="8781" spans="37:38" s="4" customFormat="1">
      <c r="AK8781" s="3">
        <v>8775</v>
      </c>
      <c r="AL8781" s="163">
        <v>7.832089186182003</v>
      </c>
    </row>
    <row r="8782" spans="37:38" s="4" customFormat="1">
      <c r="AK8782" s="3">
        <v>8776</v>
      </c>
      <c r="AL8782" s="163">
        <v>7.8329200222271282</v>
      </c>
    </row>
    <row r="8783" spans="37:38" s="4" customFormat="1">
      <c r="AK8783" s="3">
        <v>8777</v>
      </c>
      <c r="AL8783" s="163">
        <v>7.8337515542870193</v>
      </c>
    </row>
    <row r="8784" spans="37:38" s="4" customFormat="1">
      <c r="AK8784" s="3">
        <v>8778</v>
      </c>
      <c r="AL8784" s="163">
        <v>7.8345837833957006</v>
      </c>
    </row>
    <row r="8785" spans="37:38" s="4" customFormat="1">
      <c r="AK8785" s="3">
        <v>8779</v>
      </c>
      <c r="AL8785" s="163">
        <v>7.8354167105878076</v>
      </c>
    </row>
    <row r="8786" spans="37:38" s="4" customFormat="1">
      <c r="AK8786" s="3">
        <v>8780</v>
      </c>
      <c r="AL8786" s="163">
        <v>7.8362503368985728</v>
      </c>
    </row>
    <row r="8787" spans="37:38" s="4" customFormat="1">
      <c r="AK8787" s="3">
        <v>8781</v>
      </c>
      <c r="AL8787" s="163">
        <v>7.8370846633641804</v>
      </c>
    </row>
    <row r="8788" spans="37:38" s="4" customFormat="1">
      <c r="AK8788" s="3">
        <v>8782</v>
      </c>
      <c r="AL8788" s="163">
        <v>7.8379196910211704</v>
      </c>
    </row>
    <row r="8789" spans="37:38" s="4" customFormat="1">
      <c r="AK8789" s="3">
        <v>8783</v>
      </c>
      <c r="AL8789" s="163">
        <v>7.8387554209070487</v>
      </c>
    </row>
    <row r="8790" spans="37:38" s="4" customFormat="1">
      <c r="AK8790" s="3">
        <v>8784</v>
      </c>
      <c r="AL8790" s="163">
        <v>7.8395918540597478</v>
      </c>
    </row>
    <row r="8791" spans="37:38" s="4" customFormat="1">
      <c r="AK8791" s="3">
        <v>8785</v>
      </c>
      <c r="AL8791" s="163">
        <v>7.8404289915181522</v>
      </c>
    </row>
    <row r="8792" spans="37:38" s="4" customFormat="1">
      <c r="AK8792" s="3">
        <v>8786</v>
      </c>
      <c r="AL8792" s="163">
        <v>7.841266834321587</v>
      </c>
    </row>
    <row r="8793" spans="37:38" s="4" customFormat="1">
      <c r="AK8793" s="3">
        <v>8787</v>
      </c>
      <c r="AL8793" s="163">
        <v>7.8421053835102441</v>
      </c>
    </row>
    <row r="8794" spans="37:38" s="4" customFormat="1">
      <c r="AK8794" s="3">
        <v>8788</v>
      </c>
      <c r="AL8794" s="163">
        <v>7.8429446401248697</v>
      </c>
    </row>
    <row r="8795" spans="37:38" s="4" customFormat="1">
      <c r="AK8795" s="3">
        <v>8789</v>
      </c>
      <c r="AL8795" s="163">
        <v>7.8437846052070341</v>
      </c>
    </row>
    <row r="8796" spans="37:38" s="4" customFormat="1">
      <c r="AK8796" s="3">
        <v>8790</v>
      </c>
      <c r="AL8796" s="163">
        <v>7.844625279798791</v>
      </c>
    </row>
    <row r="8797" spans="37:38" s="4" customFormat="1">
      <c r="AK8797" s="3">
        <v>8791</v>
      </c>
      <c r="AL8797" s="163">
        <v>7.8454666649431175</v>
      </c>
    </row>
    <row r="8798" spans="37:38" s="4" customFormat="1">
      <c r="AK8798" s="3">
        <v>8792</v>
      </c>
      <c r="AL8798" s="163">
        <v>7.8463087616834173</v>
      </c>
    </row>
    <row r="8799" spans="37:38" s="4" customFormat="1">
      <c r="AK8799" s="3">
        <v>8793</v>
      </c>
      <c r="AL8799" s="163">
        <v>7.8471515710640602</v>
      </c>
    </row>
    <row r="8800" spans="37:38" s="4" customFormat="1">
      <c r="AK8800" s="3">
        <v>8794</v>
      </c>
      <c r="AL8800" s="163">
        <v>7.8479950941298711</v>
      </c>
    </row>
    <row r="8801" spans="37:38" s="4" customFormat="1">
      <c r="AK8801" s="3">
        <v>8795</v>
      </c>
      <c r="AL8801" s="163">
        <v>7.8488393319265555</v>
      </c>
    </row>
    <row r="8802" spans="37:38" s="4" customFormat="1">
      <c r="AK8802" s="3">
        <v>8796</v>
      </c>
      <c r="AL8802" s="163">
        <v>7.8496842855002456</v>
      </c>
    </row>
    <row r="8803" spans="37:38" s="4" customFormat="1">
      <c r="AK8803" s="3">
        <v>8797</v>
      </c>
      <c r="AL8803" s="163">
        <v>7.8505299558980823</v>
      </c>
    </row>
    <row r="8804" spans="37:38" s="4" customFormat="1">
      <c r="AK8804" s="3">
        <v>8798</v>
      </c>
      <c r="AL8804" s="163">
        <v>7.8513763441675479</v>
      </c>
    </row>
    <row r="8805" spans="37:38" s="4" customFormat="1">
      <c r="AK8805" s="3">
        <v>8799</v>
      </c>
      <c r="AL8805" s="163">
        <v>7.852223451357176</v>
      </c>
    </row>
    <row r="8806" spans="37:38" s="4" customFormat="1">
      <c r="AK8806" s="3">
        <v>8800</v>
      </c>
      <c r="AL8806" s="163">
        <v>7.8530712785159125</v>
      </c>
    </row>
    <row r="8807" spans="37:38" s="4" customFormat="1">
      <c r="AK8807" s="3">
        <v>8801</v>
      </c>
      <c r="AL8807" s="163">
        <v>7.8539198266934136</v>
      </c>
    </row>
    <row r="8808" spans="37:38" s="4" customFormat="1">
      <c r="AK8808" s="3">
        <v>8802</v>
      </c>
      <c r="AL8808" s="163">
        <v>7.8547690969402453</v>
      </c>
    </row>
    <row r="8809" spans="37:38" s="4" customFormat="1">
      <c r="AK8809" s="3">
        <v>8803</v>
      </c>
      <c r="AL8809" s="163">
        <v>7.8556190903073855</v>
      </c>
    </row>
    <row r="8810" spans="37:38" s="4" customFormat="1">
      <c r="AK8810" s="3">
        <v>8804</v>
      </c>
      <c r="AL8810" s="163">
        <v>7.8564698078466506</v>
      </c>
    </row>
    <row r="8811" spans="37:38" s="4" customFormat="1">
      <c r="AK8811" s="3">
        <v>8805</v>
      </c>
      <c r="AL8811" s="163">
        <v>7.857321250610525</v>
      </c>
    </row>
    <row r="8812" spans="37:38" s="4" customFormat="1">
      <c r="AK8812" s="3">
        <v>8806</v>
      </c>
      <c r="AL8812" s="163">
        <v>7.8581734196521325</v>
      </c>
    </row>
    <row r="8813" spans="37:38" s="4" customFormat="1">
      <c r="AK8813" s="3">
        <v>8807</v>
      </c>
      <c r="AL8813" s="163">
        <v>7.8590263160254068</v>
      </c>
    </row>
    <row r="8814" spans="37:38" s="4" customFormat="1">
      <c r="AK8814" s="3">
        <v>8808</v>
      </c>
      <c r="AL8814" s="163">
        <v>7.8598799407847793</v>
      </c>
    </row>
    <row r="8815" spans="37:38" s="4" customFormat="1">
      <c r="AK8815" s="3">
        <v>8809</v>
      </c>
      <c r="AL8815" s="163">
        <v>7.8607342949855621</v>
      </c>
    </row>
    <row r="8816" spans="37:38" s="4" customFormat="1">
      <c r="AK8816" s="3">
        <v>8810</v>
      </c>
      <c r="AL8816" s="163">
        <v>7.861589379683636</v>
      </c>
    </row>
    <row r="8817" spans="37:38" s="4" customFormat="1">
      <c r="AK8817" s="3">
        <v>8811</v>
      </c>
      <c r="AL8817" s="163">
        <v>7.8624451959355923</v>
      </c>
    </row>
    <row r="8818" spans="37:38" s="4" customFormat="1">
      <c r="AK8818" s="3">
        <v>8812</v>
      </c>
      <c r="AL8818" s="163">
        <v>7.8633017447987754</v>
      </c>
    </row>
    <row r="8819" spans="37:38" s="4" customFormat="1">
      <c r="AK8819" s="3">
        <v>8813</v>
      </c>
      <c r="AL8819" s="163">
        <v>7.864159027331084</v>
      </c>
    </row>
    <row r="8820" spans="37:38" s="4" customFormat="1">
      <c r="AK8820" s="3">
        <v>8814</v>
      </c>
      <c r="AL8820" s="163">
        <v>7.8650170445913119</v>
      </c>
    </row>
    <row r="8821" spans="37:38" s="4" customFormat="1">
      <c r="AK8821" s="3">
        <v>8815</v>
      </c>
      <c r="AL8821" s="163">
        <v>7.8658757976387221</v>
      </c>
    </row>
    <row r="8822" spans="37:38" s="4" customFormat="1">
      <c r="AK8822" s="3">
        <v>8816</v>
      </c>
      <c r="AL8822" s="163">
        <v>7.866735287533416</v>
      </c>
    </row>
    <row r="8823" spans="37:38" s="4" customFormat="1">
      <c r="AK8823" s="3">
        <v>8817</v>
      </c>
      <c r="AL8823" s="163">
        <v>7.8675955153361485</v>
      </c>
    </row>
    <row r="8824" spans="37:38" s="4" customFormat="1">
      <c r="AK8824" s="3">
        <v>8818</v>
      </c>
      <c r="AL8824" s="163">
        <v>7.8684564821082859</v>
      </c>
    </row>
    <row r="8825" spans="37:38" s="4" customFormat="1">
      <c r="AK8825" s="3">
        <v>8819</v>
      </c>
      <c r="AL8825" s="163">
        <v>7.8693181889119757</v>
      </c>
    </row>
    <row r="8826" spans="37:38" s="4" customFormat="1">
      <c r="AK8826" s="3">
        <v>8820</v>
      </c>
      <c r="AL8826" s="163">
        <v>7.8701806368101188</v>
      </c>
    </row>
    <row r="8827" spans="37:38" s="4" customFormat="1">
      <c r="AK8827" s="3">
        <v>8821</v>
      </c>
      <c r="AL8827" s="163">
        <v>7.871043826866142</v>
      </c>
    </row>
    <row r="8828" spans="37:38" s="4" customFormat="1">
      <c r="AK8828" s="3">
        <v>8822</v>
      </c>
      <c r="AL8828" s="163">
        <v>7.8719077601442109</v>
      </c>
    </row>
    <row r="8829" spans="37:38" s="4" customFormat="1">
      <c r="AK8829" s="3">
        <v>8823</v>
      </c>
      <c r="AL8829" s="163">
        <v>7.8727724377093011</v>
      </c>
    </row>
    <row r="8830" spans="37:38" s="4" customFormat="1">
      <c r="AK8830" s="3">
        <v>8824</v>
      </c>
      <c r="AL8830" s="163">
        <v>7.8736378606269852</v>
      </c>
    </row>
    <row r="8831" spans="37:38" s="4" customFormat="1">
      <c r="AK8831" s="3">
        <v>8825</v>
      </c>
      <c r="AL8831" s="163">
        <v>7.8745040299634326</v>
      </c>
    </row>
    <row r="8832" spans="37:38" s="4" customFormat="1">
      <c r="AK8832" s="3">
        <v>8826</v>
      </c>
      <c r="AL8832" s="163">
        <v>7.8753709467857078</v>
      </c>
    </row>
    <row r="8833" spans="37:38" s="4" customFormat="1">
      <c r="AK8833" s="3">
        <v>8827</v>
      </c>
      <c r="AL8833" s="163">
        <v>7.8762386121614298</v>
      </c>
    </row>
    <row r="8834" spans="37:38" s="4" customFormat="1">
      <c r="AK8834" s="3">
        <v>8828</v>
      </c>
      <c r="AL8834" s="163">
        <v>7.8771070271589423</v>
      </c>
    </row>
    <row r="8835" spans="37:38" s="4" customFormat="1">
      <c r="AK8835" s="3">
        <v>8829</v>
      </c>
      <c r="AL8835" s="163">
        <v>7.877976192847342</v>
      </c>
    </row>
    <row r="8836" spans="37:38" s="4" customFormat="1">
      <c r="AK8836" s="3">
        <v>8830</v>
      </c>
      <c r="AL8836" s="163">
        <v>7.8788461102962657</v>
      </c>
    </row>
    <row r="8837" spans="37:38" s="4" customFormat="1">
      <c r="AK8837" s="3">
        <v>8831</v>
      </c>
      <c r="AL8837" s="163">
        <v>7.8797167805761887</v>
      </c>
    </row>
    <row r="8838" spans="37:38" s="4" customFormat="1">
      <c r="AK8838" s="3">
        <v>8832</v>
      </c>
      <c r="AL8838" s="163">
        <v>7.8805882047582401</v>
      </c>
    </row>
    <row r="8839" spans="37:38" s="4" customFormat="1">
      <c r="AK8839" s="3">
        <v>8833</v>
      </c>
      <c r="AL8839" s="163">
        <v>7.8814603839142592</v>
      </c>
    </row>
    <row r="8840" spans="37:38" s="4" customFormat="1">
      <c r="AK8840" s="3">
        <v>8834</v>
      </c>
      <c r="AL8840" s="163">
        <v>7.8823333191166824</v>
      </c>
    </row>
    <row r="8841" spans="37:38" s="4" customFormat="1">
      <c r="AK8841" s="3">
        <v>8835</v>
      </c>
      <c r="AL8841" s="163">
        <v>7.8832070114387278</v>
      </c>
    </row>
    <row r="8842" spans="37:38" s="4" customFormat="1">
      <c r="AK8842" s="3">
        <v>8836</v>
      </c>
      <c r="AL8842" s="163">
        <v>7.8840814619542954</v>
      </c>
    </row>
    <row r="8843" spans="37:38" s="4" customFormat="1">
      <c r="AK8843" s="3">
        <v>8837</v>
      </c>
      <c r="AL8843" s="163">
        <v>7.8849566717380242</v>
      </c>
    </row>
    <row r="8844" spans="37:38" s="4" customFormat="1">
      <c r="AK8844" s="3">
        <v>8838</v>
      </c>
      <c r="AL8844" s="163">
        <v>7.8858326418650933</v>
      </c>
    </row>
    <row r="8845" spans="37:38" s="4" customFormat="1">
      <c r="AK8845" s="3">
        <v>8839</v>
      </c>
      <c r="AL8845" s="163">
        <v>7.886709373411577</v>
      </c>
    </row>
    <row r="8846" spans="37:38" s="4" customFormat="1">
      <c r="AK8846" s="3">
        <v>8840</v>
      </c>
      <c r="AL8846" s="163">
        <v>7.8875868674540186</v>
      </c>
    </row>
    <row r="8847" spans="37:38" s="4" customFormat="1">
      <c r="AK8847" s="3">
        <v>8841</v>
      </c>
      <c r="AL8847" s="163">
        <v>7.8884651250699562</v>
      </c>
    </row>
    <row r="8848" spans="37:38" s="4" customFormat="1">
      <c r="AK8848" s="3">
        <v>8842</v>
      </c>
      <c r="AL8848" s="163">
        <v>7.8893441473372548</v>
      </c>
    </row>
    <row r="8849" spans="37:38" s="4" customFormat="1">
      <c r="AK8849" s="3">
        <v>8843</v>
      </c>
      <c r="AL8849" s="163">
        <v>7.8902239353348591</v>
      </c>
    </row>
    <row r="8850" spans="37:38" s="4" customFormat="1">
      <c r="AK8850" s="3">
        <v>8844</v>
      </c>
      <c r="AL8850" s="163">
        <v>7.8911044901420411</v>
      </c>
    </row>
    <row r="8851" spans="37:38" s="4" customFormat="1">
      <c r="AK8851" s="3">
        <v>8845</v>
      </c>
      <c r="AL8851" s="163">
        <v>7.8919858128390814</v>
      </c>
    </row>
    <row r="8852" spans="37:38" s="4" customFormat="1">
      <c r="AK8852" s="3">
        <v>8846</v>
      </c>
      <c r="AL8852" s="163">
        <v>7.8928679045067724</v>
      </c>
    </row>
    <row r="8853" spans="37:38" s="4" customFormat="1">
      <c r="AK8853" s="3">
        <v>8847</v>
      </c>
      <c r="AL8853" s="163">
        <v>7.8937507662266029</v>
      </c>
    </row>
    <row r="8854" spans="37:38" s="4" customFormat="1">
      <c r="AK8854" s="3">
        <v>8848</v>
      </c>
      <c r="AL8854" s="163">
        <v>7.8946343990808288</v>
      </c>
    </row>
    <row r="8855" spans="37:38" s="4" customFormat="1">
      <c r="AK8855" s="3">
        <v>8849</v>
      </c>
      <c r="AL8855" s="163">
        <v>7.8955188041524309</v>
      </c>
    </row>
    <row r="8856" spans="37:38" s="4" customFormat="1">
      <c r="AK8856" s="3">
        <v>8850</v>
      </c>
      <c r="AL8856" s="163">
        <v>7.8964039825249444</v>
      </c>
    </row>
    <row r="8857" spans="37:38" s="4" customFormat="1">
      <c r="AK8857" s="3">
        <v>8851</v>
      </c>
      <c r="AL8857" s="163">
        <v>7.8972899352827994</v>
      </c>
    </row>
    <row r="8858" spans="37:38" s="4" customFormat="1">
      <c r="AK8858" s="3">
        <v>8852</v>
      </c>
      <c r="AL8858" s="163">
        <v>7.8981766635109381</v>
      </c>
    </row>
    <row r="8859" spans="37:38" s="4" customFormat="1">
      <c r="AK8859" s="3">
        <v>8853</v>
      </c>
      <c r="AL8859" s="163">
        <v>7.8990641682950411</v>
      </c>
    </row>
    <row r="8860" spans="37:38" s="4" customFormat="1">
      <c r="AK8860" s="3">
        <v>8854</v>
      </c>
      <c r="AL8860" s="163">
        <v>7.8999524507215</v>
      </c>
    </row>
    <row r="8861" spans="37:38" s="4" customFormat="1">
      <c r="AK8861" s="3">
        <v>8855</v>
      </c>
      <c r="AL8861" s="163">
        <v>7.9008415118776014</v>
      </c>
    </row>
    <row r="8862" spans="37:38" s="4" customFormat="1">
      <c r="AK8862" s="3">
        <v>8856</v>
      </c>
      <c r="AL8862" s="163">
        <v>7.9017313528509732</v>
      </c>
    </row>
    <row r="8863" spans="37:38" s="4" customFormat="1">
      <c r="AK8863" s="3">
        <v>8857</v>
      </c>
      <c r="AL8863" s="163">
        <v>7.9026219747302235</v>
      </c>
    </row>
    <row r="8864" spans="37:38" s="4" customFormat="1">
      <c r="AK8864" s="3">
        <v>8858</v>
      </c>
      <c r="AL8864" s="163">
        <v>7.9035133786044867</v>
      </c>
    </row>
    <row r="8865" spans="37:38" s="4" customFormat="1">
      <c r="AK8865" s="3">
        <v>8859</v>
      </c>
      <c r="AL8865" s="163">
        <v>7.9044055655636356</v>
      </c>
    </row>
    <row r="8866" spans="37:38" s="4" customFormat="1">
      <c r="AK8866" s="3">
        <v>8860</v>
      </c>
      <c r="AL8866" s="163">
        <v>7.9052985366983108</v>
      </c>
    </row>
    <row r="8867" spans="37:38" s="4" customFormat="1">
      <c r="AK8867" s="3">
        <v>8861</v>
      </c>
      <c r="AL8867" s="163">
        <v>7.9061922930998492</v>
      </c>
    </row>
    <row r="8868" spans="37:38" s="4" customFormat="1">
      <c r="AK8868" s="3">
        <v>8862</v>
      </c>
      <c r="AL8868" s="163">
        <v>7.9070868358601842</v>
      </c>
    </row>
    <row r="8869" spans="37:38" s="4" customFormat="1">
      <c r="AK8869" s="3">
        <v>8863</v>
      </c>
      <c r="AL8869" s="163">
        <v>7.9079821660720313</v>
      </c>
    </row>
    <row r="8870" spans="37:38" s="4" customFormat="1">
      <c r="AK8870" s="3">
        <v>8864</v>
      </c>
      <c r="AL8870" s="163">
        <v>7.9088782848287167</v>
      </c>
    </row>
    <row r="8871" spans="37:38" s="4" customFormat="1">
      <c r="AK8871" s="3">
        <v>8865</v>
      </c>
      <c r="AL8871" s="163">
        <v>7.9097751932244336</v>
      </c>
    </row>
    <row r="8872" spans="37:38" s="4" customFormat="1">
      <c r="AK8872" s="3">
        <v>8866</v>
      </c>
      <c r="AL8872" s="163">
        <v>7.9106728923538441</v>
      </c>
    </row>
    <row r="8873" spans="37:38" s="4" customFormat="1">
      <c r="AK8873" s="3">
        <v>8867</v>
      </c>
      <c r="AL8873" s="163">
        <v>7.9115713833125767</v>
      </c>
    </row>
    <row r="8874" spans="37:38" s="4" customFormat="1">
      <c r="AK8874" s="3">
        <v>8868</v>
      </c>
      <c r="AL8874" s="163">
        <v>7.9124706671967573</v>
      </c>
    </row>
    <row r="8875" spans="37:38" s="4" customFormat="1">
      <c r="AK8875" s="3">
        <v>8869</v>
      </c>
      <c r="AL8875" s="163">
        <v>7.9133707451032365</v>
      </c>
    </row>
    <row r="8876" spans="37:38" s="4" customFormat="1">
      <c r="AK8876" s="3">
        <v>8870</v>
      </c>
      <c r="AL8876" s="163">
        <v>7.9142716181296606</v>
      </c>
    </row>
    <row r="8877" spans="37:38" s="4" customFormat="1">
      <c r="AK8877" s="3">
        <v>8871</v>
      </c>
      <c r="AL8877" s="163">
        <v>7.9151732873742304</v>
      </c>
    </row>
    <row r="8878" spans="37:38" s="4" customFormat="1">
      <c r="AK8878" s="3">
        <v>8872</v>
      </c>
      <c r="AL8878" s="163">
        <v>7.916075753936056</v>
      </c>
    </row>
    <row r="8879" spans="37:38" s="4" customFormat="1">
      <c r="AK8879" s="3">
        <v>8873</v>
      </c>
      <c r="AL8879" s="163">
        <v>7.916979018914688</v>
      </c>
    </row>
    <row r="8880" spans="37:38" s="4" customFormat="1">
      <c r="AK8880" s="3">
        <v>8874</v>
      </c>
      <c r="AL8880" s="163">
        <v>7.9178830834106577</v>
      </c>
    </row>
    <row r="8881" spans="37:38" s="4" customFormat="1">
      <c r="AK8881" s="3">
        <v>8875</v>
      </c>
      <c r="AL8881" s="163">
        <v>7.9187879485249368</v>
      </c>
    </row>
    <row r="8882" spans="37:38" s="4" customFormat="1">
      <c r="AK8882" s="3">
        <v>8876</v>
      </c>
      <c r="AL8882" s="163">
        <v>7.9196936153593924</v>
      </c>
    </row>
    <row r="8883" spans="37:38" s="4" customFormat="1">
      <c r="AK8883" s="3">
        <v>8877</v>
      </c>
      <c r="AL8883" s="163">
        <v>7.9206000850164457</v>
      </c>
    </row>
    <row r="8884" spans="37:38" s="4" customFormat="1">
      <c r="AK8884" s="3">
        <v>8878</v>
      </c>
      <c r="AL8884" s="163">
        <v>7.9215073585993849</v>
      </c>
    </row>
    <row r="8885" spans="37:38" s="4" customFormat="1">
      <c r="AK8885" s="3">
        <v>8879</v>
      </c>
      <c r="AL8885" s="163">
        <v>7.9224154372119528</v>
      </c>
    </row>
    <row r="8886" spans="37:38" s="4" customFormat="1">
      <c r="AK8886" s="3">
        <v>8880</v>
      </c>
      <c r="AL8886" s="163">
        <v>7.9233243219589156</v>
      </c>
    </row>
    <row r="8887" spans="37:38" s="4" customFormat="1">
      <c r="AK8887" s="3">
        <v>8881</v>
      </c>
      <c r="AL8887" s="163">
        <v>7.9242340139454797</v>
      </c>
    </row>
    <row r="8888" spans="37:38" s="4" customFormat="1">
      <c r="AK8888" s="3">
        <v>8882</v>
      </c>
      <c r="AL8888" s="163">
        <v>7.925144514277676</v>
      </c>
    </row>
    <row r="8889" spans="37:38" s="4" customFormat="1">
      <c r="AK8889" s="3">
        <v>8883</v>
      </c>
      <c r="AL8889" s="163">
        <v>7.9260558240621748</v>
      </c>
    </row>
    <row r="8890" spans="37:38" s="4" customFormat="1">
      <c r="AK8890" s="3">
        <v>8884</v>
      </c>
      <c r="AL8890" s="163">
        <v>7.9269679444063854</v>
      </c>
    </row>
    <row r="8891" spans="37:38" s="4" customFormat="1">
      <c r="AK8891" s="3">
        <v>8885</v>
      </c>
      <c r="AL8891" s="163">
        <v>7.9278808764184276</v>
      </c>
    </row>
    <row r="8892" spans="37:38" s="4" customFormat="1">
      <c r="AK8892" s="3">
        <v>8886</v>
      </c>
      <c r="AL8892" s="163">
        <v>7.9287946212071461</v>
      </c>
    </row>
    <row r="8893" spans="37:38" s="4" customFormat="1">
      <c r="AK8893" s="3">
        <v>8887</v>
      </c>
      <c r="AL8893" s="163">
        <v>7.9297091798819537</v>
      </c>
    </row>
    <row r="8894" spans="37:38" s="4" customFormat="1">
      <c r="AK8894" s="3">
        <v>8888</v>
      </c>
      <c r="AL8894" s="163">
        <v>7.9306245535532014</v>
      </c>
    </row>
    <row r="8895" spans="37:38" s="4" customFormat="1">
      <c r="AK8895" s="3">
        <v>8889</v>
      </c>
      <c r="AL8895" s="163">
        <v>7.9315407433317233</v>
      </c>
    </row>
    <row r="8896" spans="37:38" s="4" customFormat="1">
      <c r="AK8896" s="3">
        <v>8890</v>
      </c>
      <c r="AL8896" s="163">
        <v>7.9324577503291209</v>
      </c>
    </row>
    <row r="8897" spans="37:38" s="4" customFormat="1">
      <c r="AK8897" s="3">
        <v>8891</v>
      </c>
      <c r="AL8897" s="163">
        <v>7.9333755756577773</v>
      </c>
    </row>
    <row r="8898" spans="37:38" s="4" customFormat="1">
      <c r="AK8898" s="3">
        <v>8892</v>
      </c>
      <c r="AL8898" s="163">
        <v>7.9342942204307576</v>
      </c>
    </row>
    <row r="8899" spans="37:38" s="4" customFormat="1">
      <c r="AK8899" s="3">
        <v>8893</v>
      </c>
      <c r="AL8899" s="163">
        <v>7.9352136857617097</v>
      </c>
    </row>
    <row r="8900" spans="37:38" s="4" customFormat="1">
      <c r="AK8900" s="3">
        <v>8894</v>
      </c>
      <c r="AL8900" s="163">
        <v>7.9361339727651199</v>
      </c>
    </row>
    <row r="8901" spans="37:38" s="4" customFormat="1">
      <c r="AK8901" s="3">
        <v>8895</v>
      </c>
      <c r="AL8901" s="163">
        <v>7.9370550825561139</v>
      </c>
    </row>
    <row r="8902" spans="37:38" s="4" customFormat="1">
      <c r="AK8902" s="3">
        <v>8896</v>
      </c>
      <c r="AL8902" s="163">
        <v>7.9379770162505281</v>
      </c>
    </row>
    <row r="8903" spans="37:38" s="4" customFormat="1">
      <c r="AK8903" s="3">
        <v>8897</v>
      </c>
      <c r="AL8903" s="163">
        <v>7.9388997749649803</v>
      </c>
    </row>
    <row r="8904" spans="37:38" s="4" customFormat="1">
      <c r="AK8904" s="3">
        <v>8898</v>
      </c>
      <c r="AL8904" s="163">
        <v>7.9398233598166996</v>
      </c>
    </row>
    <row r="8905" spans="37:38" s="4" customFormat="1">
      <c r="AK8905" s="3">
        <v>8899</v>
      </c>
      <c r="AL8905" s="163">
        <v>7.9407477719235828</v>
      </c>
    </row>
    <row r="8906" spans="37:38" s="4" customFormat="1">
      <c r="AK8906" s="3">
        <v>8900</v>
      </c>
      <c r="AL8906" s="163">
        <v>7.9416730124044363</v>
      </c>
    </row>
    <row r="8907" spans="37:38" s="4" customFormat="1">
      <c r="AK8907" s="3">
        <v>8901</v>
      </c>
      <c r="AL8907" s="163">
        <v>7.9425990823784787</v>
      </c>
    </row>
    <row r="8908" spans="37:38" s="4" customFormat="1">
      <c r="AK8908" s="3">
        <v>8902</v>
      </c>
      <c r="AL8908" s="163">
        <v>7.9435259829659088</v>
      </c>
    </row>
    <row r="8909" spans="37:38" s="4" customFormat="1">
      <c r="AK8909" s="3">
        <v>8903</v>
      </c>
      <c r="AL8909" s="163">
        <v>7.9444537152874375</v>
      </c>
    </row>
    <row r="8910" spans="37:38" s="4" customFormat="1">
      <c r="AK8910" s="3">
        <v>8904</v>
      </c>
      <c r="AL8910" s="163">
        <v>7.9453822804646137</v>
      </c>
    </row>
    <row r="8911" spans="37:38" s="4" customFormat="1">
      <c r="AK8911" s="3">
        <v>8905</v>
      </c>
      <c r="AL8911" s="163">
        <v>7.9463116796196971</v>
      </c>
    </row>
    <row r="8912" spans="37:38" s="4" customFormat="1">
      <c r="AK8912" s="3">
        <v>8906</v>
      </c>
      <c r="AL8912" s="163">
        <v>7.9472419138753878</v>
      </c>
    </row>
    <row r="8913" spans="37:38" s="4" customFormat="1">
      <c r="AK8913" s="3">
        <v>8907</v>
      </c>
      <c r="AL8913" s="163">
        <v>7.9481729843554803</v>
      </c>
    </row>
    <row r="8914" spans="37:38" s="4" customFormat="1">
      <c r="AK8914" s="3">
        <v>8908</v>
      </c>
      <c r="AL8914" s="163">
        <v>7.9491048921842378</v>
      </c>
    </row>
    <row r="8915" spans="37:38" s="4" customFormat="1">
      <c r="AK8915" s="3">
        <v>8909</v>
      </c>
      <c r="AL8915" s="163">
        <v>7.9500376384867337</v>
      </c>
    </row>
    <row r="8916" spans="37:38" s="4" customFormat="1">
      <c r="AK8916" s="3">
        <v>8910</v>
      </c>
      <c r="AL8916" s="163">
        <v>7.9509712243885389</v>
      </c>
    </row>
    <row r="8917" spans="37:38" s="4" customFormat="1">
      <c r="AK8917" s="3">
        <v>8911</v>
      </c>
      <c r="AL8917" s="163">
        <v>7.9519056510163182</v>
      </c>
    </row>
    <row r="8918" spans="37:38" s="4" customFormat="1">
      <c r="AK8918" s="3">
        <v>8912</v>
      </c>
      <c r="AL8918" s="163">
        <v>7.9528409194970635</v>
      </c>
    </row>
    <row r="8919" spans="37:38" s="4" customFormat="1">
      <c r="AK8919" s="3">
        <v>8913</v>
      </c>
      <c r="AL8919" s="163">
        <v>7.9537770309587188</v>
      </c>
    </row>
    <row r="8920" spans="37:38" s="4" customFormat="1">
      <c r="AK8920" s="3">
        <v>8914</v>
      </c>
      <c r="AL8920" s="163">
        <v>7.9547139865298249</v>
      </c>
    </row>
    <row r="8921" spans="37:38" s="4" customFormat="1">
      <c r="AK8921" s="3">
        <v>8915</v>
      </c>
      <c r="AL8921" s="163">
        <v>7.9556517873395904</v>
      </c>
    </row>
    <row r="8922" spans="37:38" s="4" customFormat="1">
      <c r="AK8922" s="3">
        <v>8916</v>
      </c>
      <c r="AL8922" s="163">
        <v>7.9565904345180911</v>
      </c>
    </row>
    <row r="8923" spans="37:38" s="4" customFormat="1">
      <c r="AK8923" s="3">
        <v>8917</v>
      </c>
      <c r="AL8923" s="163">
        <v>7.9575299291959425</v>
      </c>
    </row>
    <row r="8924" spans="37:38" s="4" customFormat="1">
      <c r="AK8924" s="3">
        <v>8918</v>
      </c>
      <c r="AL8924" s="163">
        <v>7.9584702725045702</v>
      </c>
    </row>
    <row r="8925" spans="37:38" s="4" customFormat="1">
      <c r="AK8925" s="3">
        <v>8919</v>
      </c>
      <c r="AL8925" s="163">
        <v>7.9594114655761388</v>
      </c>
    </row>
    <row r="8926" spans="37:38" s="4" customFormat="1">
      <c r="AK8926" s="3">
        <v>8920</v>
      </c>
      <c r="AL8926" s="163">
        <v>7.9603535095433955</v>
      </c>
    </row>
    <row r="8927" spans="37:38" s="4" customFormat="1">
      <c r="AK8927" s="3">
        <v>8921</v>
      </c>
      <c r="AL8927" s="163">
        <v>7.9612964055398692</v>
      </c>
    </row>
    <row r="8928" spans="37:38" s="4" customFormat="1">
      <c r="AK8928" s="3">
        <v>8922</v>
      </c>
      <c r="AL8928" s="163">
        <v>7.9622401546998276</v>
      </c>
    </row>
    <row r="8929" spans="37:38" s="4" customFormat="1">
      <c r="AK8929" s="3">
        <v>8923</v>
      </c>
      <c r="AL8929" s="163">
        <v>7.9631847581582207</v>
      </c>
    </row>
    <row r="8930" spans="37:38" s="4" customFormat="1">
      <c r="AK8930" s="3">
        <v>8924</v>
      </c>
      <c r="AL8930" s="163">
        <v>7.964130217050652</v>
      </c>
    </row>
    <row r="8931" spans="37:38" s="4" customFormat="1">
      <c r="AK8931" s="3">
        <v>8925</v>
      </c>
      <c r="AL8931" s="163">
        <v>7.9650765325134927</v>
      </c>
    </row>
    <row r="8932" spans="37:38" s="4" customFormat="1">
      <c r="AK8932" s="3">
        <v>8926</v>
      </c>
      <c r="AL8932" s="163">
        <v>7.9660237056839094</v>
      </c>
    </row>
    <row r="8933" spans="37:38" s="4" customFormat="1">
      <c r="AK8933" s="3">
        <v>8927</v>
      </c>
      <c r="AL8933" s="163">
        <v>7.9669717376995521</v>
      </c>
    </row>
    <row r="8934" spans="37:38" s="4" customFormat="1">
      <c r="AK8934" s="3">
        <v>8928</v>
      </c>
      <c r="AL8934" s="163">
        <v>7.9679206296990657</v>
      </c>
    </row>
    <row r="8935" spans="37:38" s="4" customFormat="1">
      <c r="AK8935" s="3">
        <v>8929</v>
      </c>
      <c r="AL8935" s="163">
        <v>7.9688703828215068</v>
      </c>
    </row>
    <row r="8936" spans="37:38" s="4" customFormat="1">
      <c r="AK8936" s="3">
        <v>8930</v>
      </c>
      <c r="AL8936" s="163">
        <v>7.9698209982069415</v>
      </c>
    </row>
    <row r="8937" spans="37:38" s="4" customFormat="1">
      <c r="AK8937" s="3">
        <v>8931</v>
      </c>
      <c r="AL8937" s="163">
        <v>7.970772476995819</v>
      </c>
    </row>
    <row r="8938" spans="37:38" s="4" customFormat="1">
      <c r="AK8938" s="3">
        <v>8932</v>
      </c>
      <c r="AL8938" s="163">
        <v>7.9717248203296975</v>
      </c>
    </row>
    <row r="8939" spans="37:38" s="4" customFormat="1">
      <c r="AK8939" s="3">
        <v>8933</v>
      </c>
      <c r="AL8939" s="163">
        <v>7.9726780293504333</v>
      </c>
    </row>
    <row r="8940" spans="37:38" s="4" customFormat="1">
      <c r="AK8940" s="3">
        <v>8934</v>
      </c>
      <c r="AL8940" s="163">
        <v>7.973632105200906</v>
      </c>
    </row>
    <row r="8941" spans="37:38" s="4" customFormat="1">
      <c r="AK8941" s="3">
        <v>8935</v>
      </c>
      <c r="AL8941" s="163">
        <v>7.9745870490245352</v>
      </c>
    </row>
    <row r="8942" spans="37:38" s="4" customFormat="1">
      <c r="AK8942" s="3">
        <v>8936</v>
      </c>
      <c r="AL8942" s="163">
        <v>7.9755428619655362</v>
      </c>
    </row>
    <row r="8943" spans="37:38" s="4" customFormat="1">
      <c r="AK8943" s="3">
        <v>8937</v>
      </c>
      <c r="AL8943" s="163">
        <v>7.9764995451688208</v>
      </c>
    </row>
    <row r="8944" spans="37:38" s="4" customFormat="1">
      <c r="AK8944" s="3">
        <v>8938</v>
      </c>
      <c r="AL8944" s="163">
        <v>7.9774570997799685</v>
      </c>
    </row>
    <row r="8945" spans="37:38" s="4" customFormat="1">
      <c r="AK8945" s="3">
        <v>8939</v>
      </c>
      <c r="AL8945" s="163">
        <v>7.9784155269453123</v>
      </c>
    </row>
    <row r="8946" spans="37:38" s="4" customFormat="1">
      <c r="AK8946" s="3">
        <v>8940</v>
      </c>
      <c r="AL8946" s="163">
        <v>7.9793748278118954</v>
      </c>
    </row>
    <row r="8947" spans="37:38" s="4" customFormat="1">
      <c r="AK8947" s="3">
        <v>8941</v>
      </c>
      <c r="AL8947" s="163">
        <v>7.9803350035274718</v>
      </c>
    </row>
    <row r="8948" spans="37:38" s="4" customFormat="1">
      <c r="AK8948" s="3">
        <v>8942</v>
      </c>
      <c r="AL8948" s="163">
        <v>7.9812960552405059</v>
      </c>
    </row>
    <row r="8949" spans="37:38" s="4" customFormat="1">
      <c r="AK8949" s="3">
        <v>8943</v>
      </c>
      <c r="AL8949" s="163">
        <v>7.9822579841001868</v>
      </c>
    </row>
    <row r="8950" spans="37:38" s="4" customFormat="1">
      <c r="AK8950" s="3">
        <v>8944</v>
      </c>
      <c r="AL8950" s="163">
        <v>7.9832207912563149</v>
      </c>
    </row>
    <row r="8951" spans="37:38" s="4" customFormat="1">
      <c r="AK8951" s="3">
        <v>8945</v>
      </c>
      <c r="AL8951" s="163">
        <v>7.984184477859614</v>
      </c>
    </row>
    <row r="8952" spans="37:38" s="4" customFormat="1">
      <c r="AK8952" s="3">
        <v>8946</v>
      </c>
      <c r="AL8952" s="163">
        <v>7.9851490450613625</v>
      </c>
    </row>
    <row r="8953" spans="37:38" s="4" customFormat="1">
      <c r="AK8953" s="3">
        <v>8947</v>
      </c>
      <c r="AL8953" s="163">
        <v>7.9861144940136342</v>
      </c>
    </row>
    <row r="8954" spans="37:38" s="4" customFormat="1">
      <c r="AK8954" s="3">
        <v>8948</v>
      </c>
      <c r="AL8954" s="163">
        <v>7.9870808258689863</v>
      </c>
    </row>
    <row r="8955" spans="37:38" s="4" customFormat="1">
      <c r="AK8955" s="3">
        <v>8949</v>
      </c>
      <c r="AL8955" s="163">
        <v>7.988048041781127</v>
      </c>
    </row>
    <row r="8956" spans="37:38" s="4" customFormat="1">
      <c r="AK8956" s="3">
        <v>8950</v>
      </c>
      <c r="AL8956" s="163">
        <v>7.9890161429040916</v>
      </c>
    </row>
    <row r="8957" spans="37:38" s="4" customFormat="1">
      <c r="AK8957" s="3">
        <v>8951</v>
      </c>
      <c r="AL8957" s="163">
        <v>7.9899851303928244</v>
      </c>
    </row>
    <row r="8958" spans="37:38" s="4" customFormat="1">
      <c r="AK8958" s="3">
        <v>8952</v>
      </c>
      <c r="AL8958" s="163">
        <v>7.9909550054028671</v>
      </c>
    </row>
    <row r="8959" spans="37:38" s="4" customFormat="1">
      <c r="AK8959" s="3">
        <v>8953</v>
      </c>
      <c r="AL8959" s="163">
        <v>7.991925769090571</v>
      </c>
    </row>
    <row r="8960" spans="37:38" s="4" customFormat="1">
      <c r="AK8960" s="3">
        <v>8954</v>
      </c>
      <c r="AL8960" s="163">
        <v>7.9928974226130691</v>
      </c>
    </row>
    <row r="8961" spans="37:38" s="4" customFormat="1">
      <c r="AK8961" s="3">
        <v>8955</v>
      </c>
      <c r="AL8961" s="163">
        <v>7.9938699671279636</v>
      </c>
    </row>
    <row r="8962" spans="37:38" s="4" customFormat="1">
      <c r="AK8962" s="3">
        <v>8956</v>
      </c>
      <c r="AL8962" s="163">
        <v>7.9948434037938227</v>
      </c>
    </row>
    <row r="8963" spans="37:38" s="4" customFormat="1">
      <c r="AK8963" s="3">
        <v>8957</v>
      </c>
      <c r="AL8963" s="163">
        <v>7.9958177337697549</v>
      </c>
    </row>
    <row r="8964" spans="37:38" s="4" customFormat="1">
      <c r="AK8964" s="3">
        <v>8958</v>
      </c>
      <c r="AL8964" s="163">
        <v>7.9967929582156501</v>
      </c>
    </row>
    <row r="8965" spans="37:38" s="4" customFormat="1">
      <c r="AK8965" s="3">
        <v>8959</v>
      </c>
      <c r="AL8965" s="163">
        <v>7.9977690782922366</v>
      </c>
    </row>
    <row r="8966" spans="37:38" s="4" customFormat="1">
      <c r="AK8966" s="3">
        <v>8960</v>
      </c>
      <c r="AL8966" s="163">
        <v>7.9987460951607119</v>
      </c>
    </row>
    <row r="8967" spans="37:38" s="4" customFormat="1">
      <c r="AK8967" s="3">
        <v>8961</v>
      </c>
      <c r="AL8967" s="163">
        <v>7.9997240099832254</v>
      </c>
    </row>
    <row r="8968" spans="37:38" s="4" customFormat="1">
      <c r="AK8968" s="3">
        <v>8962</v>
      </c>
      <c r="AL8968" s="163">
        <v>8.0007028239224809</v>
      </c>
    </row>
    <row r="8969" spans="37:38" s="4" customFormat="1">
      <c r="AK8969" s="3">
        <v>8963</v>
      </c>
      <c r="AL8969" s="163">
        <v>8.0016825381420347</v>
      </c>
    </row>
    <row r="8970" spans="37:38" s="4" customFormat="1">
      <c r="AK8970" s="3">
        <v>8964</v>
      </c>
      <c r="AL8970" s="163">
        <v>8.0026631538059831</v>
      </c>
    </row>
    <row r="8971" spans="37:38" s="4" customFormat="1">
      <c r="AK8971" s="3">
        <v>8965</v>
      </c>
      <c r="AL8971" s="163">
        <v>8.0036446720792895</v>
      </c>
    </row>
    <row r="8972" spans="37:38" s="4" customFormat="1">
      <c r="AK8972" s="3">
        <v>8966</v>
      </c>
      <c r="AL8972" s="163">
        <v>8.0046270941276134</v>
      </c>
    </row>
    <row r="8973" spans="37:38" s="4" customFormat="1">
      <c r="AK8973" s="3">
        <v>8967</v>
      </c>
      <c r="AL8973" s="163">
        <v>8.0056104211172965</v>
      </c>
    </row>
    <row r="8974" spans="37:38" s="4" customFormat="1">
      <c r="AK8974" s="3">
        <v>8968</v>
      </c>
      <c r="AL8974" s="163">
        <v>8.006594654215391</v>
      </c>
    </row>
    <row r="8975" spans="37:38" s="4" customFormat="1">
      <c r="AK8975" s="3">
        <v>8969</v>
      </c>
      <c r="AL8975" s="163">
        <v>8.0075797945896596</v>
      </c>
    </row>
    <row r="8976" spans="37:38" s="4" customFormat="1">
      <c r="AK8976" s="3">
        <v>8970</v>
      </c>
      <c r="AL8976" s="163">
        <v>8.0085658434086326</v>
      </c>
    </row>
    <row r="8977" spans="37:38" s="4" customFormat="1">
      <c r="AK8977" s="3">
        <v>8971</v>
      </c>
      <c r="AL8977" s="163">
        <v>8.0095528018415649</v>
      </c>
    </row>
    <row r="8978" spans="37:38" s="4" customFormat="1">
      <c r="AK8978" s="3">
        <v>8972</v>
      </c>
      <c r="AL8978" s="163">
        <v>8.0105406710583793</v>
      </c>
    </row>
    <row r="8979" spans="37:38" s="4" customFormat="1">
      <c r="AK8979" s="3">
        <v>8973</v>
      </c>
      <c r="AL8979" s="163">
        <v>8.0115294522297233</v>
      </c>
    </row>
    <row r="8980" spans="37:38" s="4" customFormat="1">
      <c r="AK8980" s="3">
        <v>8974</v>
      </c>
      <c r="AL8980" s="163">
        <v>8.0125191465270404</v>
      </c>
    </row>
    <row r="8981" spans="37:38" s="4" customFormat="1">
      <c r="AK8981" s="3">
        <v>8975</v>
      </c>
      <c r="AL8981" s="163">
        <v>8.0135097551222856</v>
      </c>
    </row>
    <row r="8982" spans="37:38" s="4" customFormat="1">
      <c r="AK8982" s="3">
        <v>8976</v>
      </c>
      <c r="AL8982" s="163">
        <v>8.0145012791884511</v>
      </c>
    </row>
    <row r="8983" spans="37:38" s="4" customFormat="1">
      <c r="AK8983" s="3">
        <v>8977</v>
      </c>
      <c r="AL8983" s="163">
        <v>8.0154937198989131</v>
      </c>
    </row>
    <row r="8984" spans="37:38" s="4" customFormat="1">
      <c r="AK8984" s="3">
        <v>8978</v>
      </c>
      <c r="AL8984" s="163">
        <v>8.0164870784280708</v>
      </c>
    </row>
    <row r="8985" spans="37:38" s="4" customFormat="1">
      <c r="AK8985" s="3">
        <v>8979</v>
      </c>
      <c r="AL8985" s="163">
        <v>8.0174813559508067</v>
      </c>
    </row>
    <row r="8986" spans="37:38" s="4" customFormat="1">
      <c r="AK8986" s="3">
        <v>8980</v>
      </c>
      <c r="AL8986" s="163">
        <v>8.0184765536428841</v>
      </c>
    </row>
    <row r="8987" spans="37:38" s="4" customFormat="1">
      <c r="AK8987" s="3">
        <v>8981</v>
      </c>
      <c r="AL8987" s="163">
        <v>8.0194726726807062</v>
      </c>
    </row>
    <row r="8988" spans="37:38" s="4" customFormat="1">
      <c r="AK8988" s="3">
        <v>8982</v>
      </c>
      <c r="AL8988" s="163">
        <v>8.0204697142413721</v>
      </c>
    </row>
    <row r="8989" spans="37:38" s="4" customFormat="1">
      <c r="AK8989" s="3">
        <v>8983</v>
      </c>
      <c r="AL8989" s="163">
        <v>8.0214676795027771</v>
      </c>
    </row>
    <row r="8990" spans="37:38" s="4" customFormat="1">
      <c r="AK8990" s="3">
        <v>8984</v>
      </c>
      <c r="AL8990" s="163">
        <v>8.0224665696435267</v>
      </c>
    </row>
    <row r="8991" spans="37:38" s="4" customFormat="1">
      <c r="AK8991" s="3">
        <v>8985</v>
      </c>
      <c r="AL8991" s="163">
        <v>8.0234663858428661</v>
      </c>
    </row>
    <row r="8992" spans="37:38" s="4" customFormat="1">
      <c r="AK8992" s="3">
        <v>8986</v>
      </c>
      <c r="AL8992" s="163">
        <v>8.0244671292808505</v>
      </c>
    </row>
    <row r="8993" spans="37:38" s="4" customFormat="1">
      <c r="AK8993" s="3">
        <v>8987</v>
      </c>
      <c r="AL8993" s="163">
        <v>8.0254688011381887</v>
      </c>
    </row>
    <row r="8994" spans="37:38" s="4" customFormat="1">
      <c r="AK8994" s="3">
        <v>8988</v>
      </c>
      <c r="AL8994" s="163">
        <v>8.0264714025964423</v>
      </c>
    </row>
    <row r="8995" spans="37:38" s="4" customFormat="1">
      <c r="AK8995" s="3">
        <v>8989</v>
      </c>
      <c r="AL8995" s="163">
        <v>8.0274749348376986</v>
      </c>
    </row>
    <row r="8996" spans="37:38" s="4" customFormat="1">
      <c r="AK8996" s="3">
        <v>8990</v>
      </c>
      <c r="AL8996" s="163">
        <v>8.0284793990449117</v>
      </c>
    </row>
    <row r="8997" spans="37:38" s="4" customFormat="1">
      <c r="AK8997" s="3">
        <v>8991</v>
      </c>
      <c r="AL8997" s="163">
        <v>8.0294847964017038</v>
      </c>
    </row>
    <row r="8998" spans="37:38" s="4" customFormat="1">
      <c r="AK8998" s="3">
        <v>8992</v>
      </c>
      <c r="AL8998" s="163">
        <v>8.0304911280924216</v>
      </c>
    </row>
    <row r="8999" spans="37:38" s="4" customFormat="1">
      <c r="AK8999" s="3">
        <v>8993</v>
      </c>
      <c r="AL8999" s="163">
        <v>8.0314983953021652</v>
      </c>
    </row>
    <row r="9000" spans="37:38" s="4" customFormat="1">
      <c r="AK9000" s="3">
        <v>8994</v>
      </c>
      <c r="AL9000" s="163">
        <v>8.032506599216731</v>
      </c>
    </row>
    <row r="9001" spans="37:38" s="4" customFormat="1">
      <c r="AK9001" s="3">
        <v>8995</v>
      </c>
      <c r="AL9001" s="163">
        <v>8.0335157410225975</v>
      </c>
    </row>
    <row r="9002" spans="37:38" s="4" customFormat="1">
      <c r="AK9002" s="3">
        <v>8996</v>
      </c>
      <c r="AL9002" s="163">
        <v>8.0345258219070246</v>
      </c>
    </row>
    <row r="9003" spans="37:38" s="4" customFormat="1">
      <c r="AK9003" s="3">
        <v>8997</v>
      </c>
      <c r="AL9003" s="163">
        <v>8.0355368430580398</v>
      </c>
    </row>
    <row r="9004" spans="37:38" s="4" customFormat="1">
      <c r="AK9004" s="3">
        <v>8998</v>
      </c>
      <c r="AL9004" s="163">
        <v>8.0365488056643102</v>
      </c>
    </row>
    <row r="9005" spans="37:38" s="4" customFormat="1">
      <c r="AK9005" s="3">
        <v>8999</v>
      </c>
      <c r="AL9005" s="163">
        <v>8.0375617109152415</v>
      </c>
    </row>
    <row r="9006" spans="37:38" s="4" customFormat="1">
      <c r="AK9006" s="3">
        <v>9000</v>
      </c>
      <c r="AL9006" s="163">
        <v>8.0385755600009503</v>
      </c>
    </row>
    <row r="9007" spans="37:38" s="4" customFormat="1">
      <c r="AK9007" s="3">
        <v>9001</v>
      </c>
      <c r="AL9007" s="163">
        <v>8.0395903541123346</v>
      </c>
    </row>
    <row r="9008" spans="37:38" s="4" customFormat="1">
      <c r="AK9008" s="3">
        <v>9002</v>
      </c>
      <c r="AL9008" s="163">
        <v>8.0406060944409745</v>
      </c>
    </row>
    <row r="9009" spans="37:38" s="4" customFormat="1">
      <c r="AK9009" s="3">
        <v>9003</v>
      </c>
      <c r="AL9009" s="163">
        <v>8.041622782179104</v>
      </c>
    </row>
    <row r="9010" spans="37:38" s="4" customFormat="1">
      <c r="AK9010" s="3">
        <v>9004</v>
      </c>
      <c r="AL9010" s="163">
        <v>8.0426404185198379</v>
      </c>
    </row>
    <row r="9011" spans="37:38" s="4" customFormat="1">
      <c r="AK9011" s="3">
        <v>9005</v>
      </c>
      <c r="AL9011" s="163">
        <v>8.0436590046570018</v>
      </c>
    </row>
    <row r="9012" spans="37:38" s="4" customFormat="1">
      <c r="AK9012" s="3">
        <v>9006</v>
      </c>
      <c r="AL9012" s="163">
        <v>8.0446785417849895</v>
      </c>
    </row>
    <row r="9013" spans="37:38" s="4" customFormat="1">
      <c r="AK9013" s="3">
        <v>9007</v>
      </c>
      <c r="AL9013" s="163">
        <v>8.0456990310990193</v>
      </c>
    </row>
    <row r="9014" spans="37:38" s="4" customFormat="1">
      <c r="AK9014" s="3">
        <v>9008</v>
      </c>
      <c r="AL9014" s="163">
        <v>8.0467204737950482</v>
      </c>
    </row>
    <row r="9015" spans="37:38" s="4" customFormat="1">
      <c r="AK9015" s="3">
        <v>9009</v>
      </c>
      <c r="AL9015" s="163">
        <v>8.0477428710696728</v>
      </c>
    </row>
    <row r="9016" spans="37:38" s="4" customFormat="1">
      <c r="AK9016" s="3">
        <v>9010</v>
      </c>
      <c r="AL9016" s="163">
        <v>8.0487662241204845</v>
      </c>
    </row>
    <row r="9017" spans="37:38" s="4" customFormat="1">
      <c r="AK9017" s="3">
        <v>9011</v>
      </c>
      <c r="AL9017" s="163">
        <v>8.0497905341452878</v>
      </c>
    </row>
    <row r="9018" spans="37:38" s="4" customFormat="1">
      <c r="AK9018" s="3">
        <v>9012</v>
      </c>
      <c r="AL9018" s="163">
        <v>8.0508158023431378</v>
      </c>
    </row>
    <row r="9019" spans="37:38" s="4" customFormat="1">
      <c r="AK9019" s="3">
        <v>9013</v>
      </c>
      <c r="AL9019" s="163">
        <v>8.0518420299136011</v>
      </c>
    </row>
    <row r="9020" spans="37:38" s="4" customFormat="1">
      <c r="AK9020" s="3">
        <v>9014</v>
      </c>
      <c r="AL9020" s="163">
        <v>8.0528692180569124</v>
      </c>
    </row>
    <row r="9021" spans="37:38" s="4" customFormat="1">
      <c r="AK9021" s="3">
        <v>9015</v>
      </c>
      <c r="AL9021" s="163">
        <v>8.0538973679740451</v>
      </c>
    </row>
    <row r="9022" spans="37:38" s="4" customFormat="1">
      <c r="AK9022" s="3">
        <v>9016</v>
      </c>
      <c r="AL9022" s="163">
        <v>8.0549264808668113</v>
      </c>
    </row>
    <row r="9023" spans="37:38" s="4" customFormat="1">
      <c r="AK9023" s="3">
        <v>9017</v>
      </c>
      <c r="AL9023" s="163">
        <v>8.0559565579376766</v>
      </c>
    </row>
    <row r="9024" spans="37:38" s="4" customFormat="1">
      <c r="AK9024" s="3">
        <v>9018</v>
      </c>
      <c r="AL9024" s="163">
        <v>8.0569876003897747</v>
      </c>
    </row>
    <row r="9025" spans="37:38" s="4" customFormat="1">
      <c r="AK9025" s="3">
        <v>9019</v>
      </c>
      <c r="AL9025" s="163">
        <v>8.0580196094271059</v>
      </c>
    </row>
    <row r="9026" spans="37:38" s="4" customFormat="1">
      <c r="AK9026" s="3">
        <v>9020</v>
      </c>
      <c r="AL9026" s="163">
        <v>8.0590525862542961</v>
      </c>
    </row>
    <row r="9027" spans="37:38" s="4" customFormat="1">
      <c r="AK9027" s="3">
        <v>9021</v>
      </c>
      <c r="AL9027" s="163">
        <v>8.0600865320767525</v>
      </c>
    </row>
    <row r="9028" spans="37:38" s="4" customFormat="1">
      <c r="AK9028" s="3">
        <v>9022</v>
      </c>
      <c r="AL9028" s="163">
        <v>8.0611214481006499</v>
      </c>
    </row>
    <row r="9029" spans="37:38" s="4" customFormat="1">
      <c r="AK9029" s="3">
        <v>9023</v>
      </c>
      <c r="AL9029" s="163">
        <v>8.0621573355325751</v>
      </c>
    </row>
    <row r="9030" spans="37:38" s="4" customFormat="1">
      <c r="AK9030" s="3">
        <v>9024</v>
      </c>
      <c r="AL9030" s="163">
        <v>8.0631941955804223</v>
      </c>
    </row>
    <row r="9031" spans="37:38" s="4" customFormat="1">
      <c r="AK9031" s="3">
        <v>9025</v>
      </c>
      <c r="AL9031" s="163">
        <v>8.0642320294522563</v>
      </c>
    </row>
    <row r="9032" spans="37:38" s="4" customFormat="1">
      <c r="AK9032" s="3">
        <v>9026</v>
      </c>
      <c r="AL9032" s="163">
        <v>8.0652708383571508</v>
      </c>
    </row>
    <row r="9033" spans="37:38" s="4" customFormat="1">
      <c r="AK9033" s="3">
        <v>9027</v>
      </c>
      <c r="AL9033" s="163">
        <v>8.06631062350489</v>
      </c>
    </row>
    <row r="9034" spans="37:38" s="4" customFormat="1">
      <c r="AK9034" s="3">
        <v>9028</v>
      </c>
      <c r="AL9034" s="163">
        <v>8.0673513861059263</v>
      </c>
    </row>
    <row r="9035" spans="37:38" s="4" customFormat="1">
      <c r="AK9035" s="3">
        <v>9029</v>
      </c>
      <c r="AL9035" s="163">
        <v>8.0683931273714649</v>
      </c>
    </row>
    <row r="9036" spans="37:38" s="4" customFormat="1">
      <c r="AK9036" s="3">
        <v>9030</v>
      </c>
      <c r="AL9036" s="163">
        <v>8.0694358485135211</v>
      </c>
    </row>
    <row r="9037" spans="37:38" s="4" customFormat="1">
      <c r="AK9037" s="3">
        <v>9031</v>
      </c>
      <c r="AL9037" s="163">
        <v>8.0704795507446505</v>
      </c>
    </row>
    <row r="9038" spans="37:38" s="4" customFormat="1">
      <c r="AK9038" s="3">
        <v>9032</v>
      </c>
      <c r="AL9038" s="163">
        <v>8.0715242352782894</v>
      </c>
    </row>
    <row r="9039" spans="37:38" s="4" customFormat="1">
      <c r="AK9039" s="3">
        <v>9033</v>
      </c>
      <c r="AL9039" s="163">
        <v>8.0725699033285849</v>
      </c>
    </row>
    <row r="9040" spans="37:38" s="4" customFormat="1">
      <c r="AK9040" s="3">
        <v>9034</v>
      </c>
      <c r="AL9040" s="163">
        <v>8.0736165561104087</v>
      </c>
    </row>
    <row r="9041" spans="37:38" s="4" customFormat="1">
      <c r="AK9041" s="3">
        <v>9035</v>
      </c>
      <c r="AL9041" s="163">
        <v>8.0746641948392437</v>
      </c>
    </row>
    <row r="9042" spans="37:38" s="4" customFormat="1">
      <c r="AK9042" s="3">
        <v>9036</v>
      </c>
      <c r="AL9042" s="163">
        <v>8.0757128207315816</v>
      </c>
    </row>
    <row r="9043" spans="37:38" s="4" customFormat="1">
      <c r="AK9043" s="3">
        <v>9037</v>
      </c>
      <c r="AL9043" s="163">
        <v>8.0767624350043405</v>
      </c>
    </row>
    <row r="9044" spans="37:38" s="4" customFormat="1">
      <c r="AK9044" s="3">
        <v>9038</v>
      </c>
      <c r="AL9044" s="163">
        <v>8.0778130388753766</v>
      </c>
    </row>
    <row r="9045" spans="37:38" s="4" customFormat="1">
      <c r="AK9045" s="3">
        <v>9039</v>
      </c>
      <c r="AL9045" s="163">
        <v>8.0788646335631427</v>
      </c>
    </row>
    <row r="9046" spans="37:38" s="4" customFormat="1">
      <c r="AK9046" s="3">
        <v>9040</v>
      </c>
      <c r="AL9046" s="163">
        <v>8.0799172202868732</v>
      </c>
    </row>
    <row r="9047" spans="37:38" s="4" customFormat="1">
      <c r="AK9047" s="3">
        <v>9041</v>
      </c>
      <c r="AL9047" s="163">
        <v>8.080970800266698</v>
      </c>
    </row>
    <row r="9048" spans="37:38" s="4" customFormat="1">
      <c r="AK9048" s="3">
        <v>9042</v>
      </c>
      <c r="AL9048" s="163">
        <v>8.0820253747229742</v>
      </c>
    </row>
    <row r="9049" spans="37:38" s="4" customFormat="1">
      <c r="AK9049" s="3">
        <v>9043</v>
      </c>
      <c r="AL9049" s="163">
        <v>8.0830809448775227</v>
      </c>
    </row>
    <row r="9050" spans="37:38" s="4" customFormat="1">
      <c r="AK9050" s="3">
        <v>9044</v>
      </c>
      <c r="AL9050" s="163">
        <v>8.084137511952278</v>
      </c>
    </row>
    <row r="9051" spans="37:38" s="4" customFormat="1">
      <c r="AK9051" s="3">
        <v>9045</v>
      </c>
      <c r="AL9051" s="163">
        <v>8.0851950771701695</v>
      </c>
    </row>
    <row r="9052" spans="37:38" s="4" customFormat="1">
      <c r="AK9052" s="3">
        <v>9046</v>
      </c>
      <c r="AL9052" s="163">
        <v>8.0862536417549222</v>
      </c>
    </row>
    <row r="9053" spans="37:38" s="4" customFormat="1">
      <c r="AK9053" s="3">
        <v>9047</v>
      </c>
      <c r="AL9053" s="163">
        <v>8.0873132069308866</v>
      </c>
    </row>
    <row r="9054" spans="37:38" s="4" customFormat="1">
      <c r="AK9054" s="3">
        <v>9048</v>
      </c>
      <c r="AL9054" s="163">
        <v>8.0883737739230526</v>
      </c>
    </row>
    <row r="9055" spans="37:38" s="4" customFormat="1">
      <c r="AK9055" s="3">
        <v>9049</v>
      </c>
      <c r="AL9055" s="163">
        <v>8.0894353439573479</v>
      </c>
    </row>
    <row r="9056" spans="37:38" s="4" customFormat="1">
      <c r="AK9056" s="3">
        <v>9050</v>
      </c>
      <c r="AL9056" s="163">
        <v>8.0904979182603398</v>
      </c>
    </row>
    <row r="9057" spans="37:38" s="4" customFormat="1">
      <c r="AK9057" s="3">
        <v>9051</v>
      </c>
      <c r="AL9057" s="163">
        <v>8.0915614980591783</v>
      </c>
    </row>
    <row r="9058" spans="37:38" s="4" customFormat="1">
      <c r="AK9058" s="3">
        <v>9052</v>
      </c>
      <c r="AL9058" s="163">
        <v>8.0926260845820366</v>
      </c>
    </row>
    <row r="9059" spans="37:38" s="4" customFormat="1">
      <c r="AK9059" s="3">
        <v>9053</v>
      </c>
      <c r="AL9059" s="163">
        <v>8.0936916790576561</v>
      </c>
    </row>
    <row r="9060" spans="37:38" s="4" customFormat="1">
      <c r="AK9060" s="3">
        <v>9054</v>
      </c>
      <c r="AL9060" s="163">
        <v>8.0947582827156026</v>
      </c>
    </row>
    <row r="9061" spans="37:38" s="4" customFormat="1">
      <c r="AK9061" s="3">
        <v>9055</v>
      </c>
      <c r="AL9061" s="163">
        <v>8.0958258967858967</v>
      </c>
    </row>
    <row r="9062" spans="37:38" s="4" customFormat="1">
      <c r="AK9062" s="3">
        <v>9056</v>
      </c>
      <c r="AL9062" s="163">
        <v>8.0968945224996389</v>
      </c>
    </row>
    <row r="9063" spans="37:38" s="4" customFormat="1">
      <c r="AK9063" s="3">
        <v>9057</v>
      </c>
      <c r="AL9063" s="163">
        <v>8.0979641610885835</v>
      </c>
    </row>
    <row r="9064" spans="37:38" s="4" customFormat="1">
      <c r="AK9064" s="3">
        <v>9058</v>
      </c>
      <c r="AL9064" s="163">
        <v>8.0990348137850106</v>
      </c>
    </row>
    <row r="9065" spans="37:38" s="4" customFormat="1">
      <c r="AK9065" s="3">
        <v>9059</v>
      </c>
      <c r="AL9065" s="163">
        <v>8.1001064818223085</v>
      </c>
    </row>
    <row r="9066" spans="37:38" s="4" customFormat="1">
      <c r="AK9066" s="3">
        <v>9060</v>
      </c>
      <c r="AL9066" s="163">
        <v>8.1011791664341359</v>
      </c>
    </row>
    <row r="9067" spans="37:38" s="4" customFormat="1">
      <c r="AK9067" s="3">
        <v>9061</v>
      </c>
      <c r="AL9067" s="163">
        <v>8.102252868855345</v>
      </c>
    </row>
    <row r="9068" spans="37:38" s="4" customFormat="1">
      <c r="AK9068" s="3">
        <v>9062</v>
      </c>
      <c r="AL9068" s="163">
        <v>8.103327590321058</v>
      </c>
    </row>
    <row r="9069" spans="37:38" s="4" customFormat="1">
      <c r="AK9069" s="3">
        <v>9063</v>
      </c>
      <c r="AL9069" s="163">
        <v>8.1044033320677187</v>
      </c>
    </row>
    <row r="9070" spans="37:38" s="4" customFormat="1">
      <c r="AK9070" s="3">
        <v>9064</v>
      </c>
      <c r="AL9070" s="163">
        <v>8.1054800953317994</v>
      </c>
    </row>
    <row r="9071" spans="37:38" s="4" customFormat="1">
      <c r="AK9071" s="3">
        <v>9065</v>
      </c>
      <c r="AL9071" s="163">
        <v>8.1065578813511223</v>
      </c>
    </row>
    <row r="9072" spans="37:38" s="4" customFormat="1">
      <c r="AK9072" s="3">
        <v>9066</v>
      </c>
      <c r="AL9072" s="163">
        <v>8.107636691363993</v>
      </c>
    </row>
    <row r="9073" spans="37:38" s="4" customFormat="1">
      <c r="AK9073" s="3">
        <v>9067</v>
      </c>
      <c r="AL9073" s="163">
        <v>8.1087165266094132</v>
      </c>
    </row>
    <row r="9074" spans="37:38" s="4" customFormat="1">
      <c r="AK9074" s="3">
        <v>9068</v>
      </c>
      <c r="AL9074" s="163">
        <v>8.1097973883271521</v>
      </c>
    </row>
    <row r="9075" spans="37:38" s="4" customFormat="1">
      <c r="AK9075" s="3">
        <v>9069</v>
      </c>
      <c r="AL9075" s="163">
        <v>8.1108792777577179</v>
      </c>
    </row>
    <row r="9076" spans="37:38" s="4" customFormat="1">
      <c r="AK9076" s="3">
        <v>9070</v>
      </c>
      <c r="AL9076" s="163">
        <v>8.1119621961424144</v>
      </c>
    </row>
    <row r="9077" spans="37:38" s="4" customFormat="1">
      <c r="AK9077" s="3">
        <v>9071</v>
      </c>
      <c r="AL9077" s="163">
        <v>8.1130461447232562</v>
      </c>
    </row>
    <row r="9078" spans="37:38" s="4" customFormat="1">
      <c r="AK9078" s="3">
        <v>9072</v>
      </c>
      <c r="AL9078" s="163">
        <v>8.1141311247429542</v>
      </c>
    </row>
    <row r="9079" spans="37:38" s="4" customFormat="1">
      <c r="AK9079" s="3">
        <v>9073</v>
      </c>
      <c r="AL9079" s="163">
        <v>8.1152171374449722</v>
      </c>
    </row>
    <row r="9080" spans="37:38" s="4" customFormat="1">
      <c r="AK9080" s="3">
        <v>9074</v>
      </c>
      <c r="AL9080" s="163">
        <v>8.1163041840735417</v>
      </c>
    </row>
    <row r="9081" spans="37:38" s="4" customFormat="1">
      <c r="AK9081" s="3">
        <v>9075</v>
      </c>
      <c r="AL9081" s="163">
        <v>8.1173922658735194</v>
      </c>
    </row>
    <row r="9082" spans="37:38" s="4" customFormat="1">
      <c r="AK9082" s="3">
        <v>9076</v>
      </c>
      <c r="AL9082" s="163">
        <v>8.1184813840906855</v>
      </c>
    </row>
    <row r="9083" spans="37:38" s="4" customFormat="1">
      <c r="AK9083" s="3">
        <v>9077</v>
      </c>
      <c r="AL9083" s="163">
        <v>8.1195715399715453</v>
      </c>
    </row>
    <row r="9084" spans="37:38" s="4" customFormat="1">
      <c r="AK9084" s="3">
        <v>9078</v>
      </c>
      <c r="AL9084" s="163">
        <v>8.1206627347630302</v>
      </c>
    </row>
    <row r="9085" spans="37:38" s="4" customFormat="1">
      <c r="AK9085" s="3">
        <v>9079</v>
      </c>
      <c r="AL9085" s="163">
        <v>8.1217549697132227</v>
      </c>
    </row>
    <row r="9086" spans="37:38" s="4" customFormat="1">
      <c r="AK9086" s="3">
        <v>9080</v>
      </c>
      <c r="AL9086" s="163">
        <v>8.1228482460706743</v>
      </c>
    </row>
    <row r="9087" spans="37:38" s="4" customFormat="1">
      <c r="AK9087" s="3">
        <v>9081</v>
      </c>
      <c r="AL9087" s="163">
        <v>8.123942565084775</v>
      </c>
    </row>
    <row r="9088" spans="37:38" s="4" customFormat="1">
      <c r="AK9088" s="3">
        <v>9082</v>
      </c>
      <c r="AL9088" s="163">
        <v>8.1250379280055967</v>
      </c>
    </row>
    <row r="9089" spans="37:38" s="4" customFormat="1">
      <c r="AK9089" s="3">
        <v>9083</v>
      </c>
      <c r="AL9089" s="163">
        <v>8.1261343360841778</v>
      </c>
    </row>
    <row r="9090" spans="37:38" s="4" customFormat="1">
      <c r="AK9090" s="3">
        <v>9084</v>
      </c>
      <c r="AL9090" s="163">
        <v>8.1272317905719405</v>
      </c>
    </row>
    <row r="9091" spans="37:38" s="4" customFormat="1">
      <c r="AK9091" s="3">
        <v>9085</v>
      </c>
      <c r="AL9091" s="163">
        <v>8.1283302927211736</v>
      </c>
    </row>
    <row r="9092" spans="37:38" s="4" customFormat="1">
      <c r="AK9092" s="3">
        <v>9086</v>
      </c>
      <c r="AL9092" s="163">
        <v>8.129429843785104</v>
      </c>
    </row>
    <row r="9093" spans="37:38" s="4" customFormat="1">
      <c r="AK9093" s="3">
        <v>9087</v>
      </c>
      <c r="AL9093" s="163">
        <v>8.1305304450175129</v>
      </c>
    </row>
    <row r="9094" spans="37:38" s="4" customFormat="1">
      <c r="AK9094" s="3">
        <v>9088</v>
      </c>
      <c r="AL9094" s="163">
        <v>8.1316320976728207</v>
      </c>
    </row>
    <row r="9095" spans="37:38" s="4" customFormat="1">
      <c r="AK9095" s="3">
        <v>9089</v>
      </c>
      <c r="AL9095" s="163">
        <v>8.1327348030064286</v>
      </c>
    </row>
    <row r="9096" spans="37:38" s="4" customFormat="1">
      <c r="AK9096" s="3">
        <v>9090</v>
      </c>
      <c r="AL9096" s="163">
        <v>8.1338385622743203</v>
      </c>
    </row>
    <row r="9097" spans="37:38" s="4" customFormat="1">
      <c r="AK9097" s="3">
        <v>9091</v>
      </c>
      <c r="AL9097" s="163">
        <v>8.1349433767334176</v>
      </c>
    </row>
    <row r="9098" spans="37:38" s="4" customFormat="1">
      <c r="AK9098" s="3">
        <v>9092</v>
      </c>
      <c r="AL9098" s="163">
        <v>8.1360492476409831</v>
      </c>
    </row>
    <row r="9099" spans="37:38" s="4" customFormat="1">
      <c r="AK9099" s="3">
        <v>9093</v>
      </c>
      <c r="AL9099" s="163">
        <v>8.1371561762554308</v>
      </c>
    </row>
    <row r="9100" spans="37:38" s="4" customFormat="1">
      <c r="AK9100" s="3">
        <v>9094</v>
      </c>
      <c r="AL9100" s="163">
        <v>8.1382641638357711</v>
      </c>
    </row>
    <row r="9101" spans="37:38" s="4" customFormat="1">
      <c r="AK9101" s="3">
        <v>9095</v>
      </c>
      <c r="AL9101" s="163">
        <v>8.1393732116416686</v>
      </c>
    </row>
    <row r="9102" spans="37:38" s="4" customFormat="1">
      <c r="AK9102" s="3">
        <v>9096</v>
      </c>
      <c r="AL9102" s="163">
        <v>8.1404833209335976</v>
      </c>
    </row>
    <row r="9103" spans="37:38" s="4" customFormat="1">
      <c r="AK9103" s="3">
        <v>9097</v>
      </c>
      <c r="AL9103" s="163">
        <v>8.1415944929727715</v>
      </c>
    </row>
    <row r="9104" spans="37:38" s="4" customFormat="1">
      <c r="AK9104" s="3">
        <v>9098</v>
      </c>
      <c r="AL9104" s="163">
        <v>8.1427067290213131</v>
      </c>
    </row>
    <row r="9105" spans="37:38" s="4" customFormat="1">
      <c r="AK9105" s="3">
        <v>9099</v>
      </c>
      <c r="AL9105" s="163">
        <v>8.1438200303416721</v>
      </c>
    </row>
    <row r="9106" spans="37:38" s="4" customFormat="1">
      <c r="AK9106" s="3">
        <v>9100</v>
      </c>
      <c r="AL9106" s="163">
        <v>8.144934398197492</v>
      </c>
    </row>
    <row r="9107" spans="37:38" s="4" customFormat="1">
      <c r="AK9107" s="3">
        <v>9101</v>
      </c>
      <c r="AL9107" s="163">
        <v>8.1460498338528424</v>
      </c>
    </row>
    <row r="9108" spans="37:38" s="4" customFormat="1">
      <c r="AK9108" s="3">
        <v>9102</v>
      </c>
      <c r="AL9108" s="163">
        <v>8.1471663385726885</v>
      </c>
    </row>
    <row r="9109" spans="37:38" s="4" customFormat="1">
      <c r="AK9109" s="3">
        <v>9103</v>
      </c>
      <c r="AL9109" s="163">
        <v>8.1482839136227625</v>
      </c>
    </row>
    <row r="9110" spans="37:38" s="4" customFormat="1">
      <c r="AK9110" s="3">
        <v>9104</v>
      </c>
      <c r="AL9110" s="163">
        <v>8.1494025602693796</v>
      </c>
    </row>
    <row r="9111" spans="37:38" s="4" customFormat="1">
      <c r="AK9111" s="3">
        <v>9105</v>
      </c>
      <c r="AL9111" s="163">
        <v>8.1505222797798069</v>
      </c>
    </row>
    <row r="9112" spans="37:38" s="4" customFormat="1">
      <c r="AK9112" s="3">
        <v>9106</v>
      </c>
      <c r="AL9112" s="163">
        <v>8.1516430734219227</v>
      </c>
    </row>
    <row r="9113" spans="37:38" s="4" customFormat="1">
      <c r="AK9113" s="3">
        <v>9107</v>
      </c>
      <c r="AL9113" s="163">
        <v>8.1527649424642163</v>
      </c>
    </row>
    <row r="9114" spans="37:38" s="4" customFormat="1">
      <c r="AK9114" s="3">
        <v>9108</v>
      </c>
      <c r="AL9114" s="163">
        <v>8.1538878881762145</v>
      </c>
    </row>
    <row r="9115" spans="37:38" s="4" customFormat="1">
      <c r="AK9115" s="3">
        <v>9109</v>
      </c>
      <c r="AL9115" s="163">
        <v>8.1550119118281401</v>
      </c>
    </row>
    <row r="9116" spans="37:38" s="4" customFormat="1">
      <c r="AK9116" s="3">
        <v>9110</v>
      </c>
      <c r="AL9116" s="163">
        <v>8.1561370146906427</v>
      </c>
    </row>
    <row r="9117" spans="37:38" s="4" customFormat="1">
      <c r="AK9117" s="3">
        <v>9111</v>
      </c>
      <c r="AL9117" s="163">
        <v>8.1572631980355368</v>
      </c>
    </row>
    <row r="9118" spans="37:38" s="4" customFormat="1">
      <c r="AK9118" s="3">
        <v>9112</v>
      </c>
      <c r="AL9118" s="163">
        <v>8.1583904631350634</v>
      </c>
    </row>
    <row r="9119" spans="37:38" s="4" customFormat="1">
      <c r="AK9119" s="3">
        <v>9113</v>
      </c>
      <c r="AL9119" s="163">
        <v>8.1595188112624015</v>
      </c>
    </row>
    <row r="9120" spans="37:38" s="4" customFormat="1">
      <c r="AK9120" s="3">
        <v>9114</v>
      </c>
      <c r="AL9120" s="163">
        <v>8.1606482436913552</v>
      </c>
    </row>
    <row r="9121" spans="37:38" s="4" customFormat="1">
      <c r="AK9121" s="3">
        <v>9115</v>
      </c>
      <c r="AL9121" s="163">
        <v>8.1617787616965956</v>
      </c>
    </row>
    <row r="9122" spans="37:38" s="4" customFormat="1">
      <c r="AK9122" s="3">
        <v>9116</v>
      </c>
      <c r="AL9122" s="163">
        <v>8.1629103665534899</v>
      </c>
    </row>
    <row r="9123" spans="37:38" s="4" customFormat="1">
      <c r="AK9123" s="3">
        <v>9117</v>
      </c>
      <c r="AL9123" s="163">
        <v>8.1640430595379314</v>
      </c>
    </row>
    <row r="9124" spans="37:38" s="4" customFormat="1">
      <c r="AK9124" s="3">
        <v>9118</v>
      </c>
      <c r="AL9124" s="163">
        <v>8.1651768419269644</v>
      </c>
    </row>
    <row r="9125" spans="37:38" s="4" customFormat="1">
      <c r="AK9125" s="3">
        <v>9119</v>
      </c>
      <c r="AL9125" s="163">
        <v>8.1663117149979882</v>
      </c>
    </row>
    <row r="9126" spans="37:38" s="4" customFormat="1">
      <c r="AK9126" s="3">
        <v>9120</v>
      </c>
      <c r="AL9126" s="163">
        <v>8.1674476800295395</v>
      </c>
    </row>
    <row r="9127" spans="37:38" s="4" customFormat="1">
      <c r="AK9127" s="3">
        <v>9121</v>
      </c>
      <c r="AL9127" s="163">
        <v>8.1685847383005807</v>
      </c>
    </row>
    <row r="9128" spans="37:38" s="4" customFormat="1">
      <c r="AK9128" s="3">
        <v>9122</v>
      </c>
      <c r="AL9128" s="163">
        <v>8.1697228910908279</v>
      </c>
    </row>
    <row r="9129" spans="37:38" s="4" customFormat="1">
      <c r="AK9129" s="3">
        <v>9123</v>
      </c>
      <c r="AL9129" s="163">
        <v>8.1708621396810486</v>
      </c>
    </row>
    <row r="9130" spans="37:38" s="4" customFormat="1">
      <c r="AK9130" s="3">
        <v>9124</v>
      </c>
      <c r="AL9130" s="163">
        <v>8.1720024853524791</v>
      </c>
    </row>
    <row r="9131" spans="37:38" s="4" customFormat="1">
      <c r="AK9131" s="3">
        <v>9125</v>
      </c>
      <c r="AL9131" s="163">
        <v>8.1731439293871091</v>
      </c>
    </row>
    <row r="9132" spans="37:38" s="4" customFormat="1">
      <c r="AK9132" s="3">
        <v>9126</v>
      </c>
      <c r="AL9132" s="163">
        <v>8.1742864730677809</v>
      </c>
    </row>
    <row r="9133" spans="37:38" s="4" customFormat="1">
      <c r="AK9133" s="3">
        <v>9127</v>
      </c>
      <c r="AL9133" s="163">
        <v>8.1754301176780331</v>
      </c>
    </row>
    <row r="9134" spans="37:38" s="4" customFormat="1">
      <c r="AK9134" s="3">
        <v>9128</v>
      </c>
      <c r="AL9134" s="163">
        <v>8.1765748645022711</v>
      </c>
    </row>
    <row r="9135" spans="37:38" s="4" customFormat="1">
      <c r="AK9135" s="3">
        <v>9129</v>
      </c>
      <c r="AL9135" s="163">
        <v>8.1777207148254263</v>
      </c>
    </row>
    <row r="9136" spans="37:38" s="4" customFormat="1">
      <c r="AK9136" s="3">
        <v>9130</v>
      </c>
      <c r="AL9136" s="163">
        <v>8.1788676699333394</v>
      </c>
    </row>
    <row r="9137" spans="37:38" s="4" customFormat="1">
      <c r="AK9137" s="3">
        <v>9131</v>
      </c>
      <c r="AL9137" s="163">
        <v>8.1800157311125474</v>
      </c>
    </row>
    <row r="9138" spans="37:38" s="4" customFormat="1">
      <c r="AK9138" s="3">
        <v>9132</v>
      </c>
      <c r="AL9138" s="163">
        <v>8.1811648996502129</v>
      </c>
    </row>
    <row r="9139" spans="37:38" s="4" customFormat="1">
      <c r="AK9139" s="3">
        <v>9133</v>
      </c>
      <c r="AL9139" s="163">
        <v>8.1823151768346918</v>
      </c>
    </row>
    <row r="9140" spans="37:38" s="4" customFormat="1">
      <c r="AK9140" s="3">
        <v>9134</v>
      </c>
      <c r="AL9140" s="163">
        <v>8.1834665639544113</v>
      </c>
    </row>
    <row r="9141" spans="37:38" s="4" customFormat="1">
      <c r="AK9141" s="3">
        <v>9135</v>
      </c>
      <c r="AL9141" s="163">
        <v>8.1846190622991628</v>
      </c>
    </row>
    <row r="9142" spans="37:38" s="4" customFormat="1">
      <c r="AK9142" s="3">
        <v>9136</v>
      </c>
      <c r="AL9142" s="163">
        <v>8.1857726731591498</v>
      </c>
    </row>
    <row r="9143" spans="37:38" s="4" customFormat="1">
      <c r="AK9143" s="3">
        <v>9137</v>
      </c>
      <c r="AL9143" s="163">
        <v>8.1869273978252437</v>
      </c>
    </row>
    <row r="9144" spans="37:38" s="4" customFormat="1">
      <c r="AK9144" s="3">
        <v>9138</v>
      </c>
      <c r="AL9144" s="163">
        <v>8.1880832375894954</v>
      </c>
    </row>
    <row r="9145" spans="37:38" s="4" customFormat="1">
      <c r="AK9145" s="3">
        <v>9139</v>
      </c>
      <c r="AL9145" s="163">
        <v>8.1892401937443253</v>
      </c>
    </row>
    <row r="9146" spans="37:38" s="4" customFormat="1">
      <c r="AK9146" s="3">
        <v>9140</v>
      </c>
      <c r="AL9146" s="163">
        <v>8.190398267582907</v>
      </c>
    </row>
    <row r="9147" spans="37:38" s="4" customFormat="1">
      <c r="AK9147" s="3">
        <v>9141</v>
      </c>
      <c r="AL9147" s="163">
        <v>8.1915574603994514</v>
      </c>
    </row>
    <row r="9148" spans="37:38" s="4" customFormat="1">
      <c r="AK9148" s="3">
        <v>9142</v>
      </c>
      <c r="AL9148" s="163">
        <v>8.1927177734886953</v>
      </c>
    </row>
    <row r="9149" spans="37:38" s="4" customFormat="1">
      <c r="AK9149" s="3">
        <v>9143</v>
      </c>
      <c r="AL9149" s="163">
        <v>8.1938792081460718</v>
      </c>
    </row>
    <row r="9150" spans="37:38" s="4" customFormat="1">
      <c r="AK9150" s="3">
        <v>9144</v>
      </c>
      <c r="AL9150" s="163">
        <v>8.1950417656679235</v>
      </c>
    </row>
    <row r="9151" spans="37:38" s="4" customFormat="1">
      <c r="AK9151" s="3">
        <v>9145</v>
      </c>
      <c r="AL9151" s="163">
        <v>8.1962054473512609</v>
      </c>
    </row>
    <row r="9152" spans="37:38" s="4" customFormat="1">
      <c r="AK9152" s="3">
        <v>9146</v>
      </c>
      <c r="AL9152" s="163">
        <v>8.1973702544939897</v>
      </c>
    </row>
    <row r="9153" spans="37:38" s="4" customFormat="1">
      <c r="AK9153" s="3">
        <v>9147</v>
      </c>
      <c r="AL9153" s="163">
        <v>8.1985361883945416</v>
      </c>
    </row>
    <row r="9154" spans="37:38" s="4" customFormat="1">
      <c r="AK9154" s="3">
        <v>9148</v>
      </c>
      <c r="AL9154" s="163">
        <v>8.1997032503521154</v>
      </c>
    </row>
    <row r="9155" spans="37:38" s="4" customFormat="1">
      <c r="AK9155" s="3">
        <v>9149</v>
      </c>
      <c r="AL9155" s="163">
        <v>8.2008714416668056</v>
      </c>
    </row>
    <row r="9156" spans="37:38" s="4" customFormat="1">
      <c r="AK9156" s="3">
        <v>9150</v>
      </c>
      <c r="AL9156" s="163">
        <v>8.2020407636394879</v>
      </c>
    </row>
    <row r="9157" spans="37:38" s="4" customFormat="1">
      <c r="AK9157" s="3">
        <v>9151</v>
      </c>
      <c r="AL9157" s="163">
        <v>8.2032112175715639</v>
      </c>
    </row>
    <row r="9158" spans="37:38" s="4" customFormat="1">
      <c r="AK9158" s="3">
        <v>9152</v>
      </c>
      <c r="AL9158" s="163">
        <v>8.2043828047654159</v>
      </c>
    </row>
    <row r="9159" spans="37:38" s="4" customFormat="1">
      <c r="AK9159" s="3">
        <v>9153</v>
      </c>
      <c r="AL9159" s="163">
        <v>8.2055555265241509</v>
      </c>
    </row>
    <row r="9160" spans="37:38" s="4" customFormat="1">
      <c r="AK9160" s="3">
        <v>9154</v>
      </c>
      <c r="AL9160" s="163">
        <v>8.2067293841513731</v>
      </c>
    </row>
    <row r="9161" spans="37:38" s="4" customFormat="1">
      <c r="AK9161" s="3">
        <v>9155</v>
      </c>
      <c r="AL9161" s="163">
        <v>8.2079043789517101</v>
      </c>
    </row>
    <row r="9162" spans="37:38" s="4" customFormat="1">
      <c r="AK9162" s="3">
        <v>9156</v>
      </c>
      <c r="AL9162" s="163">
        <v>8.2090805122305568</v>
      </c>
    </row>
    <row r="9163" spans="37:38" s="4" customFormat="1">
      <c r="AK9163" s="3">
        <v>9157</v>
      </c>
      <c r="AL9163" s="163">
        <v>8.2102577852938197</v>
      </c>
    </row>
    <row r="9164" spans="37:38" s="4" customFormat="1">
      <c r="AK9164" s="3">
        <v>9158</v>
      </c>
      <c r="AL9164" s="163">
        <v>8.2114361994484284</v>
      </c>
    </row>
    <row r="9165" spans="37:38" s="4" customFormat="1">
      <c r="AK9165" s="3">
        <v>9159</v>
      </c>
      <c r="AL9165" s="163">
        <v>8.2126157560019237</v>
      </c>
    </row>
    <row r="9166" spans="37:38" s="4" customFormat="1">
      <c r="AK9166" s="3">
        <v>9160</v>
      </c>
      <c r="AL9166" s="163">
        <v>8.2137964562624859</v>
      </c>
    </row>
    <row r="9167" spans="37:38" s="4" customFormat="1">
      <c r="AK9167" s="3">
        <v>9161</v>
      </c>
      <c r="AL9167" s="163">
        <v>8.2149783015392188</v>
      </c>
    </row>
    <row r="9168" spans="37:38" s="4" customFormat="1">
      <c r="AK9168" s="3">
        <v>9162</v>
      </c>
      <c r="AL9168" s="163">
        <v>8.2161612931420791</v>
      </c>
    </row>
    <row r="9169" spans="37:38" s="4" customFormat="1">
      <c r="AK9169" s="3">
        <v>9163</v>
      </c>
      <c r="AL9169" s="163">
        <v>8.2173454323814354</v>
      </c>
    </row>
    <row r="9170" spans="37:38" s="4" customFormat="1">
      <c r="AK9170" s="3">
        <v>9164</v>
      </c>
      <c r="AL9170" s="163">
        <v>8.218530720568836</v>
      </c>
    </row>
    <row r="9171" spans="37:38" s="4" customFormat="1">
      <c r="AK9171" s="3">
        <v>9165</v>
      </c>
      <c r="AL9171" s="163">
        <v>8.2197171590160991</v>
      </c>
    </row>
    <row r="9172" spans="37:38" s="4" customFormat="1">
      <c r="AK9172" s="3">
        <v>9166</v>
      </c>
      <c r="AL9172" s="163">
        <v>8.2209047490362366</v>
      </c>
    </row>
    <row r="9173" spans="37:38" s="4" customFormat="1">
      <c r="AK9173" s="3">
        <v>9167</v>
      </c>
      <c r="AL9173" s="163">
        <v>8.2220934919429425</v>
      </c>
    </row>
    <row r="9174" spans="37:38" s="4" customFormat="1">
      <c r="AK9174" s="3">
        <v>9168</v>
      </c>
      <c r="AL9174" s="163">
        <v>8.2232833890502661</v>
      </c>
    </row>
    <row r="9175" spans="37:38" s="4" customFormat="1">
      <c r="AK9175" s="3">
        <v>9169</v>
      </c>
      <c r="AL9175" s="163">
        <v>8.2244744416734221</v>
      </c>
    </row>
    <row r="9176" spans="37:38" s="4" customFormat="1">
      <c r="AK9176" s="3">
        <v>9170</v>
      </c>
      <c r="AL9176" s="163">
        <v>8.2256666511283925</v>
      </c>
    </row>
    <row r="9177" spans="37:38" s="4" customFormat="1">
      <c r="AK9177" s="3">
        <v>9171</v>
      </c>
      <c r="AL9177" s="163">
        <v>8.226860018731557</v>
      </c>
    </row>
    <row r="9178" spans="37:38" s="4" customFormat="1">
      <c r="AK9178" s="3">
        <v>9172</v>
      </c>
      <c r="AL9178" s="163">
        <v>8.228054545800461</v>
      </c>
    </row>
    <row r="9179" spans="37:38" s="4" customFormat="1">
      <c r="AK9179" s="3">
        <v>9173</v>
      </c>
      <c r="AL9179" s="163">
        <v>8.2292502336531754</v>
      </c>
    </row>
    <row r="9180" spans="37:38" s="4" customFormat="1">
      <c r="AK9180" s="3">
        <v>9174</v>
      </c>
      <c r="AL9180" s="163">
        <v>8.2304470836085102</v>
      </c>
    </row>
    <row r="9181" spans="37:38" s="4" customFormat="1">
      <c r="AK9181" s="3">
        <v>9175</v>
      </c>
      <c r="AL9181" s="163">
        <v>8.2316450969861563</v>
      </c>
    </row>
    <row r="9182" spans="37:38" s="4" customFormat="1">
      <c r="AK9182" s="3">
        <v>9176</v>
      </c>
      <c r="AL9182" s="163">
        <v>8.2328442751064586</v>
      </c>
    </row>
    <row r="9183" spans="37:38" s="4" customFormat="1">
      <c r="AK9183" s="3">
        <v>9177</v>
      </c>
      <c r="AL9183" s="163">
        <v>8.2340446192906285</v>
      </c>
    </row>
    <row r="9184" spans="37:38" s="4" customFormat="1">
      <c r="AK9184" s="3">
        <v>9178</v>
      </c>
      <c r="AL9184" s="163">
        <v>8.2352461308604461</v>
      </c>
    </row>
    <row r="9185" spans="37:38" s="4" customFormat="1">
      <c r="AK9185" s="3">
        <v>9179</v>
      </c>
      <c r="AL9185" s="163">
        <v>8.2364488111387146</v>
      </c>
    </row>
    <row r="9186" spans="37:38" s="4" customFormat="1">
      <c r="AK9186" s="3">
        <v>9180</v>
      </c>
      <c r="AL9186" s="163">
        <v>8.2376526614488199</v>
      </c>
    </row>
    <row r="9187" spans="37:38" s="4" customFormat="1">
      <c r="AK9187" s="3">
        <v>9181</v>
      </c>
      <c r="AL9187" s="163">
        <v>8.2388576831147304</v>
      </c>
    </row>
    <row r="9188" spans="37:38" s="4" customFormat="1">
      <c r="AK9188" s="3">
        <v>9182</v>
      </c>
      <c r="AL9188" s="163">
        <v>8.24006387746158</v>
      </c>
    </row>
    <row r="9189" spans="37:38" s="4" customFormat="1">
      <c r="AK9189" s="3">
        <v>9183</v>
      </c>
      <c r="AL9189" s="163">
        <v>8.2412712458149286</v>
      </c>
    </row>
    <row r="9190" spans="37:38" s="4" customFormat="1">
      <c r="AK9190" s="3">
        <v>9184</v>
      </c>
      <c r="AL9190" s="163">
        <v>8.2424797895013739</v>
      </c>
    </row>
    <row r="9191" spans="37:38" s="4" customFormat="1">
      <c r="AK9191" s="3">
        <v>9185</v>
      </c>
      <c r="AL9191" s="163">
        <v>8.2436895098480392</v>
      </c>
    </row>
    <row r="9192" spans="37:38" s="4" customFormat="1">
      <c r="AK9192" s="3">
        <v>9186</v>
      </c>
      <c r="AL9192" s="163">
        <v>8.244900408182815</v>
      </c>
    </row>
    <row r="9193" spans="37:38" s="4" customFormat="1">
      <c r="AK9193" s="3">
        <v>9187</v>
      </c>
      <c r="AL9193" s="163">
        <v>8.2461124858343737</v>
      </c>
    </row>
    <row r="9194" spans="37:38" s="4" customFormat="1">
      <c r="AK9194" s="3">
        <v>9188</v>
      </c>
      <c r="AL9194" s="163">
        <v>8.247325744132354</v>
      </c>
    </row>
    <row r="9195" spans="37:38" s="4" customFormat="1">
      <c r="AK9195" s="3">
        <v>9189</v>
      </c>
      <c r="AL9195" s="163">
        <v>8.2485401844068917</v>
      </c>
    </row>
    <row r="9196" spans="37:38" s="4" customFormat="1">
      <c r="AK9196" s="3">
        <v>9190</v>
      </c>
      <c r="AL9196" s="163">
        <v>8.2497558079889615</v>
      </c>
    </row>
    <row r="9197" spans="37:38" s="4" customFormat="1">
      <c r="AK9197" s="3">
        <v>9191</v>
      </c>
      <c r="AL9197" s="163">
        <v>8.2509726162103476</v>
      </c>
    </row>
    <row r="9198" spans="37:38" s="4" customFormat="1">
      <c r="AK9198" s="3">
        <v>9192</v>
      </c>
      <c r="AL9198" s="163">
        <v>8.2521906104036304</v>
      </c>
    </row>
    <row r="9199" spans="37:38" s="4" customFormat="1">
      <c r="AK9199" s="3">
        <v>9193</v>
      </c>
      <c r="AL9199" s="163">
        <v>8.2534097919018024</v>
      </c>
    </row>
    <row r="9200" spans="37:38" s="4" customFormat="1">
      <c r="AK9200" s="3">
        <v>9194</v>
      </c>
      <c r="AL9200" s="163">
        <v>8.2546301620392484</v>
      </c>
    </row>
    <row r="9201" spans="37:38" s="4" customFormat="1">
      <c r="AK9201" s="3">
        <v>9195</v>
      </c>
      <c r="AL9201" s="163">
        <v>8.2558517221505525</v>
      </c>
    </row>
    <row r="9202" spans="37:38" s="4" customFormat="1">
      <c r="AK9202" s="3">
        <v>9196</v>
      </c>
      <c r="AL9202" s="163">
        <v>8.2570744735712935</v>
      </c>
    </row>
    <row r="9203" spans="37:38" s="4" customFormat="1">
      <c r="AK9203" s="3">
        <v>9197</v>
      </c>
      <c r="AL9203" s="163">
        <v>8.2582984176377039</v>
      </c>
    </row>
    <row r="9204" spans="37:38" s="4" customFormat="1">
      <c r="AK9204" s="3">
        <v>9198</v>
      </c>
      <c r="AL9204" s="163">
        <v>8.2595235556870534</v>
      </c>
    </row>
    <row r="9205" spans="37:38" s="4" customFormat="1">
      <c r="AK9205" s="3">
        <v>9199</v>
      </c>
      <c r="AL9205" s="163">
        <v>8.2607498890568962</v>
      </c>
    </row>
    <row r="9206" spans="37:38" s="4" customFormat="1">
      <c r="AK9206" s="3">
        <v>9200</v>
      </c>
      <c r="AL9206" s="163">
        <v>8.2619774190860227</v>
      </c>
    </row>
    <row r="9207" spans="37:38" s="4" customFormat="1">
      <c r="AK9207" s="3">
        <v>9201</v>
      </c>
      <c r="AL9207" s="163">
        <v>8.2632061471137348</v>
      </c>
    </row>
    <row r="9208" spans="37:38" s="4" customFormat="1">
      <c r="AK9208" s="3">
        <v>9202</v>
      </c>
      <c r="AL9208" s="163">
        <v>8.2644360744801446</v>
      </c>
    </row>
    <row r="9209" spans="37:38" s="4" customFormat="1">
      <c r="AK9209" s="3">
        <v>9203</v>
      </c>
      <c r="AL9209" s="163">
        <v>8.2656672025259752</v>
      </c>
    </row>
    <row r="9210" spans="37:38" s="4" customFormat="1">
      <c r="AK9210" s="3">
        <v>9204</v>
      </c>
      <c r="AL9210" s="163">
        <v>8.2668995325931149</v>
      </c>
    </row>
    <row r="9211" spans="37:38" s="4" customFormat="1">
      <c r="AK9211" s="3">
        <v>9205</v>
      </c>
      <c r="AL9211" s="163">
        <v>8.2681330660237649</v>
      </c>
    </row>
    <row r="9212" spans="37:38" s="4" customFormat="1">
      <c r="AK9212" s="3">
        <v>9206</v>
      </c>
      <c r="AL9212" s="163">
        <v>8.2693678041611491</v>
      </c>
    </row>
    <row r="9213" spans="37:38" s="4" customFormat="1">
      <c r="AK9213" s="3">
        <v>9207</v>
      </c>
      <c r="AL9213" s="163">
        <v>8.2706037483491315</v>
      </c>
    </row>
    <row r="9214" spans="37:38" s="4" customFormat="1">
      <c r="AK9214" s="3">
        <v>9208</v>
      </c>
      <c r="AL9214" s="163">
        <v>8.2718408999323998</v>
      </c>
    </row>
    <row r="9215" spans="37:38" s="4" customFormat="1">
      <c r="AK9215" s="3">
        <v>9209</v>
      </c>
      <c r="AL9215" s="163">
        <v>8.2730792602564378</v>
      </c>
    </row>
    <row r="9216" spans="37:38" s="4" customFormat="1">
      <c r="AK9216" s="3">
        <v>9210</v>
      </c>
      <c r="AL9216" s="163">
        <v>8.2743188306674114</v>
      </c>
    </row>
    <row r="9217" spans="37:38" s="4" customFormat="1">
      <c r="AK9217" s="3">
        <v>9211</v>
      </c>
      <c r="AL9217" s="163">
        <v>8.2755596125123247</v>
      </c>
    </row>
    <row r="9218" spans="37:38" s="4" customFormat="1">
      <c r="AK9218" s="3">
        <v>9212</v>
      </c>
      <c r="AL9218" s="163">
        <v>8.2768016071389496</v>
      </c>
    </row>
    <row r="9219" spans="37:38" s="4" customFormat="1">
      <c r="AK9219" s="3">
        <v>9213</v>
      </c>
      <c r="AL9219" s="163">
        <v>8.2780448158955124</v>
      </c>
    </row>
    <row r="9220" spans="37:38" s="4" customFormat="1">
      <c r="AK9220" s="3">
        <v>9214</v>
      </c>
      <c r="AL9220" s="163">
        <v>8.2792892401315754</v>
      </c>
    </row>
    <row r="9221" spans="37:38" s="4" customFormat="1">
      <c r="AK9221" s="3">
        <v>9215</v>
      </c>
      <c r="AL9221" s="163">
        <v>8.2805348811970418</v>
      </c>
    </row>
    <row r="9222" spans="37:38" s="4" customFormat="1">
      <c r="AK9222" s="3">
        <v>9216</v>
      </c>
      <c r="AL9222" s="163">
        <v>8.2817817404426108</v>
      </c>
    </row>
    <row r="9223" spans="37:38" s="4" customFormat="1">
      <c r="AK9223" s="3">
        <v>9217</v>
      </c>
      <c r="AL9223" s="163">
        <v>8.2830298192199052</v>
      </c>
    </row>
    <row r="9224" spans="37:38" s="4" customFormat="1">
      <c r="AK9224" s="3">
        <v>9218</v>
      </c>
      <c r="AL9224" s="163">
        <v>8.2842791188812583</v>
      </c>
    </row>
    <row r="9225" spans="37:38" s="4" customFormat="1">
      <c r="AK9225" s="3">
        <v>9219</v>
      </c>
      <c r="AL9225" s="163">
        <v>8.2855296407797709</v>
      </c>
    </row>
    <row r="9226" spans="37:38" s="4" customFormat="1">
      <c r="AK9226" s="3">
        <v>9220</v>
      </c>
      <c r="AL9226" s="163">
        <v>8.2867813862691548</v>
      </c>
    </row>
    <row r="9227" spans="37:38" s="4" customFormat="1">
      <c r="AK9227" s="3">
        <v>9221</v>
      </c>
      <c r="AL9227" s="163">
        <v>8.2880343567039745</v>
      </c>
    </row>
    <row r="9228" spans="37:38" s="4" customFormat="1">
      <c r="AK9228" s="3">
        <v>9222</v>
      </c>
      <c r="AL9228" s="163">
        <v>8.2892885534398317</v>
      </c>
    </row>
    <row r="9229" spans="37:38" s="4" customFormat="1">
      <c r="AK9229" s="3">
        <v>9223</v>
      </c>
      <c r="AL9229" s="163">
        <v>8.2905439778326553</v>
      </c>
    </row>
    <row r="9230" spans="37:38" s="4" customFormat="1">
      <c r="AK9230" s="3">
        <v>9224</v>
      </c>
      <c r="AL9230" s="163">
        <v>8.291800631239326</v>
      </c>
    </row>
    <row r="9231" spans="37:38" s="4" customFormat="1">
      <c r="AK9231" s="3">
        <v>9225</v>
      </c>
      <c r="AL9231" s="163">
        <v>8.2930585150176199</v>
      </c>
    </row>
    <row r="9232" spans="37:38" s="4" customFormat="1">
      <c r="AK9232" s="3">
        <v>9226</v>
      </c>
      <c r="AL9232" s="163">
        <v>8.2943176305259669</v>
      </c>
    </row>
    <row r="9233" spans="37:38" s="4" customFormat="1">
      <c r="AK9233" s="3">
        <v>9227</v>
      </c>
      <c r="AL9233" s="163">
        <v>8.295577979123351</v>
      </c>
    </row>
    <row r="9234" spans="37:38" s="4" customFormat="1">
      <c r="AK9234" s="3">
        <v>9228</v>
      </c>
      <c r="AL9234" s="163">
        <v>8.2968395621700068</v>
      </c>
    </row>
    <row r="9235" spans="37:38" s="4" customFormat="1">
      <c r="AK9235" s="3">
        <v>9229</v>
      </c>
      <c r="AL9235" s="163">
        <v>8.2981023810264247</v>
      </c>
    </row>
    <row r="9236" spans="37:38" s="4" customFormat="1">
      <c r="AK9236" s="3">
        <v>9230</v>
      </c>
      <c r="AL9236" s="163">
        <v>8.2993664370542461</v>
      </c>
    </row>
    <row r="9237" spans="37:38" s="4" customFormat="1">
      <c r="AK9237" s="3">
        <v>9231</v>
      </c>
      <c r="AL9237" s="163">
        <v>8.3006317316155815</v>
      </c>
    </row>
    <row r="9238" spans="37:38" s="4" customFormat="1">
      <c r="AK9238" s="3">
        <v>9232</v>
      </c>
      <c r="AL9238" s="163">
        <v>8.3018982660735929</v>
      </c>
    </row>
    <row r="9239" spans="37:38" s="4" customFormat="1">
      <c r="AK9239" s="3">
        <v>9233</v>
      </c>
      <c r="AL9239" s="163">
        <v>8.3031660417919966</v>
      </c>
    </row>
    <row r="9240" spans="37:38" s="4" customFormat="1">
      <c r="AK9240" s="3">
        <v>9234</v>
      </c>
      <c r="AL9240" s="163">
        <v>8.3044350601353187</v>
      </c>
    </row>
    <row r="9241" spans="37:38" s="4" customFormat="1">
      <c r="AK9241" s="3">
        <v>9235</v>
      </c>
      <c r="AL9241" s="163">
        <v>8.305705322468981</v>
      </c>
    </row>
    <row r="9242" spans="37:38" s="4" customFormat="1">
      <c r="AK9242" s="3">
        <v>9236</v>
      </c>
      <c r="AL9242" s="163">
        <v>8.3069768301590017</v>
      </c>
    </row>
    <row r="9243" spans="37:38" s="4" customFormat="1">
      <c r="AK9243" s="3">
        <v>9237</v>
      </c>
      <c r="AL9243" s="163">
        <v>8.3082495845721667</v>
      </c>
    </row>
    <row r="9244" spans="37:38" s="4" customFormat="1">
      <c r="AK9244" s="3">
        <v>9238</v>
      </c>
      <c r="AL9244" s="163">
        <v>8.3095235870761854</v>
      </c>
    </row>
    <row r="9245" spans="37:38" s="4" customFormat="1">
      <c r="AK9245" s="3">
        <v>9239</v>
      </c>
      <c r="AL9245" s="163">
        <v>8.3107988390393785</v>
      </c>
    </row>
    <row r="9246" spans="37:38" s="4" customFormat="1">
      <c r="AK9246" s="3">
        <v>9240</v>
      </c>
      <c r="AL9246" s="163">
        <v>8.3120753418310613</v>
      </c>
    </row>
    <row r="9247" spans="37:38" s="4" customFormat="1">
      <c r="AK9247" s="3">
        <v>9241</v>
      </c>
      <c r="AL9247" s="163">
        <v>8.3133530968209186</v>
      </c>
    </row>
    <row r="9248" spans="37:38" s="4" customFormat="1">
      <c r="AK9248" s="3">
        <v>9242</v>
      </c>
      <c r="AL9248" s="163">
        <v>8.3146321053798857</v>
      </c>
    </row>
    <row r="9249" spans="37:38" s="4" customFormat="1">
      <c r="AK9249" s="3">
        <v>9243</v>
      </c>
      <c r="AL9249" s="163">
        <v>8.3159123688792533</v>
      </c>
    </row>
    <row r="9250" spans="37:38" s="4" customFormat="1">
      <c r="AK9250" s="3">
        <v>9244</v>
      </c>
      <c r="AL9250" s="163">
        <v>8.3171938886913068</v>
      </c>
    </row>
    <row r="9251" spans="37:38" s="4" customFormat="1">
      <c r="AK9251" s="3">
        <v>9245</v>
      </c>
      <c r="AL9251" s="163">
        <v>8.3184766661890137</v>
      </c>
    </row>
    <row r="9252" spans="37:38" s="4" customFormat="1">
      <c r="AK9252" s="3">
        <v>9246</v>
      </c>
      <c r="AL9252" s="163">
        <v>8.3197607027461373</v>
      </c>
    </row>
    <row r="9253" spans="37:38" s="4" customFormat="1">
      <c r="AK9253" s="3">
        <v>9247</v>
      </c>
      <c r="AL9253" s="163">
        <v>8.3210459997373505</v>
      </c>
    </row>
    <row r="9254" spans="37:38" s="4" customFormat="1">
      <c r="AK9254" s="3">
        <v>9248</v>
      </c>
      <c r="AL9254" s="163">
        <v>8.3223325585378234</v>
      </c>
    </row>
    <row r="9255" spans="37:38" s="4" customFormat="1">
      <c r="AK9255" s="3">
        <v>9249</v>
      </c>
      <c r="AL9255" s="163">
        <v>8.323620380523721</v>
      </c>
    </row>
    <row r="9256" spans="37:38" s="4" customFormat="1">
      <c r="AK9256" s="3">
        <v>9250</v>
      </c>
      <c r="AL9256" s="163">
        <v>8.3249094670716772</v>
      </c>
    </row>
    <row r="9257" spans="37:38" s="4" customFormat="1">
      <c r="AK9257" s="3">
        <v>9251</v>
      </c>
      <c r="AL9257" s="163">
        <v>8.3261998195595623</v>
      </c>
    </row>
    <row r="9258" spans="37:38" s="4" customFormat="1">
      <c r="AK9258" s="3">
        <v>9252</v>
      </c>
      <c r="AL9258" s="163">
        <v>8.3274914393656161</v>
      </c>
    </row>
    <row r="9259" spans="37:38" s="4" customFormat="1">
      <c r="AK9259" s="3">
        <v>9253</v>
      </c>
      <c r="AL9259" s="163">
        <v>8.3287843278690303</v>
      </c>
    </row>
    <row r="9260" spans="37:38" s="4" customFormat="1">
      <c r="AK9260" s="3">
        <v>9254</v>
      </c>
      <c r="AL9260" s="163">
        <v>8.3300784864497501</v>
      </c>
    </row>
    <row r="9261" spans="37:38" s="4" customFormat="1">
      <c r="AK9261" s="3">
        <v>9255</v>
      </c>
      <c r="AL9261" s="163">
        <v>8.3313739164884879</v>
      </c>
    </row>
    <row r="9262" spans="37:38" s="4" customFormat="1">
      <c r="AK9262" s="3">
        <v>9256</v>
      </c>
      <c r="AL9262" s="163">
        <v>8.3326706193666666</v>
      </c>
    </row>
    <row r="9263" spans="37:38" s="4" customFormat="1">
      <c r="AK9263" s="3">
        <v>9257</v>
      </c>
      <c r="AL9263" s="163">
        <v>8.3339685964665051</v>
      </c>
    </row>
    <row r="9264" spans="37:38" s="4" customFormat="1">
      <c r="AK9264" s="3">
        <v>9258</v>
      </c>
      <c r="AL9264" s="163">
        <v>8.3352678491711316</v>
      </c>
    </row>
    <row r="9265" spans="37:38" s="4" customFormat="1">
      <c r="AK9265" s="3">
        <v>9259</v>
      </c>
      <c r="AL9265" s="163">
        <v>8.3365683788641434</v>
      </c>
    </row>
    <row r="9266" spans="37:38" s="4" customFormat="1">
      <c r="AK9266" s="3">
        <v>9260</v>
      </c>
      <c r="AL9266" s="163">
        <v>8.3378701869302461</v>
      </c>
    </row>
    <row r="9267" spans="37:38" s="4" customFormat="1">
      <c r="AK9267" s="3">
        <v>9261</v>
      </c>
      <c r="AL9267" s="163">
        <v>8.339173274754728</v>
      </c>
    </row>
    <row r="9268" spans="37:38" s="4" customFormat="1">
      <c r="AK9268" s="3">
        <v>9262</v>
      </c>
      <c r="AL9268" s="163">
        <v>8.3404776437235313</v>
      </c>
    </row>
    <row r="9269" spans="37:38" s="4" customFormat="1">
      <c r="AK9269" s="3">
        <v>9263</v>
      </c>
      <c r="AL9269" s="163">
        <v>8.3417832952238058</v>
      </c>
    </row>
    <row r="9270" spans="37:38" s="4" customFormat="1">
      <c r="AK9270" s="3">
        <v>9264</v>
      </c>
      <c r="AL9270" s="163">
        <v>8.3430902306429147</v>
      </c>
    </row>
    <row r="9271" spans="37:38" s="4" customFormat="1">
      <c r="AK9271" s="3">
        <v>9265</v>
      </c>
      <c r="AL9271" s="163">
        <v>8.344398451369571</v>
      </c>
    </row>
    <row r="9272" spans="37:38" s="4" customFormat="1">
      <c r="AK9272" s="3">
        <v>9266</v>
      </c>
      <c r="AL9272" s="163">
        <v>8.3457079587926586</v>
      </c>
    </row>
    <row r="9273" spans="37:38" s="4" customFormat="1">
      <c r="AK9273" s="3">
        <v>9267</v>
      </c>
      <c r="AL9273" s="163">
        <v>8.3470187543022831</v>
      </c>
    </row>
    <row r="9274" spans="37:38" s="4" customFormat="1">
      <c r="AK9274" s="3">
        <v>9268</v>
      </c>
      <c r="AL9274" s="163">
        <v>8.3483308392891047</v>
      </c>
    </row>
    <row r="9275" spans="37:38" s="4" customFormat="1">
      <c r="AK9275" s="3">
        <v>9269</v>
      </c>
      <c r="AL9275" s="163">
        <v>8.349644215144707</v>
      </c>
    </row>
    <row r="9276" spans="37:38" s="4" customFormat="1">
      <c r="AK9276" s="3">
        <v>9270</v>
      </c>
      <c r="AL9276" s="163">
        <v>8.3509588832612849</v>
      </c>
    </row>
    <row r="9277" spans="37:38" s="4" customFormat="1">
      <c r="AK9277" s="3">
        <v>9271</v>
      </c>
      <c r="AL9277" s="163">
        <v>8.3522748450320279</v>
      </c>
    </row>
    <row r="9278" spans="37:38" s="4" customFormat="1">
      <c r="AK9278" s="3">
        <v>9272</v>
      </c>
      <c r="AL9278" s="163">
        <v>8.3535921018506798</v>
      </c>
    </row>
    <row r="9279" spans="37:38" s="4" customFormat="1">
      <c r="AK9279" s="3">
        <v>9273</v>
      </c>
      <c r="AL9279" s="163">
        <v>8.3549106551117092</v>
      </c>
    </row>
    <row r="9280" spans="37:38" s="4" customFormat="1">
      <c r="AK9280" s="3">
        <v>9274</v>
      </c>
      <c r="AL9280" s="163">
        <v>8.356230506210693</v>
      </c>
    </row>
    <row r="9281" spans="37:38" s="4" customFormat="1">
      <c r="AK9281" s="3">
        <v>9275</v>
      </c>
      <c r="AL9281" s="163">
        <v>8.3575516565436914</v>
      </c>
    </row>
    <row r="9282" spans="37:38" s="4" customFormat="1">
      <c r="AK9282" s="3">
        <v>9276</v>
      </c>
      <c r="AL9282" s="163">
        <v>8.358874107507603</v>
      </c>
    </row>
    <row r="9283" spans="37:38" s="4" customFormat="1">
      <c r="AK9283" s="3">
        <v>9277</v>
      </c>
      <c r="AL9283" s="163">
        <v>8.3601978605001364</v>
      </c>
    </row>
    <row r="9284" spans="37:38" s="4" customFormat="1">
      <c r="AK9284" s="3">
        <v>9278</v>
      </c>
      <c r="AL9284" s="163">
        <v>8.3615229169199381</v>
      </c>
    </row>
    <row r="9285" spans="37:38" s="4" customFormat="1">
      <c r="AK9285" s="3">
        <v>9279</v>
      </c>
      <c r="AL9285" s="163">
        <v>8.3628492781658537</v>
      </c>
    </row>
    <row r="9286" spans="37:38" s="4" customFormat="1">
      <c r="AK9286" s="3">
        <v>9280</v>
      </c>
      <c r="AL9286" s="163">
        <v>8.3641769456382491</v>
      </c>
    </row>
    <row r="9287" spans="37:38" s="4" customFormat="1">
      <c r="AK9287" s="3">
        <v>9281</v>
      </c>
      <c r="AL9287" s="163">
        <v>8.3655059207377462</v>
      </c>
    </row>
    <row r="9288" spans="37:38" s="4" customFormat="1">
      <c r="AK9288" s="3">
        <v>9282</v>
      </c>
      <c r="AL9288" s="163">
        <v>8.3668362048660327</v>
      </c>
    </row>
    <row r="9289" spans="37:38" s="4" customFormat="1">
      <c r="AK9289" s="3">
        <v>9283</v>
      </c>
      <c r="AL9289" s="163">
        <v>8.36816779942545</v>
      </c>
    </row>
    <row r="9290" spans="37:38" s="4" customFormat="1">
      <c r="AK9290" s="3">
        <v>9284</v>
      </c>
      <c r="AL9290" s="163">
        <v>8.3695007058189788</v>
      </c>
    </row>
    <row r="9291" spans="37:38" s="4" customFormat="1">
      <c r="AK9291" s="3">
        <v>9285</v>
      </c>
      <c r="AL9291" s="163">
        <v>8.3708349254506373</v>
      </c>
    </row>
    <row r="9292" spans="37:38" s="4" customFormat="1">
      <c r="AK9292" s="3">
        <v>9286</v>
      </c>
      <c r="AL9292" s="163">
        <v>8.3721704597251261</v>
      </c>
    </row>
    <row r="9293" spans="37:38" s="4" customFormat="1">
      <c r="AK9293" s="3">
        <v>9287</v>
      </c>
      <c r="AL9293" s="163">
        <v>8.373507310047799</v>
      </c>
    </row>
    <row r="9294" spans="37:38" s="4" customFormat="1">
      <c r="AK9294" s="3">
        <v>9288</v>
      </c>
      <c r="AL9294" s="163">
        <v>8.3748454778249055</v>
      </c>
    </row>
    <row r="9295" spans="37:38" s="4" customFormat="1">
      <c r="AK9295" s="3">
        <v>9289</v>
      </c>
      <c r="AL9295" s="163">
        <v>8.3761849644634907</v>
      </c>
    </row>
    <row r="9296" spans="37:38" s="4" customFormat="1">
      <c r="AK9296" s="3">
        <v>9290</v>
      </c>
      <c r="AL9296" s="163">
        <v>8.3775257713713529</v>
      </c>
    </row>
    <row r="9297" spans="37:38" s="4" customFormat="1">
      <c r="AK9297" s="3">
        <v>9291</v>
      </c>
      <c r="AL9297" s="163">
        <v>8.378867899957001</v>
      </c>
    </row>
    <row r="9298" spans="37:38" s="4" customFormat="1">
      <c r="AK9298" s="3">
        <v>9292</v>
      </c>
      <c r="AL9298" s="163">
        <v>8.3802113516298391</v>
      </c>
    </row>
    <row r="9299" spans="37:38" s="4" customFormat="1">
      <c r="AK9299" s="3">
        <v>9293</v>
      </c>
      <c r="AL9299" s="163">
        <v>8.3815561277998398</v>
      </c>
    </row>
    <row r="9300" spans="37:38" s="4" customFormat="1">
      <c r="AK9300" s="3">
        <v>9294</v>
      </c>
      <c r="AL9300" s="163">
        <v>8.3829022298781126</v>
      </c>
    </row>
    <row r="9301" spans="37:38" s="4" customFormat="1">
      <c r="AK9301" s="3">
        <v>9295</v>
      </c>
      <c r="AL9301" s="163">
        <v>8.3842496592761364</v>
      </c>
    </row>
    <row r="9302" spans="37:38" s="4" customFormat="1">
      <c r="AK9302" s="3">
        <v>9296</v>
      </c>
      <c r="AL9302" s="163">
        <v>8.3855984174065412</v>
      </c>
    </row>
    <row r="9303" spans="37:38" s="4" customFormat="1">
      <c r="AK9303" s="3">
        <v>9297</v>
      </c>
      <c r="AL9303" s="163">
        <v>8.3869485056823123</v>
      </c>
    </row>
    <row r="9304" spans="37:38" s="4" customFormat="1">
      <c r="AK9304" s="3">
        <v>9298</v>
      </c>
      <c r="AL9304" s="163">
        <v>8.3882999255176856</v>
      </c>
    </row>
    <row r="9305" spans="37:38" s="4" customFormat="1">
      <c r="AK9305" s="3">
        <v>9299</v>
      </c>
      <c r="AL9305" s="163">
        <v>8.3896526783271952</v>
      </c>
    </row>
    <row r="9306" spans="37:38" s="4" customFormat="1">
      <c r="AK9306" s="3">
        <v>9300</v>
      </c>
      <c r="AL9306" s="163">
        <v>8.3910067655266403</v>
      </c>
    </row>
    <row r="9307" spans="37:38" s="4" customFormat="1">
      <c r="AK9307" s="3">
        <v>9301</v>
      </c>
      <c r="AL9307" s="163">
        <v>8.3923621885322888</v>
      </c>
    </row>
    <row r="9308" spans="37:38" s="4" customFormat="1">
      <c r="AK9308" s="3">
        <v>9302</v>
      </c>
      <c r="AL9308" s="163">
        <v>8.3937189487612613</v>
      </c>
    </row>
    <row r="9309" spans="37:38" s="4" customFormat="1">
      <c r="AK9309" s="3">
        <v>9303</v>
      </c>
      <c r="AL9309" s="163">
        <v>8.3950770476314176</v>
      </c>
    </row>
    <row r="9310" spans="37:38" s="4" customFormat="1">
      <c r="AK9310" s="3">
        <v>9304</v>
      </c>
      <c r="AL9310" s="163">
        <v>8.3964364865614698</v>
      </c>
    </row>
    <row r="9311" spans="37:38" s="4" customFormat="1">
      <c r="AK9311" s="3">
        <v>9305</v>
      </c>
      <c r="AL9311" s="163">
        <v>8.3977972669707981</v>
      </c>
    </row>
    <row r="9312" spans="37:38" s="4" customFormat="1">
      <c r="AK9312" s="3">
        <v>9306</v>
      </c>
      <c r="AL9312" s="163">
        <v>8.3991593902798769</v>
      </c>
    </row>
    <row r="9313" spans="37:38" s="4" customFormat="1">
      <c r="AK9313" s="3">
        <v>9307</v>
      </c>
      <c r="AL9313" s="163">
        <v>8.4005228579094364</v>
      </c>
    </row>
    <row r="9314" spans="37:38" s="4" customFormat="1">
      <c r="AK9314" s="3">
        <v>9308</v>
      </c>
      <c r="AL9314" s="163">
        <v>8.4018876712815</v>
      </c>
    </row>
    <row r="9315" spans="37:38" s="4" customFormat="1">
      <c r="AK9315" s="3">
        <v>9309</v>
      </c>
      <c r="AL9315" s="163">
        <v>8.4032538318184606</v>
      </c>
    </row>
    <row r="9316" spans="37:38" s="4" customFormat="1">
      <c r="AK9316" s="3">
        <v>9310</v>
      </c>
      <c r="AL9316" s="163">
        <v>8.4046213409438906</v>
      </c>
    </row>
    <row r="9317" spans="37:38" s="4" customFormat="1">
      <c r="AK9317" s="3">
        <v>9311</v>
      </c>
      <c r="AL9317" s="163">
        <v>8.4059902000817459</v>
      </c>
    </row>
    <row r="9318" spans="37:38" s="4" customFormat="1">
      <c r="AK9318" s="3">
        <v>9312</v>
      </c>
      <c r="AL9318" s="163">
        <v>8.4073604106570201</v>
      </c>
    </row>
    <row r="9319" spans="37:38" s="4" customFormat="1">
      <c r="AK9319" s="3">
        <v>9313</v>
      </c>
      <c r="AL9319" s="163">
        <v>8.4087319740953888</v>
      </c>
    </row>
    <row r="9320" spans="37:38" s="4" customFormat="1">
      <c r="AK9320" s="3">
        <v>9314</v>
      </c>
      <c r="AL9320" s="163">
        <v>8.4101048918233943</v>
      </c>
    </row>
    <row r="9321" spans="37:38" s="4" customFormat="1">
      <c r="AK9321" s="3">
        <v>9315</v>
      </c>
      <c r="AL9321" s="163">
        <v>8.4114791652682044</v>
      </c>
    </row>
    <row r="9322" spans="37:38" s="4" customFormat="1">
      <c r="AK9322" s="3">
        <v>9316</v>
      </c>
      <c r="AL9322" s="163">
        <v>8.4128547958580953</v>
      </c>
    </row>
    <row r="9323" spans="37:38" s="4" customFormat="1">
      <c r="AK9323" s="3">
        <v>9317</v>
      </c>
      <c r="AL9323" s="163">
        <v>8.4142317850216699</v>
      </c>
    </row>
    <row r="9324" spans="37:38" s="4" customFormat="1">
      <c r="AK9324" s="3">
        <v>9318</v>
      </c>
      <c r="AL9324" s="163">
        <v>8.4156101341886114</v>
      </c>
    </row>
    <row r="9325" spans="37:38" s="4" customFormat="1">
      <c r="AK9325" s="3">
        <v>9319</v>
      </c>
      <c r="AL9325" s="163">
        <v>8.416989844789299</v>
      </c>
    </row>
    <row r="9326" spans="37:38" s="4" customFormat="1">
      <c r="AK9326" s="3">
        <v>9320</v>
      </c>
      <c r="AL9326" s="163">
        <v>8.4183709182549933</v>
      </c>
    </row>
    <row r="9327" spans="37:38" s="4" customFormat="1">
      <c r="AK9327" s="3">
        <v>9321</v>
      </c>
      <c r="AL9327" s="163">
        <v>8.4197533560174662</v>
      </c>
    </row>
    <row r="9328" spans="37:38" s="4" customFormat="1">
      <c r="AK9328" s="3">
        <v>9322</v>
      </c>
      <c r="AL9328" s="163">
        <v>8.4211371595096267</v>
      </c>
    </row>
    <row r="9329" spans="37:38" s="4" customFormat="1">
      <c r="AK9329" s="3">
        <v>9323</v>
      </c>
      <c r="AL9329" s="163">
        <v>8.4225223301650658</v>
      </c>
    </row>
    <row r="9330" spans="37:38" s="4" customFormat="1">
      <c r="AK9330" s="3">
        <v>9324</v>
      </c>
      <c r="AL9330" s="163">
        <v>8.4239088694178719</v>
      </c>
    </row>
    <row r="9331" spans="37:38" s="4" customFormat="1">
      <c r="AK9331" s="3">
        <v>9325</v>
      </c>
      <c r="AL9331" s="163">
        <v>8.425296778703327</v>
      </c>
    </row>
    <row r="9332" spans="37:38" s="4" customFormat="1">
      <c r="AK9332" s="3">
        <v>9326</v>
      </c>
      <c r="AL9332" s="163">
        <v>8.426686059457225</v>
      </c>
    </row>
    <row r="9333" spans="37:38" s="4" customFormat="1">
      <c r="AK9333" s="3">
        <v>9327</v>
      </c>
      <c r="AL9333" s="163">
        <v>8.4280767131162122</v>
      </c>
    </row>
    <row r="9334" spans="37:38" s="4" customFormat="1">
      <c r="AK9334" s="3">
        <v>9328</v>
      </c>
      <c r="AL9334" s="163">
        <v>8.4294687411177875</v>
      </c>
    </row>
    <row r="9335" spans="37:38" s="4" customFormat="1">
      <c r="AK9335" s="3">
        <v>9329</v>
      </c>
      <c r="AL9335" s="163">
        <v>8.4308621449001038</v>
      </c>
    </row>
    <row r="9336" spans="37:38" s="4" customFormat="1">
      <c r="AK9336" s="3">
        <v>9330</v>
      </c>
      <c r="AL9336" s="163">
        <v>8.4322569259023226</v>
      </c>
    </row>
    <row r="9337" spans="37:38" s="4" customFormat="1">
      <c r="AK9337" s="3">
        <v>9331</v>
      </c>
      <c r="AL9337" s="163">
        <v>8.4336530855640461</v>
      </c>
    </row>
    <row r="9338" spans="37:38" s="4" customFormat="1">
      <c r="AK9338" s="3">
        <v>9332</v>
      </c>
      <c r="AL9338" s="163">
        <v>8.4350506253259994</v>
      </c>
    </row>
    <row r="9339" spans="37:38" s="4" customFormat="1">
      <c r="AK9339" s="3">
        <v>9333</v>
      </c>
      <c r="AL9339" s="163">
        <v>8.4364495466295608</v>
      </c>
    </row>
    <row r="9340" spans="37:38" s="4" customFormat="1">
      <c r="AK9340" s="3">
        <v>9334</v>
      </c>
      <c r="AL9340" s="163">
        <v>8.4378498509167486</v>
      </c>
    </row>
    <row r="9341" spans="37:38" s="4" customFormat="1">
      <c r="AK9341" s="3">
        <v>9335</v>
      </c>
      <c r="AL9341" s="163">
        <v>8.439251539630618</v>
      </c>
    </row>
    <row r="9342" spans="37:38" s="4" customFormat="1">
      <c r="AK9342" s="3">
        <v>9336</v>
      </c>
      <c r="AL9342" s="163">
        <v>8.4406546142147931</v>
      </c>
    </row>
    <row r="9343" spans="37:38" s="4" customFormat="1">
      <c r="AK9343" s="3">
        <v>9337</v>
      </c>
      <c r="AL9343" s="163">
        <v>8.442059076113992</v>
      </c>
    </row>
    <row r="9344" spans="37:38" s="4" customFormat="1">
      <c r="AK9344" s="3">
        <v>9338</v>
      </c>
      <c r="AL9344" s="163">
        <v>8.4434649267732169</v>
      </c>
    </row>
    <row r="9345" spans="37:38" s="4" customFormat="1">
      <c r="AK9345" s="3">
        <v>9339</v>
      </c>
      <c r="AL9345" s="163">
        <v>8.444872167638735</v>
      </c>
    </row>
    <row r="9346" spans="37:38" s="4" customFormat="1">
      <c r="AK9346" s="3">
        <v>9340</v>
      </c>
      <c r="AL9346" s="163">
        <v>8.4462808001573819</v>
      </c>
    </row>
    <row r="9347" spans="37:38" s="4" customFormat="1">
      <c r="AK9347" s="3">
        <v>9341</v>
      </c>
      <c r="AL9347" s="163">
        <v>8.4476908257768457</v>
      </c>
    </row>
    <row r="9348" spans="37:38" s="4" customFormat="1">
      <c r="AK9348" s="3">
        <v>9342</v>
      </c>
      <c r="AL9348" s="163">
        <v>8.4491022459454825</v>
      </c>
    </row>
    <row r="9349" spans="37:38" s="4" customFormat="1">
      <c r="AK9349" s="3">
        <v>9343</v>
      </c>
      <c r="AL9349" s="163">
        <v>8.4505150621125722</v>
      </c>
    </row>
    <row r="9350" spans="37:38" s="4" customFormat="1">
      <c r="AK9350" s="3">
        <v>9344</v>
      </c>
      <c r="AL9350" s="163">
        <v>8.4519292757281477</v>
      </c>
    </row>
    <row r="9351" spans="37:38" s="4" customFormat="1">
      <c r="AK9351" s="3">
        <v>9345</v>
      </c>
      <c r="AL9351" s="163">
        <v>8.4533448882429667</v>
      </c>
    </row>
    <row r="9352" spans="37:38" s="4" customFormat="1">
      <c r="AK9352" s="3">
        <v>9346</v>
      </c>
      <c r="AL9352" s="163">
        <v>8.4547619011085402</v>
      </c>
    </row>
    <row r="9353" spans="37:38" s="4" customFormat="1">
      <c r="AK9353" s="3">
        <v>9347</v>
      </c>
      <c r="AL9353" s="163">
        <v>8.4561803157774023</v>
      </c>
    </row>
    <row r="9354" spans="37:38" s="4" customFormat="1">
      <c r="AK9354" s="3">
        <v>9348</v>
      </c>
      <c r="AL9354" s="163">
        <v>8.4576001337025986</v>
      </c>
    </row>
    <row r="9355" spans="37:38" s="4" customFormat="1">
      <c r="AK9355" s="3">
        <v>9349</v>
      </c>
      <c r="AL9355" s="163">
        <v>8.4590213563382548</v>
      </c>
    </row>
    <row r="9356" spans="37:38" s="4" customFormat="1">
      <c r="AK9356" s="3">
        <v>9350</v>
      </c>
      <c r="AL9356" s="163">
        <v>8.4604439851388946</v>
      </c>
    </row>
    <row r="9357" spans="37:38" s="4" customFormat="1">
      <c r="AK9357" s="3">
        <v>9351</v>
      </c>
      <c r="AL9357" s="163">
        <v>8.4618680215601643</v>
      </c>
    </row>
    <row r="9358" spans="37:38" s="4" customFormat="1">
      <c r="AK9358" s="3">
        <v>9352</v>
      </c>
      <c r="AL9358" s="163">
        <v>8.4632934670583495</v>
      </c>
    </row>
    <row r="9359" spans="37:38" s="4" customFormat="1">
      <c r="AK9359" s="3">
        <v>9353</v>
      </c>
      <c r="AL9359" s="163">
        <v>8.4647203230905887</v>
      </c>
    </row>
    <row r="9360" spans="37:38" s="4" customFormat="1">
      <c r="AK9360" s="3">
        <v>9354</v>
      </c>
      <c r="AL9360" s="163">
        <v>8.4661485911146457</v>
      </c>
    </row>
    <row r="9361" spans="37:38" s="4" customFormat="1">
      <c r="AK9361" s="3">
        <v>9355</v>
      </c>
      <c r="AL9361" s="163">
        <v>8.4675782725893356</v>
      </c>
    </row>
    <row r="9362" spans="37:38" s="4" customFormat="1">
      <c r="AK9362" s="3">
        <v>9356</v>
      </c>
      <c r="AL9362" s="163">
        <v>8.4690093689741559</v>
      </c>
    </row>
    <row r="9363" spans="37:38" s="4" customFormat="1">
      <c r="AK9363" s="3">
        <v>9357</v>
      </c>
      <c r="AL9363" s="163">
        <v>8.4704418817292293</v>
      </c>
    </row>
    <row r="9364" spans="37:38" s="4" customFormat="1">
      <c r="AK9364" s="3">
        <v>9358</v>
      </c>
      <c r="AL9364" s="163">
        <v>8.4718758123156874</v>
      </c>
    </row>
    <row r="9365" spans="37:38" s="4" customFormat="1">
      <c r="AK9365" s="3">
        <v>9359</v>
      </c>
      <c r="AL9365" s="163">
        <v>8.4733111621954151</v>
      </c>
    </row>
    <row r="9366" spans="37:38" s="4" customFormat="1">
      <c r="AK9366" s="3">
        <v>9360</v>
      </c>
      <c r="AL9366" s="163">
        <v>8.474747932831022</v>
      </c>
    </row>
    <row r="9367" spans="37:38" s="4" customFormat="1">
      <c r="AK9367" s="3">
        <v>9361</v>
      </c>
      <c r="AL9367" s="163">
        <v>8.4761861256858282</v>
      </c>
    </row>
    <row r="9368" spans="37:38" s="4" customFormat="1">
      <c r="AK9368" s="3">
        <v>9362</v>
      </c>
      <c r="AL9368" s="163">
        <v>8.4776257422242054</v>
      </c>
    </row>
    <row r="9369" spans="37:38" s="4" customFormat="1">
      <c r="AK9369" s="3">
        <v>9363</v>
      </c>
      <c r="AL9369" s="163">
        <v>8.4790667839109517</v>
      </c>
    </row>
    <row r="9370" spans="37:38" s="4" customFormat="1">
      <c r="AK9370" s="3">
        <v>9364</v>
      </c>
      <c r="AL9370" s="163">
        <v>8.4805092522120162</v>
      </c>
    </row>
    <row r="9371" spans="37:38" s="4" customFormat="1">
      <c r="AK9371" s="3">
        <v>9365</v>
      </c>
      <c r="AL9371" s="163">
        <v>8.4819531485939308</v>
      </c>
    </row>
    <row r="9372" spans="37:38" s="4" customFormat="1">
      <c r="AK9372" s="3">
        <v>9366</v>
      </c>
      <c r="AL9372" s="163">
        <v>8.4833984745240372</v>
      </c>
    </row>
    <row r="9373" spans="37:38" s="4" customFormat="1">
      <c r="AK9373" s="3">
        <v>9367</v>
      </c>
      <c r="AL9373" s="163">
        <v>8.4848452314705867</v>
      </c>
    </row>
    <row r="9374" spans="37:38" s="4" customFormat="1">
      <c r="AK9374" s="3">
        <v>9368</v>
      </c>
      <c r="AL9374" s="163">
        <v>8.4862934209024274</v>
      </c>
    </row>
    <row r="9375" spans="37:38" s="4" customFormat="1">
      <c r="AK9375" s="3">
        <v>9369</v>
      </c>
      <c r="AL9375" s="163">
        <v>8.4877430442894024</v>
      </c>
    </row>
    <row r="9376" spans="37:38" s="4" customFormat="1">
      <c r="AK9376" s="3">
        <v>9370</v>
      </c>
      <c r="AL9376" s="163">
        <v>8.4891941031019655</v>
      </c>
    </row>
    <row r="9377" spans="37:38" s="4" customFormat="1">
      <c r="AK9377" s="3">
        <v>9371</v>
      </c>
      <c r="AL9377" s="163">
        <v>8.4906465988116082</v>
      </c>
    </row>
    <row r="9378" spans="37:38" s="4" customFormat="1">
      <c r="AK9378" s="3">
        <v>9372</v>
      </c>
      <c r="AL9378" s="163">
        <v>8.4921005328901487</v>
      </c>
    </row>
    <row r="9379" spans="37:38" s="4" customFormat="1">
      <c r="AK9379" s="3">
        <v>9373</v>
      </c>
      <c r="AL9379" s="163">
        <v>8.4935559068108262</v>
      </c>
    </row>
    <row r="9380" spans="37:38" s="4" customFormat="1">
      <c r="AK9380" s="3">
        <v>9374</v>
      </c>
      <c r="AL9380" s="163">
        <v>8.495012722047079</v>
      </c>
    </row>
    <row r="9381" spans="37:38" s="4" customFormat="1">
      <c r="AK9381" s="3">
        <v>9375</v>
      </c>
      <c r="AL9381" s="163">
        <v>8.4964709800736813</v>
      </c>
    </row>
    <row r="9382" spans="37:38" s="4" customFormat="1">
      <c r="AK9382" s="3">
        <v>9376</v>
      </c>
      <c r="AL9382" s="163">
        <v>8.4979306823656344</v>
      </c>
    </row>
    <row r="9383" spans="37:38" s="4" customFormat="1">
      <c r="AK9383" s="3">
        <v>9377</v>
      </c>
      <c r="AL9383" s="163">
        <v>8.4993918303991904</v>
      </c>
    </row>
    <row r="9384" spans="37:38" s="4" customFormat="1">
      <c r="AK9384" s="3">
        <v>9378</v>
      </c>
      <c r="AL9384" s="163">
        <v>8.5008544256513119</v>
      </c>
    </row>
    <row r="9385" spans="37:38" s="4" customFormat="1">
      <c r="AK9385" s="3">
        <v>9379</v>
      </c>
      <c r="AL9385" s="163">
        <v>8.5023184695995013</v>
      </c>
    </row>
    <row r="9386" spans="37:38" s="4" customFormat="1">
      <c r="AK9386" s="3">
        <v>9380</v>
      </c>
      <c r="AL9386" s="163">
        <v>8.5037839637224124</v>
      </c>
    </row>
    <row r="9387" spans="37:38" s="4" customFormat="1">
      <c r="AK9387" s="3">
        <v>9381</v>
      </c>
      <c r="AL9387" s="163">
        <v>8.5052509094990256</v>
      </c>
    </row>
    <row r="9388" spans="37:38" s="4" customFormat="1">
      <c r="AK9388" s="3">
        <v>9382</v>
      </c>
      <c r="AL9388" s="163">
        <v>8.5067193084096147</v>
      </c>
    </row>
    <row r="9389" spans="37:38" s="4" customFormat="1">
      <c r="AK9389" s="3">
        <v>9383</v>
      </c>
      <c r="AL9389" s="163">
        <v>8.5081891619348795</v>
      </c>
    </row>
    <row r="9390" spans="37:38" s="4" customFormat="1">
      <c r="AK9390" s="3">
        <v>9384</v>
      </c>
      <c r="AL9390" s="163">
        <v>8.509660471556586</v>
      </c>
    </row>
    <row r="9391" spans="37:38" s="4" customFormat="1">
      <c r="AK9391" s="3">
        <v>9385</v>
      </c>
      <c r="AL9391" s="163">
        <v>8.5111332387571821</v>
      </c>
    </row>
    <row r="9392" spans="37:38" s="4" customFormat="1">
      <c r="AK9392" s="3">
        <v>9386</v>
      </c>
      <c r="AL9392" s="163">
        <v>8.5126074650197552</v>
      </c>
    </row>
    <row r="9393" spans="37:38" s="4" customFormat="1">
      <c r="AK9393" s="3">
        <v>9387</v>
      </c>
      <c r="AL9393" s="163">
        <v>8.5140831518284585</v>
      </c>
    </row>
    <row r="9394" spans="37:38" s="4" customFormat="1">
      <c r="AK9394" s="3">
        <v>9388</v>
      </c>
      <c r="AL9394" s="163">
        <v>8.5155603006680565</v>
      </c>
    </row>
    <row r="9395" spans="37:38" s="4" customFormat="1">
      <c r="AK9395" s="3">
        <v>9389</v>
      </c>
      <c r="AL9395" s="163">
        <v>8.5170389130243365</v>
      </c>
    </row>
    <row r="9396" spans="37:38" s="4" customFormat="1">
      <c r="AK9396" s="3">
        <v>9390</v>
      </c>
      <c r="AL9396" s="163">
        <v>8.5185189903833844</v>
      </c>
    </row>
    <row r="9397" spans="37:38" s="4" customFormat="1">
      <c r="AK9397" s="3">
        <v>9391</v>
      </c>
      <c r="AL9397" s="163">
        <v>8.5200005342325369</v>
      </c>
    </row>
    <row r="9398" spans="37:38" s="4" customFormat="1">
      <c r="AK9398" s="3">
        <v>9392</v>
      </c>
      <c r="AL9398" s="163">
        <v>8.5214835460599545</v>
      </c>
    </row>
    <row r="9399" spans="37:38" s="4" customFormat="1">
      <c r="AK9399" s="3">
        <v>9393</v>
      </c>
      <c r="AL9399" s="163">
        <v>8.5229680273543096</v>
      </c>
    </row>
    <row r="9400" spans="37:38" s="4" customFormat="1">
      <c r="AK9400" s="3">
        <v>9394</v>
      </c>
      <c r="AL9400" s="163">
        <v>8.5244539796051413</v>
      </c>
    </row>
    <row r="9401" spans="37:38" s="4" customFormat="1">
      <c r="AK9401" s="3">
        <v>9395</v>
      </c>
      <c r="AL9401" s="163">
        <v>8.5259414043029693</v>
      </c>
    </row>
    <row r="9402" spans="37:38" s="4" customFormat="1">
      <c r="AK9402" s="3">
        <v>9396</v>
      </c>
      <c r="AL9402" s="163">
        <v>8.5274303029388534</v>
      </c>
    </row>
    <row r="9403" spans="37:38" s="4" customFormat="1">
      <c r="AK9403" s="3">
        <v>9397</v>
      </c>
      <c r="AL9403" s="163">
        <v>8.5289206770048764</v>
      </c>
    </row>
    <row r="9404" spans="37:38" s="4" customFormat="1">
      <c r="AK9404" s="3">
        <v>9398</v>
      </c>
      <c r="AL9404" s="163">
        <v>8.5304125279938035</v>
      </c>
    </row>
    <row r="9405" spans="37:38" s="4" customFormat="1">
      <c r="AK9405" s="3">
        <v>9399</v>
      </c>
      <c r="AL9405" s="163">
        <v>8.5319058573991384</v>
      </c>
    </row>
    <row r="9406" spans="37:38" s="4" customFormat="1">
      <c r="AK9406" s="3">
        <v>9400</v>
      </c>
      <c r="AL9406" s="163">
        <v>8.5334006667153091</v>
      </c>
    </row>
    <row r="9407" spans="37:38" s="4" customFormat="1">
      <c r="AK9407" s="3">
        <v>9401</v>
      </c>
      <c r="AL9407" s="163">
        <v>8.5348969574375246</v>
      </c>
    </row>
    <row r="9408" spans="37:38" s="4" customFormat="1">
      <c r="AK9408" s="3">
        <v>9402</v>
      </c>
      <c r="AL9408" s="163">
        <v>8.5363947310616766</v>
      </c>
    </row>
    <row r="9409" spans="37:38" s="4" customFormat="1">
      <c r="AK9409" s="3">
        <v>9403</v>
      </c>
      <c r="AL9409" s="163">
        <v>8.5378939890845089</v>
      </c>
    </row>
    <row r="9410" spans="37:38" s="4" customFormat="1">
      <c r="AK9410" s="3">
        <v>9404</v>
      </c>
      <c r="AL9410" s="163">
        <v>8.5393947330038031</v>
      </c>
    </row>
    <row r="9411" spans="37:38" s="4" customFormat="1">
      <c r="AK9411" s="3">
        <v>9405</v>
      </c>
      <c r="AL9411" s="163">
        <v>8.5408969643176249</v>
      </c>
    </row>
    <row r="9412" spans="37:38" s="4" customFormat="1">
      <c r="AK9412" s="3">
        <v>9406</v>
      </c>
      <c r="AL9412" s="163">
        <v>8.5424006845254041</v>
      </c>
    </row>
    <row r="9413" spans="37:38" s="4" customFormat="1">
      <c r="AK9413" s="3">
        <v>9407</v>
      </c>
      <c r="AL9413" s="163">
        <v>8.5439058951268549</v>
      </c>
    </row>
    <row r="9414" spans="37:38" s="4" customFormat="1">
      <c r="AK9414" s="3">
        <v>9408</v>
      </c>
      <c r="AL9414" s="163">
        <v>8.5454125976229705</v>
      </c>
    </row>
    <row r="9415" spans="37:38" s="4" customFormat="1">
      <c r="AK9415" s="3">
        <v>9409</v>
      </c>
      <c r="AL9415" s="163">
        <v>8.5469207935151559</v>
      </c>
    </row>
    <row r="9416" spans="37:38" s="4" customFormat="1">
      <c r="AK9416" s="3">
        <v>9410</v>
      </c>
      <c r="AL9416" s="163">
        <v>8.5484304843057686</v>
      </c>
    </row>
    <row r="9417" spans="37:38" s="4" customFormat="1">
      <c r="AK9417" s="3">
        <v>9411</v>
      </c>
      <c r="AL9417" s="163">
        <v>8.5499416714980185</v>
      </c>
    </row>
    <row r="9418" spans="37:38" s="4" customFormat="1">
      <c r="AK9418" s="3">
        <v>9412</v>
      </c>
      <c r="AL9418" s="163">
        <v>8.5514543565958547</v>
      </c>
    </row>
    <row r="9419" spans="37:38" s="4" customFormat="1">
      <c r="AK9419" s="3">
        <v>9413</v>
      </c>
      <c r="AL9419" s="163">
        <v>8.5529685411040504</v>
      </c>
    </row>
    <row r="9420" spans="37:38" s="4" customFormat="1">
      <c r="AK9420" s="3">
        <v>9414</v>
      </c>
      <c r="AL9420" s="163">
        <v>8.5544842265281744</v>
      </c>
    </row>
    <row r="9421" spans="37:38" s="4" customFormat="1">
      <c r="AK9421" s="3">
        <v>9415</v>
      </c>
      <c r="AL9421" s="163">
        <v>8.5560014143744212</v>
      </c>
    </row>
    <row r="9422" spans="37:38" s="4" customFormat="1">
      <c r="AK9422" s="3">
        <v>9416</v>
      </c>
      <c r="AL9422" s="163">
        <v>8.5575201061502213</v>
      </c>
    </row>
    <row r="9423" spans="37:38" s="4" customFormat="1">
      <c r="AK9423" s="3">
        <v>9417</v>
      </c>
      <c r="AL9423" s="163">
        <v>8.5590403033632896</v>
      </c>
    </row>
    <row r="9424" spans="37:38" s="4" customFormat="1">
      <c r="AK9424" s="3">
        <v>9418</v>
      </c>
      <c r="AL9424" s="163">
        <v>8.5605620075224635</v>
      </c>
    </row>
    <row r="9425" spans="37:38" s="4" customFormat="1">
      <c r="AK9425" s="3">
        <v>9419</v>
      </c>
      <c r="AL9425" s="163">
        <v>8.5620852201373054</v>
      </c>
    </row>
    <row r="9426" spans="37:38" s="4" customFormat="1">
      <c r="AK9426" s="3">
        <v>9420</v>
      </c>
      <c r="AL9426" s="163">
        <v>8.5636099427182018</v>
      </c>
    </row>
    <row r="9427" spans="37:38" s="4" customFormat="1">
      <c r="AK9427" s="3">
        <v>9421</v>
      </c>
      <c r="AL9427" s="163">
        <v>8.5651361767763348</v>
      </c>
    </row>
    <row r="9428" spans="37:38" s="4" customFormat="1">
      <c r="AK9428" s="3">
        <v>9422</v>
      </c>
      <c r="AL9428" s="163">
        <v>8.5666639238235263</v>
      </c>
    </row>
    <row r="9429" spans="37:38" s="4" customFormat="1">
      <c r="AK9429" s="3">
        <v>9423</v>
      </c>
      <c r="AL9429" s="163">
        <v>8.5681931853725786</v>
      </c>
    </row>
    <row r="9430" spans="37:38" s="4" customFormat="1">
      <c r="AK9430" s="3">
        <v>9424</v>
      </c>
      <c r="AL9430" s="163">
        <v>8.5697239629372746</v>
      </c>
    </row>
    <row r="9431" spans="37:38" s="4" customFormat="1">
      <c r="AK9431" s="3">
        <v>9425</v>
      </c>
      <c r="AL9431" s="163">
        <v>8.5712562580316103</v>
      </c>
    </row>
    <row r="9432" spans="37:38" s="4" customFormat="1">
      <c r="AK9432" s="3">
        <v>9426</v>
      </c>
      <c r="AL9432" s="163">
        <v>8.5727900721710597</v>
      </c>
    </row>
    <row r="9433" spans="37:38" s="4" customFormat="1">
      <c r="AK9433" s="3">
        <v>9427</v>
      </c>
      <c r="AL9433" s="163">
        <v>8.5743254068714378</v>
      </c>
    </row>
    <row r="9434" spans="37:38" s="4" customFormat="1">
      <c r="AK9434" s="3">
        <v>9428</v>
      </c>
      <c r="AL9434" s="163">
        <v>8.575862263649654</v>
      </c>
    </row>
    <row r="9435" spans="37:38" s="4" customFormat="1">
      <c r="AK9435" s="3">
        <v>9429</v>
      </c>
      <c r="AL9435" s="163">
        <v>8.5774006440230153</v>
      </c>
    </row>
    <row r="9436" spans="37:38" s="4" customFormat="1">
      <c r="AK9436" s="3">
        <v>9430</v>
      </c>
      <c r="AL9436" s="163">
        <v>8.5789405495101079</v>
      </c>
    </row>
    <row r="9437" spans="37:38" s="4" customFormat="1">
      <c r="AK9437" s="3">
        <v>9431</v>
      </c>
      <c r="AL9437" s="163">
        <v>8.5804819816301574</v>
      </c>
    </row>
    <row r="9438" spans="37:38" s="4" customFormat="1">
      <c r="AK9438" s="3">
        <v>9432</v>
      </c>
      <c r="AL9438" s="163">
        <v>8.5820249419030858</v>
      </c>
    </row>
    <row r="9439" spans="37:38" s="4" customFormat="1">
      <c r="AK9439" s="3">
        <v>9433</v>
      </c>
      <c r="AL9439" s="163">
        <v>8.5835694318494973</v>
      </c>
    </row>
    <row r="9440" spans="37:38" s="4" customFormat="1">
      <c r="AK9440" s="3">
        <v>9434</v>
      </c>
      <c r="AL9440" s="163">
        <v>8.5851154529912321</v>
      </c>
    </row>
    <row r="9441" spans="37:38" s="4" customFormat="1">
      <c r="AK9441" s="3">
        <v>9435</v>
      </c>
      <c r="AL9441" s="163">
        <v>8.5866630068505287</v>
      </c>
    </row>
    <row r="9442" spans="37:38" s="4" customFormat="1">
      <c r="AK9442" s="3">
        <v>9436</v>
      </c>
      <c r="AL9442" s="163">
        <v>8.5882120949507339</v>
      </c>
    </row>
    <row r="9443" spans="37:38" s="4" customFormat="1">
      <c r="AK9443" s="3">
        <v>9437</v>
      </c>
      <c r="AL9443" s="163">
        <v>8.5897627188156775</v>
      </c>
    </row>
    <row r="9444" spans="37:38" s="4" customFormat="1">
      <c r="AK9444" s="3">
        <v>9438</v>
      </c>
      <c r="AL9444" s="163">
        <v>8.5913148799702697</v>
      </c>
    </row>
    <row r="9445" spans="37:38" s="4" customFormat="1">
      <c r="AK9445" s="3">
        <v>9439</v>
      </c>
      <c r="AL9445" s="163">
        <v>8.5928685799400881</v>
      </c>
    </row>
    <row r="9446" spans="37:38" s="4" customFormat="1">
      <c r="AK9446" s="3">
        <v>9440</v>
      </c>
      <c r="AL9446" s="163">
        <v>8.5944238202515777</v>
      </c>
    </row>
    <row r="9447" spans="37:38" s="4" customFormat="1">
      <c r="AK9447" s="3">
        <v>9441</v>
      </c>
      <c r="AL9447" s="163">
        <v>8.595980602431851</v>
      </c>
    </row>
    <row r="9448" spans="37:38" s="4" customFormat="1">
      <c r="AK9448" s="3">
        <v>9442</v>
      </c>
      <c r="AL9448" s="163">
        <v>8.5975389280091008</v>
      </c>
    </row>
    <row r="9449" spans="37:38" s="4" customFormat="1">
      <c r="AK9449" s="3">
        <v>9443</v>
      </c>
      <c r="AL9449" s="163">
        <v>8.5990987985119745</v>
      </c>
    </row>
    <row r="9450" spans="37:38" s="4" customFormat="1">
      <c r="AK9450" s="3">
        <v>9444</v>
      </c>
      <c r="AL9450" s="163">
        <v>8.6006602154702705</v>
      </c>
    </row>
    <row r="9451" spans="37:38" s="4" customFormat="1">
      <c r="AK9451" s="3">
        <v>9445</v>
      </c>
      <c r="AL9451" s="163">
        <v>8.602223180414299</v>
      </c>
    </row>
    <row r="9452" spans="37:38" s="4" customFormat="1">
      <c r="AK9452" s="3">
        <v>9446</v>
      </c>
      <c r="AL9452" s="163">
        <v>8.6037876948753791</v>
      </c>
    </row>
    <row r="9453" spans="37:38" s="4" customFormat="1">
      <c r="AK9453" s="3">
        <v>9447</v>
      </c>
      <c r="AL9453" s="163">
        <v>8.605353760385583</v>
      </c>
    </row>
    <row r="9454" spans="37:38" s="4" customFormat="1">
      <c r="AK9454" s="3">
        <v>9448</v>
      </c>
      <c r="AL9454" s="163">
        <v>8.6069213784777219</v>
      </c>
    </row>
    <row r="9455" spans="37:38" s="4" customFormat="1">
      <c r="AK9455" s="3">
        <v>9449</v>
      </c>
      <c r="AL9455" s="163">
        <v>8.6084905506854028</v>
      </c>
    </row>
    <row r="9456" spans="37:38" s="4" customFormat="1">
      <c r="AK9456" s="3">
        <v>9450</v>
      </c>
      <c r="AL9456" s="163">
        <v>8.6100612785431423</v>
      </c>
    </row>
    <row r="9457" spans="37:38" s="4" customFormat="1">
      <c r="AK9457" s="3">
        <v>9451</v>
      </c>
      <c r="AL9457" s="163">
        <v>8.6116335635863521</v>
      </c>
    </row>
    <row r="9458" spans="37:38" s="4" customFormat="1">
      <c r="AK9458" s="3">
        <v>9452</v>
      </c>
      <c r="AL9458" s="163">
        <v>8.6132074073508704</v>
      </c>
    </row>
    <row r="9459" spans="37:38" s="4" customFormat="1">
      <c r="AK9459" s="3">
        <v>9453</v>
      </c>
      <c r="AL9459" s="163">
        <v>8.614782811373729</v>
      </c>
    </row>
    <row r="9460" spans="37:38" s="4" customFormat="1">
      <c r="AK9460" s="3">
        <v>9454</v>
      </c>
      <c r="AL9460" s="163">
        <v>8.6163597771926419</v>
      </c>
    </row>
    <row r="9461" spans="37:38" s="4" customFormat="1">
      <c r="AK9461" s="3">
        <v>9455</v>
      </c>
      <c r="AL9461" s="163">
        <v>8.6179383063460193</v>
      </c>
    </row>
    <row r="9462" spans="37:38" s="4" customFormat="1">
      <c r="AK9462" s="3">
        <v>9456</v>
      </c>
      <c r="AL9462" s="163">
        <v>8.6195184003732663</v>
      </c>
    </row>
    <row r="9463" spans="37:38" s="4" customFormat="1">
      <c r="AK9463" s="3">
        <v>9457</v>
      </c>
      <c r="AL9463" s="163">
        <v>8.6211000608144133</v>
      </c>
    </row>
    <row r="9464" spans="37:38" s="4" customFormat="1">
      <c r="AK9464" s="3">
        <v>9458</v>
      </c>
      <c r="AL9464" s="163">
        <v>8.6226832892105136</v>
      </c>
    </row>
    <row r="9465" spans="37:38" s="4" customFormat="1">
      <c r="AK9465" s="3">
        <v>9459</v>
      </c>
      <c r="AL9465" s="163">
        <v>8.6242680871030899</v>
      </c>
    </row>
    <row r="9466" spans="37:38" s="4" customFormat="1">
      <c r="AK9466" s="3">
        <v>9460</v>
      </c>
      <c r="AL9466" s="163">
        <v>8.6258544560349719</v>
      </c>
    </row>
    <row r="9467" spans="37:38" s="4" customFormat="1">
      <c r="AK9467" s="3">
        <v>9461</v>
      </c>
      <c r="AL9467" s="163">
        <v>8.6274423975493164</v>
      </c>
    </row>
    <row r="9468" spans="37:38" s="4" customFormat="1">
      <c r="AK9468" s="3">
        <v>9462</v>
      </c>
      <c r="AL9468" s="163">
        <v>8.6290319131903459</v>
      </c>
    </row>
    <row r="9469" spans="37:38" s="4" customFormat="1">
      <c r="AK9469" s="3">
        <v>9463</v>
      </c>
      <c r="AL9469" s="163">
        <v>8.6306230045029082</v>
      </c>
    </row>
    <row r="9470" spans="37:38" s="4" customFormat="1">
      <c r="AK9470" s="3">
        <v>9464</v>
      </c>
      <c r="AL9470" s="163">
        <v>8.6322156730329169</v>
      </c>
    </row>
    <row r="9471" spans="37:38" s="4" customFormat="1">
      <c r="AK9471" s="3">
        <v>9465</v>
      </c>
      <c r="AL9471" s="163">
        <v>8.6338099203270673</v>
      </c>
    </row>
    <row r="9472" spans="37:38" s="4" customFormat="1">
      <c r="AK9472" s="3">
        <v>9466</v>
      </c>
      <c r="AL9472" s="163">
        <v>8.635405747932424</v>
      </c>
    </row>
    <row r="9473" spans="37:38" s="4" customFormat="1">
      <c r="AK9473" s="3">
        <v>9467</v>
      </c>
      <c r="AL9473" s="163">
        <v>8.6370031573974728</v>
      </c>
    </row>
    <row r="9474" spans="37:38" s="4" customFormat="1">
      <c r="AK9474" s="3">
        <v>9468</v>
      </c>
      <c r="AL9474" s="163">
        <v>8.6386021502711685</v>
      </c>
    </row>
    <row r="9475" spans="37:38" s="4" customFormat="1">
      <c r="AK9475" s="3">
        <v>9469</v>
      </c>
      <c r="AL9475" s="163">
        <v>8.6402027281032616</v>
      </c>
    </row>
    <row r="9476" spans="37:38" s="4" customFormat="1">
      <c r="AK9476" s="3">
        <v>9470</v>
      </c>
      <c r="AL9476" s="163">
        <v>8.641804892444469</v>
      </c>
    </row>
    <row r="9477" spans="37:38" s="4" customFormat="1">
      <c r="AK9477" s="3">
        <v>9471</v>
      </c>
      <c r="AL9477" s="163">
        <v>8.6434086448461471</v>
      </c>
    </row>
    <row r="9478" spans="37:38" s="4" customFormat="1">
      <c r="AK9478" s="3">
        <v>9472</v>
      </c>
      <c r="AL9478" s="163">
        <v>8.6450139868606186</v>
      </c>
    </row>
    <row r="9479" spans="37:38" s="4" customFormat="1">
      <c r="AK9479" s="3">
        <v>9473</v>
      </c>
      <c r="AL9479" s="163">
        <v>8.6466209200409452</v>
      </c>
    </row>
    <row r="9480" spans="37:38" s="4" customFormat="1">
      <c r="AK9480" s="3">
        <v>9474</v>
      </c>
      <c r="AL9480" s="163">
        <v>8.6482294459409843</v>
      </c>
    </row>
    <row r="9481" spans="37:38" s="4" customFormat="1">
      <c r="AK9481" s="3">
        <v>9475</v>
      </c>
      <c r="AL9481" s="163">
        <v>8.6498395661154746</v>
      </c>
    </row>
    <row r="9482" spans="37:38" s="4" customFormat="1">
      <c r="AK9482" s="3">
        <v>9476</v>
      </c>
      <c r="AL9482" s="163">
        <v>8.6514512821198508</v>
      </c>
    </row>
    <row r="9483" spans="37:38" s="4" customFormat="1">
      <c r="AK9483" s="3">
        <v>9477</v>
      </c>
      <c r="AL9483" s="163">
        <v>8.6530645955104717</v>
      </c>
    </row>
    <row r="9484" spans="37:38" s="4" customFormat="1">
      <c r="AK9484" s="3">
        <v>9478</v>
      </c>
      <c r="AL9484" s="163">
        <v>8.6546795078444205</v>
      </c>
    </row>
    <row r="9485" spans="37:38" s="4" customFormat="1">
      <c r="AK9485" s="3">
        <v>9479</v>
      </c>
      <c r="AL9485" s="163">
        <v>8.656296020679676</v>
      </c>
    </row>
    <row r="9486" spans="37:38" s="4" customFormat="1">
      <c r="AK9486" s="3">
        <v>9480</v>
      </c>
      <c r="AL9486" s="163">
        <v>8.657914135574913</v>
      </c>
    </row>
    <row r="9487" spans="37:38" s="4" customFormat="1">
      <c r="AK9487" s="3">
        <v>9481</v>
      </c>
      <c r="AL9487" s="163">
        <v>8.6595338540898013</v>
      </c>
    </row>
    <row r="9488" spans="37:38" s="4" customFormat="1">
      <c r="AK9488" s="3">
        <v>9482</v>
      </c>
      <c r="AL9488" s="163">
        <v>8.6611551777845932</v>
      </c>
    </row>
    <row r="9489" spans="37:38" s="4" customFormat="1">
      <c r="AK9489" s="3">
        <v>9483</v>
      </c>
      <c r="AL9489" s="163">
        <v>8.6627781082205644</v>
      </c>
    </row>
    <row r="9490" spans="37:38" s="4" customFormat="1">
      <c r="AK9490" s="3">
        <v>9484</v>
      </c>
      <c r="AL9490" s="163">
        <v>8.6644026469596014</v>
      </c>
    </row>
    <row r="9491" spans="37:38" s="4" customFormat="1">
      <c r="AK9491" s="3">
        <v>9485</v>
      </c>
      <c r="AL9491" s="163">
        <v>8.6660287955645998</v>
      </c>
    </row>
    <row r="9492" spans="37:38" s="4" customFormat="1">
      <c r="AK9492" s="3">
        <v>9486</v>
      </c>
      <c r="AL9492" s="163">
        <v>8.6676565555991942</v>
      </c>
    </row>
    <row r="9493" spans="37:38" s="4" customFormat="1">
      <c r="AK9493" s="3">
        <v>9487</v>
      </c>
      <c r="AL9493" s="163">
        <v>8.6692859286277724</v>
      </c>
    </row>
    <row r="9494" spans="37:38" s="4" customFormat="1">
      <c r="AK9494" s="3">
        <v>9488</v>
      </c>
      <c r="AL9494" s="163">
        <v>8.6709169162156172</v>
      </c>
    </row>
    <row r="9495" spans="37:38" s="4" customFormat="1">
      <c r="AK9495" s="3">
        <v>9489</v>
      </c>
      <c r="AL9495" s="163">
        <v>8.6725495199287082</v>
      </c>
    </row>
    <row r="9496" spans="37:38" s="4" customFormat="1">
      <c r="AK9496" s="3">
        <v>9490</v>
      </c>
      <c r="AL9496" s="163">
        <v>8.6741837413340335</v>
      </c>
    </row>
    <row r="9497" spans="37:38" s="4" customFormat="1">
      <c r="AK9497" s="3">
        <v>9491</v>
      </c>
      <c r="AL9497" s="163">
        <v>8.675819581999221</v>
      </c>
    </row>
    <row r="9498" spans="37:38" s="4" customFormat="1">
      <c r="AK9498" s="3">
        <v>9492</v>
      </c>
      <c r="AL9498" s="163">
        <v>8.6774570434927938</v>
      </c>
    </row>
    <row r="9499" spans="37:38" s="4" customFormat="1">
      <c r="AK9499" s="3">
        <v>9493</v>
      </c>
      <c r="AL9499" s="163">
        <v>8.6790961273839855</v>
      </c>
    </row>
    <row r="9500" spans="37:38" s="4" customFormat="1">
      <c r="AK9500" s="3">
        <v>9494</v>
      </c>
      <c r="AL9500" s="163">
        <v>8.6807368352430956</v>
      </c>
    </row>
    <row r="9501" spans="37:38" s="4" customFormat="1">
      <c r="AK9501" s="3">
        <v>9495</v>
      </c>
      <c r="AL9501" s="163">
        <v>8.6823791686409493</v>
      </c>
    </row>
    <row r="9502" spans="37:38" s="4" customFormat="1">
      <c r="AK9502" s="3">
        <v>9496</v>
      </c>
      <c r="AL9502" s="163">
        <v>8.6840231291493808</v>
      </c>
    </row>
    <row r="9503" spans="37:38" s="4" customFormat="1">
      <c r="AK9503" s="3">
        <v>9497</v>
      </c>
      <c r="AL9503" s="163">
        <v>8.6856687183407928</v>
      </c>
    </row>
    <row r="9504" spans="37:38" s="4" customFormat="1">
      <c r="AK9504" s="3">
        <v>9498</v>
      </c>
      <c r="AL9504" s="163">
        <v>8.6873159377888243</v>
      </c>
    </row>
    <row r="9505" spans="37:38" s="4" customFormat="1">
      <c r="AK9505" s="3">
        <v>9499</v>
      </c>
      <c r="AL9505" s="163">
        <v>8.6889647890675406</v>
      </c>
    </row>
    <row r="9506" spans="37:38" s="4" customFormat="1">
      <c r="AK9506" s="3">
        <v>9500</v>
      </c>
      <c r="AL9506" s="163">
        <v>8.6906152737519591</v>
      </c>
    </row>
    <row r="9507" spans="37:38" s="4" customFormat="1">
      <c r="AK9507" s="3">
        <v>9501</v>
      </c>
      <c r="AL9507" s="163">
        <v>8.6922673934179215</v>
      </c>
    </row>
    <row r="9508" spans="37:38" s="4" customFormat="1">
      <c r="AK9508" s="3">
        <v>9502</v>
      </c>
      <c r="AL9508" s="163">
        <v>8.6939211496421507</v>
      </c>
    </row>
    <row r="9509" spans="37:38" s="4" customFormat="1">
      <c r="AK9509" s="3">
        <v>9503</v>
      </c>
      <c r="AL9509" s="163">
        <v>8.6955765440020514</v>
      </c>
    </row>
    <row r="9510" spans="37:38" s="4" customFormat="1">
      <c r="AK9510" s="3">
        <v>9504</v>
      </c>
      <c r="AL9510" s="163">
        <v>8.697233578075938</v>
      </c>
    </row>
    <row r="9511" spans="37:38" s="4" customFormat="1">
      <c r="AK9511" s="3">
        <v>9505</v>
      </c>
      <c r="AL9511" s="163">
        <v>8.6988922534429065</v>
      </c>
    </row>
    <row r="9512" spans="37:38" s="4" customFormat="1">
      <c r="AK9512" s="3">
        <v>9506</v>
      </c>
      <c r="AL9512" s="163">
        <v>8.7005525716828771</v>
      </c>
    </row>
    <row r="9513" spans="37:38" s="4" customFormat="1">
      <c r="AK9513" s="3">
        <v>9507</v>
      </c>
      <c r="AL9513" s="163">
        <v>8.7022145343765374</v>
      </c>
    </row>
    <row r="9514" spans="37:38" s="4" customFormat="1">
      <c r="AK9514" s="3">
        <v>9508</v>
      </c>
      <c r="AL9514" s="163">
        <v>8.7038781431056407</v>
      </c>
    </row>
    <row r="9515" spans="37:38" s="4" customFormat="1">
      <c r="AK9515" s="3">
        <v>9509</v>
      </c>
      <c r="AL9515" s="163">
        <v>8.7055433994522673</v>
      </c>
    </row>
    <row r="9516" spans="37:38" s="4" customFormat="1">
      <c r="AK9516" s="3">
        <v>9510</v>
      </c>
      <c r="AL9516" s="163">
        <v>8.707210304999748</v>
      </c>
    </row>
    <row r="9517" spans="37:38" s="4" customFormat="1">
      <c r="AK9517" s="3">
        <v>9511</v>
      </c>
      <c r="AL9517" s="163">
        <v>8.7088788613322237</v>
      </c>
    </row>
    <row r="9518" spans="37:38" s="4" customFormat="1">
      <c r="AK9518" s="3">
        <v>9512</v>
      </c>
      <c r="AL9518" s="163">
        <v>8.7105490700342614</v>
      </c>
    </row>
    <row r="9519" spans="37:38" s="4" customFormat="1">
      <c r="AK9519" s="3">
        <v>9513</v>
      </c>
      <c r="AL9519" s="163">
        <v>8.7122209326915794</v>
      </c>
    </row>
    <row r="9520" spans="37:38" s="4" customFormat="1">
      <c r="AK9520" s="3">
        <v>9514</v>
      </c>
      <c r="AL9520" s="163">
        <v>8.7138944508907628</v>
      </c>
    </row>
    <row r="9521" spans="37:38" s="4" customFormat="1">
      <c r="AK9521" s="3">
        <v>9515</v>
      </c>
      <c r="AL9521" s="163">
        <v>8.7155696262189792</v>
      </c>
    </row>
    <row r="9522" spans="37:38" s="4" customFormat="1">
      <c r="AK9522" s="3">
        <v>9516</v>
      </c>
      <c r="AL9522" s="163">
        <v>8.7172464602644339</v>
      </c>
    </row>
    <row r="9523" spans="37:38" s="4" customFormat="1">
      <c r="AK9523" s="3">
        <v>9517</v>
      </c>
      <c r="AL9523" s="163">
        <v>8.718924954615801</v>
      </c>
    </row>
    <row r="9524" spans="37:38" s="4" customFormat="1">
      <c r="AK9524" s="3">
        <v>9518</v>
      </c>
      <c r="AL9524" s="163">
        <v>8.7206051108631044</v>
      </c>
    </row>
    <row r="9525" spans="37:38" s="4" customFormat="1">
      <c r="AK9525" s="3">
        <v>9519</v>
      </c>
      <c r="AL9525" s="163">
        <v>8.7222869305967095</v>
      </c>
    </row>
    <row r="9526" spans="37:38" s="4" customFormat="1">
      <c r="AK9526" s="3">
        <v>9520</v>
      </c>
      <c r="AL9526" s="163">
        <v>8.7239704154080329</v>
      </c>
    </row>
    <row r="9527" spans="37:38" s="4" customFormat="1">
      <c r="AK9527" s="3">
        <v>9521</v>
      </c>
      <c r="AL9527" s="163">
        <v>8.7256555668893157</v>
      </c>
    </row>
    <row r="9528" spans="37:38" s="4" customFormat="1">
      <c r="AK9528" s="3">
        <v>9522</v>
      </c>
      <c r="AL9528" s="163">
        <v>8.727342386633552</v>
      </c>
    </row>
    <row r="9529" spans="37:38" s="4" customFormat="1">
      <c r="AK9529" s="3">
        <v>9523</v>
      </c>
      <c r="AL9529" s="163">
        <v>8.7290308762344608</v>
      </c>
    </row>
    <row r="9530" spans="37:38" s="4" customFormat="1">
      <c r="AK9530" s="3">
        <v>9524</v>
      </c>
      <c r="AL9530" s="163">
        <v>8.7307210372868269</v>
      </c>
    </row>
    <row r="9531" spans="37:38" s="4" customFormat="1">
      <c r="AK9531" s="3">
        <v>9525</v>
      </c>
      <c r="AL9531" s="163">
        <v>8.7324128713861739</v>
      </c>
    </row>
    <row r="9532" spans="37:38" s="4" customFormat="1">
      <c r="AK9532" s="3">
        <v>9526</v>
      </c>
      <c r="AL9532" s="163">
        <v>8.7341063801286083</v>
      </c>
    </row>
    <row r="9533" spans="37:38" s="4" customFormat="1">
      <c r="AK9533" s="3">
        <v>9527</v>
      </c>
      <c r="AL9533" s="163">
        <v>8.7358015651113305</v>
      </c>
    </row>
    <row r="9534" spans="37:38" s="4" customFormat="1">
      <c r="AK9534" s="3">
        <v>9528</v>
      </c>
      <c r="AL9534" s="163">
        <v>8.7374984279323087</v>
      </c>
    </row>
    <row r="9535" spans="37:38" s="4" customFormat="1">
      <c r="AK9535" s="3">
        <v>9529</v>
      </c>
      <c r="AL9535" s="163">
        <v>8.7391969701902497</v>
      </c>
    </row>
    <row r="9536" spans="37:38" s="4" customFormat="1">
      <c r="AK9536" s="3">
        <v>9530</v>
      </c>
      <c r="AL9536" s="163">
        <v>8.7408971934847557</v>
      </c>
    </row>
    <row r="9537" spans="37:38" s="4" customFormat="1">
      <c r="AK9537" s="3">
        <v>9531</v>
      </c>
      <c r="AL9537" s="163">
        <v>8.7425990994162106</v>
      </c>
    </row>
    <row r="9538" spans="37:38" s="4" customFormat="1">
      <c r="AK9538" s="3">
        <v>9532</v>
      </c>
      <c r="AL9538" s="163">
        <v>8.7443026895858651</v>
      </c>
    </row>
    <row r="9539" spans="37:38" s="4" customFormat="1">
      <c r="AK9539" s="3">
        <v>9533</v>
      </c>
      <c r="AL9539" s="163">
        <v>8.7460079655956235</v>
      </c>
    </row>
    <row r="9540" spans="37:38" s="4" customFormat="1">
      <c r="AK9540" s="3">
        <v>9534</v>
      </c>
      <c r="AL9540" s="163">
        <v>8.7477149290485698</v>
      </c>
    </row>
    <row r="9541" spans="37:38" s="4" customFormat="1">
      <c r="AK9541" s="3">
        <v>9535</v>
      </c>
      <c r="AL9541" s="163">
        <v>8.7494235815482</v>
      </c>
    </row>
    <row r="9542" spans="37:38" s="4" customFormat="1">
      <c r="AK9542" s="3">
        <v>9536</v>
      </c>
      <c r="AL9542" s="163">
        <v>8.75113392469909</v>
      </c>
    </row>
    <row r="9543" spans="37:38" s="4" customFormat="1">
      <c r="AK9543" s="3">
        <v>9537</v>
      </c>
      <c r="AL9543" s="163">
        <v>8.7528459601065549</v>
      </c>
    </row>
    <row r="9544" spans="37:38" s="4" customFormat="1">
      <c r="AK9544" s="3">
        <v>9538</v>
      </c>
      <c r="AL9544" s="163">
        <v>8.7545596893767339</v>
      </c>
    </row>
    <row r="9545" spans="37:38" s="4" customFormat="1">
      <c r="AK9545" s="3">
        <v>9539</v>
      </c>
      <c r="AL9545" s="163">
        <v>8.7562751141166473</v>
      </c>
    </row>
    <row r="9546" spans="37:38" s="4" customFormat="1">
      <c r="AK9546" s="3">
        <v>9540</v>
      </c>
      <c r="AL9546" s="163">
        <v>8.7579922359341396</v>
      </c>
    </row>
    <row r="9547" spans="37:38" s="4" customFormat="1">
      <c r="AK9547" s="3">
        <v>9541</v>
      </c>
      <c r="AL9547" s="163">
        <v>8.7597110564375527</v>
      </c>
    </row>
    <row r="9548" spans="37:38" s="4" customFormat="1">
      <c r="AK9548" s="3">
        <v>9542</v>
      </c>
      <c r="AL9548" s="163">
        <v>8.7614315772367064</v>
      </c>
    </row>
    <row r="9549" spans="37:38" s="4" customFormat="1">
      <c r="AK9549" s="3">
        <v>9543</v>
      </c>
      <c r="AL9549" s="163">
        <v>8.7631537999416054</v>
      </c>
    </row>
    <row r="9550" spans="37:38" s="4" customFormat="1">
      <c r="AK9550" s="3">
        <v>9544</v>
      </c>
      <c r="AL9550" s="163">
        <v>8.7648777261634621</v>
      </c>
    </row>
    <row r="9551" spans="37:38" s="4" customFormat="1">
      <c r="AK9551" s="3">
        <v>9545</v>
      </c>
      <c r="AL9551" s="163">
        <v>8.7666033575140858</v>
      </c>
    </row>
    <row r="9552" spans="37:38" s="4" customFormat="1">
      <c r="AK9552" s="3">
        <v>9546</v>
      </c>
      <c r="AL9552" s="163">
        <v>8.7683306956063518</v>
      </c>
    </row>
    <row r="9553" spans="37:38" s="4" customFormat="1">
      <c r="AK9553" s="3">
        <v>9547</v>
      </c>
      <c r="AL9553" s="163">
        <v>8.7700597420536894</v>
      </c>
    </row>
    <row r="9554" spans="37:38" s="4" customFormat="1">
      <c r="AK9554" s="3">
        <v>9548</v>
      </c>
      <c r="AL9554" s="163">
        <v>8.7717904984705513</v>
      </c>
    </row>
    <row r="9555" spans="37:38" s="4" customFormat="1">
      <c r="AK9555" s="3">
        <v>9549</v>
      </c>
      <c r="AL9555" s="163">
        <v>8.7735229664721004</v>
      </c>
    </row>
    <row r="9556" spans="37:38" s="4" customFormat="1">
      <c r="AK9556" s="3">
        <v>9550</v>
      </c>
      <c r="AL9556" s="163">
        <v>8.7752571476744805</v>
      </c>
    </row>
    <row r="9557" spans="37:38" s="4" customFormat="1">
      <c r="AK9557" s="3">
        <v>9551</v>
      </c>
      <c r="AL9557" s="163">
        <v>8.7769930436944747</v>
      </c>
    </row>
    <row r="9558" spans="37:38" s="4" customFormat="1">
      <c r="AK9558" s="3">
        <v>9552</v>
      </c>
      <c r="AL9558" s="163">
        <v>8.7787306561496479</v>
      </c>
    </row>
    <row r="9559" spans="37:38" s="4" customFormat="1">
      <c r="AK9559" s="3">
        <v>9553</v>
      </c>
      <c r="AL9559" s="163">
        <v>8.7804699866587015</v>
      </c>
    </row>
    <row r="9560" spans="37:38" s="4" customFormat="1">
      <c r="AK9560" s="3">
        <v>9554</v>
      </c>
      <c r="AL9560" s="163">
        <v>8.7822110368409483</v>
      </c>
    </row>
    <row r="9561" spans="37:38" s="4" customFormat="1">
      <c r="AK9561" s="3">
        <v>9555</v>
      </c>
      <c r="AL9561" s="163">
        <v>8.7839538083165394</v>
      </c>
    </row>
    <row r="9562" spans="37:38" s="4" customFormat="1">
      <c r="AK9562" s="3">
        <v>9556</v>
      </c>
      <c r="AL9562" s="163">
        <v>8.7856983027063222</v>
      </c>
    </row>
    <row r="9563" spans="37:38" s="4" customFormat="1">
      <c r="AK9563" s="3">
        <v>9557</v>
      </c>
      <c r="AL9563" s="163">
        <v>8.7874445216322528</v>
      </c>
    </row>
    <row r="9564" spans="37:38" s="4" customFormat="1">
      <c r="AK9564" s="3">
        <v>9558</v>
      </c>
      <c r="AL9564" s="163">
        <v>8.7891924667168695</v>
      </c>
    </row>
    <row r="9565" spans="37:38" s="4" customFormat="1">
      <c r="AK9565" s="3">
        <v>9559</v>
      </c>
      <c r="AL9565" s="163">
        <v>8.7909421395838621</v>
      </c>
    </row>
    <row r="9566" spans="37:38" s="4" customFormat="1">
      <c r="AK9566" s="3">
        <v>9560</v>
      </c>
      <c r="AL9566" s="163">
        <v>8.7926935418572043</v>
      </c>
    </row>
    <row r="9567" spans="37:38" s="4" customFormat="1">
      <c r="AK9567" s="3">
        <v>9561</v>
      </c>
      <c r="AL9567" s="163">
        <v>8.7944466751621633</v>
      </c>
    </row>
    <row r="9568" spans="37:38" s="4" customFormat="1">
      <c r="AK9568" s="3">
        <v>9562</v>
      </c>
      <c r="AL9568" s="163">
        <v>8.7962015411247734</v>
      </c>
    </row>
    <row r="9569" spans="37:38" s="4" customFormat="1">
      <c r="AK9569" s="3">
        <v>9563</v>
      </c>
      <c r="AL9569" s="163">
        <v>8.7979581413717227</v>
      </c>
    </row>
    <row r="9570" spans="37:38" s="4" customFormat="1">
      <c r="AK9570" s="3">
        <v>9564</v>
      </c>
      <c r="AL9570" s="163">
        <v>8.7997164775305521</v>
      </c>
    </row>
    <row r="9571" spans="37:38" s="4" customFormat="1">
      <c r="AK9571" s="3">
        <v>9565</v>
      </c>
      <c r="AL9571" s="163">
        <v>8.8014765512297686</v>
      </c>
    </row>
    <row r="9572" spans="37:38" s="4" customFormat="1">
      <c r="AK9572" s="3">
        <v>9566</v>
      </c>
      <c r="AL9572" s="163">
        <v>8.8032383640986751</v>
      </c>
    </row>
    <row r="9573" spans="37:38" s="4" customFormat="1">
      <c r="AK9573" s="3">
        <v>9567</v>
      </c>
      <c r="AL9573" s="163">
        <v>8.8050019177672283</v>
      </c>
    </row>
    <row r="9574" spans="37:38" s="4" customFormat="1">
      <c r="AK9574" s="3">
        <v>9568</v>
      </c>
      <c r="AL9574" s="163">
        <v>8.8067672138664221</v>
      </c>
    </row>
    <row r="9575" spans="37:38" s="4" customFormat="1">
      <c r="AK9575" s="3">
        <v>9569</v>
      </c>
      <c r="AL9575" s="163">
        <v>8.8085342540279328</v>
      </c>
    </row>
    <row r="9576" spans="37:38" s="4" customFormat="1">
      <c r="AK9576" s="3">
        <v>9570</v>
      </c>
      <c r="AL9576" s="163">
        <v>8.8103030398844737</v>
      </c>
    </row>
    <row r="9577" spans="37:38" s="4" customFormat="1">
      <c r="AK9577" s="3">
        <v>9571</v>
      </c>
      <c r="AL9577" s="163">
        <v>8.8120735730693127</v>
      </c>
    </row>
    <row r="9578" spans="37:38" s="4" customFormat="1">
      <c r="AK9578" s="3">
        <v>9572</v>
      </c>
      <c r="AL9578" s="163">
        <v>8.8138458552166554</v>
      </c>
    </row>
    <row r="9579" spans="37:38" s="4" customFormat="1">
      <c r="AK9579" s="3">
        <v>9573</v>
      </c>
      <c r="AL9579" s="163">
        <v>8.8156198879616596</v>
      </c>
    </row>
    <row r="9580" spans="37:38" s="4" customFormat="1">
      <c r="AK9580" s="3">
        <v>9574</v>
      </c>
      <c r="AL9580" s="163">
        <v>8.8173956729400231</v>
      </c>
    </row>
    <row r="9581" spans="37:38" s="4" customFormat="1">
      <c r="AK9581" s="3">
        <v>9575</v>
      </c>
      <c r="AL9581" s="163">
        <v>8.8191732117886943</v>
      </c>
    </row>
    <row r="9582" spans="37:38" s="4" customFormat="1">
      <c r="AK9582" s="3">
        <v>9576</v>
      </c>
      <c r="AL9582" s="163">
        <v>8.8209525061451757</v>
      </c>
    </row>
    <row r="9583" spans="37:38" s="4" customFormat="1">
      <c r="AK9583" s="3">
        <v>9577</v>
      </c>
      <c r="AL9583" s="163">
        <v>8.8227335576476804</v>
      </c>
    </row>
    <row r="9584" spans="37:38" s="4" customFormat="1">
      <c r="AK9584" s="3">
        <v>9578</v>
      </c>
      <c r="AL9584" s="163">
        <v>8.8245163679354732</v>
      </c>
    </row>
    <row r="9585" spans="37:38" s="4" customFormat="1">
      <c r="AK9585" s="3">
        <v>9579</v>
      </c>
      <c r="AL9585" s="163">
        <v>8.8263009386487141</v>
      </c>
    </row>
    <row r="9586" spans="37:38" s="4" customFormat="1">
      <c r="AK9586" s="3">
        <v>9580</v>
      </c>
      <c r="AL9586" s="163">
        <v>8.8280872714281031</v>
      </c>
    </row>
    <row r="9587" spans="37:38" s="4" customFormat="1">
      <c r="AK9587" s="3">
        <v>9581</v>
      </c>
      <c r="AL9587" s="163">
        <v>8.8298753679154061</v>
      </c>
    </row>
    <row r="9588" spans="37:38" s="4" customFormat="1">
      <c r="AK9588" s="3">
        <v>9582</v>
      </c>
      <c r="AL9588" s="163">
        <v>8.8316652297531846</v>
      </c>
    </row>
    <row r="9589" spans="37:38" s="4" customFormat="1">
      <c r="AK9589" s="3">
        <v>9583</v>
      </c>
      <c r="AL9589" s="163">
        <v>8.8334568585846824</v>
      </c>
    </row>
    <row r="9590" spans="37:38" s="4" customFormat="1">
      <c r="AK9590" s="3">
        <v>9584</v>
      </c>
      <c r="AL9590" s="163">
        <v>8.8352502560541524</v>
      </c>
    </row>
    <row r="9591" spans="37:38" s="4" customFormat="1">
      <c r="AK9591" s="3">
        <v>9585</v>
      </c>
      <c r="AL9591" s="163">
        <v>8.8370454238066856</v>
      </c>
    </row>
    <row r="9592" spans="37:38" s="4" customFormat="1">
      <c r="AK9592" s="3">
        <v>9586</v>
      </c>
      <c r="AL9592" s="163">
        <v>8.8388423634879558</v>
      </c>
    </row>
    <row r="9593" spans="37:38" s="4" customFormat="1">
      <c r="AK9593" s="3">
        <v>9587</v>
      </c>
      <c r="AL9593" s="163">
        <v>8.8406410767448023</v>
      </c>
    </row>
    <row r="9594" spans="37:38" s="4" customFormat="1">
      <c r="AK9594" s="3">
        <v>9588</v>
      </c>
      <c r="AL9594" s="163">
        <v>8.8424415652246324</v>
      </c>
    </row>
    <row r="9595" spans="37:38" s="4" customFormat="1">
      <c r="AK9595" s="3">
        <v>9589</v>
      </c>
      <c r="AL9595" s="163">
        <v>8.8442438305758344</v>
      </c>
    </row>
    <row r="9596" spans="37:38" s="4" customFormat="1">
      <c r="AK9596" s="3">
        <v>9590</v>
      </c>
      <c r="AL9596" s="163">
        <v>8.8460478744476063</v>
      </c>
    </row>
    <row r="9597" spans="37:38" s="4" customFormat="1">
      <c r="AK9597" s="3">
        <v>9591</v>
      </c>
      <c r="AL9597" s="163">
        <v>8.8478536984899137</v>
      </c>
    </row>
    <row r="9598" spans="37:38" s="4" customFormat="1">
      <c r="AK9598" s="3">
        <v>9592</v>
      </c>
      <c r="AL9598" s="163">
        <v>8.8496613043536172</v>
      </c>
    </row>
    <row r="9599" spans="37:38" s="4" customFormat="1">
      <c r="AK9599" s="3">
        <v>9593</v>
      </c>
      <c r="AL9599" s="163">
        <v>8.8514706936903593</v>
      </c>
    </row>
    <row r="9600" spans="37:38" s="4" customFormat="1">
      <c r="AK9600" s="3">
        <v>9594</v>
      </c>
      <c r="AL9600" s="163">
        <v>8.8532818681526777</v>
      </c>
    </row>
    <row r="9601" spans="37:38" s="4" customFormat="1">
      <c r="AK9601" s="3">
        <v>9595</v>
      </c>
      <c r="AL9601" s="163">
        <v>8.8550948293938632</v>
      </c>
    </row>
    <row r="9602" spans="37:38" s="4" customFormat="1">
      <c r="AK9602" s="3">
        <v>9596</v>
      </c>
      <c r="AL9602" s="163">
        <v>8.856909579068116</v>
      </c>
    </row>
    <row r="9603" spans="37:38" s="4" customFormat="1">
      <c r="AK9603" s="3">
        <v>9597</v>
      </c>
      <c r="AL9603" s="163">
        <v>8.8587261188305177</v>
      </c>
    </row>
    <row r="9604" spans="37:38" s="4" customFormat="1">
      <c r="AK9604" s="3">
        <v>9598</v>
      </c>
      <c r="AL9604" s="163">
        <v>8.8605444503367465</v>
      </c>
    </row>
    <row r="9605" spans="37:38" s="4" customFormat="1">
      <c r="AK9605" s="3">
        <v>9599</v>
      </c>
      <c r="AL9605" s="163">
        <v>8.862364575243646</v>
      </c>
    </row>
    <row r="9606" spans="37:38" s="4" customFormat="1">
      <c r="AK9606" s="3">
        <v>9600</v>
      </c>
      <c r="AL9606" s="163">
        <v>8.8641864952086422</v>
      </c>
    </row>
    <row r="9607" spans="37:38" s="4" customFormat="1">
      <c r="AK9607" s="3">
        <v>9601</v>
      </c>
      <c r="AL9607" s="163">
        <v>8.8660102118900284</v>
      </c>
    </row>
    <row r="9608" spans="37:38" s="4" customFormat="1">
      <c r="AK9608" s="3">
        <v>9602</v>
      </c>
      <c r="AL9608" s="163">
        <v>8.8678357269470354</v>
      </c>
    </row>
    <row r="9609" spans="37:38" s="4" customFormat="1">
      <c r="AK9609" s="3">
        <v>9603</v>
      </c>
      <c r="AL9609" s="163">
        <v>8.86966304203969</v>
      </c>
    </row>
    <row r="9610" spans="37:38" s="4" customFormat="1">
      <c r="AK9610" s="3">
        <v>9604</v>
      </c>
      <c r="AL9610" s="163">
        <v>8.8714921588287581</v>
      </c>
    </row>
    <row r="9611" spans="37:38" s="4" customFormat="1">
      <c r="AK9611" s="3">
        <v>9605</v>
      </c>
      <c r="AL9611" s="163">
        <v>8.8733230789759574</v>
      </c>
    </row>
    <row r="9612" spans="37:38" s="4" customFormat="1">
      <c r="AK9612" s="3">
        <v>9606</v>
      </c>
      <c r="AL9612" s="163">
        <v>8.8751558041438443</v>
      </c>
    </row>
    <row r="9613" spans="37:38" s="4" customFormat="1">
      <c r="AK9613" s="3">
        <v>9607</v>
      </c>
      <c r="AL9613" s="163">
        <v>8.8769903359957709</v>
      </c>
    </row>
    <row r="9614" spans="37:38" s="4" customFormat="1">
      <c r="AK9614" s="3">
        <v>9608</v>
      </c>
      <c r="AL9614" s="163">
        <v>8.878826676195871</v>
      </c>
    </row>
    <row r="9615" spans="37:38" s="4" customFormat="1">
      <c r="AK9615" s="3">
        <v>9609</v>
      </c>
      <c r="AL9615" s="163">
        <v>8.8806648264090313</v>
      </c>
    </row>
    <row r="9616" spans="37:38" s="4" customFormat="1">
      <c r="AK9616" s="3">
        <v>9610</v>
      </c>
      <c r="AL9616" s="163">
        <v>8.8825047883013752</v>
      </c>
    </row>
    <row r="9617" spans="37:38" s="4" customFormat="1">
      <c r="AK9617" s="3">
        <v>9611</v>
      </c>
      <c r="AL9617" s="163">
        <v>8.8843465635394097</v>
      </c>
    </row>
    <row r="9618" spans="37:38" s="4" customFormat="1">
      <c r="AK9618" s="3">
        <v>9612</v>
      </c>
      <c r="AL9618" s="163">
        <v>8.8861901537908068</v>
      </c>
    </row>
    <row r="9619" spans="37:38" s="4" customFormat="1">
      <c r="AK9619" s="3">
        <v>9613</v>
      </c>
      <c r="AL9619" s="163">
        <v>8.8880355607238641</v>
      </c>
    </row>
    <row r="9620" spans="37:38" s="4" customFormat="1">
      <c r="AK9620" s="3">
        <v>9614</v>
      </c>
      <c r="AL9620" s="163">
        <v>8.8898827860075897</v>
      </c>
    </row>
    <row r="9621" spans="37:38" s="4" customFormat="1">
      <c r="AK9621" s="3">
        <v>9615</v>
      </c>
      <c r="AL9621" s="163">
        <v>8.8917318313123417</v>
      </c>
    </row>
    <row r="9622" spans="37:38" s="4" customFormat="1">
      <c r="AK9622" s="3">
        <v>9616</v>
      </c>
      <c r="AL9622" s="163">
        <v>8.8935826983088333</v>
      </c>
    </row>
    <row r="9623" spans="37:38" s="4" customFormat="1">
      <c r="AK9623" s="3">
        <v>9617</v>
      </c>
      <c r="AL9623" s="163">
        <v>8.8954353886687016</v>
      </c>
    </row>
    <row r="9624" spans="37:38" s="4" customFormat="1">
      <c r="AK9624" s="3">
        <v>9618</v>
      </c>
      <c r="AL9624" s="163">
        <v>8.8972899040645785</v>
      </c>
    </row>
    <row r="9625" spans="37:38" s="4" customFormat="1">
      <c r="AK9625" s="3">
        <v>9619</v>
      </c>
      <c r="AL9625" s="163">
        <v>8.8991462461699626</v>
      </c>
    </row>
    <row r="9626" spans="37:38" s="4" customFormat="1">
      <c r="AK9626" s="3">
        <v>9620</v>
      </c>
      <c r="AL9626" s="163">
        <v>8.9010044166588926</v>
      </c>
    </row>
    <row r="9627" spans="37:38" s="4" customFormat="1">
      <c r="AK9627" s="3">
        <v>9621</v>
      </c>
      <c r="AL9627" s="163">
        <v>8.9028644172065725</v>
      </c>
    </row>
    <row r="9628" spans="37:38" s="4" customFormat="1">
      <c r="AK9628" s="3">
        <v>9622</v>
      </c>
      <c r="AL9628" s="163">
        <v>8.9047262494886894</v>
      </c>
    </row>
    <row r="9629" spans="37:38" s="4" customFormat="1">
      <c r="AK9629" s="3">
        <v>9623</v>
      </c>
      <c r="AL9629" s="163">
        <v>8.9065899151821526</v>
      </c>
    </row>
    <row r="9630" spans="37:38" s="4" customFormat="1">
      <c r="AK9630" s="3">
        <v>9624</v>
      </c>
      <c r="AL9630" s="163">
        <v>8.9084554159646103</v>
      </c>
    </row>
    <row r="9631" spans="37:38" s="4" customFormat="1">
      <c r="AK9631" s="3">
        <v>9625</v>
      </c>
      <c r="AL9631" s="163">
        <v>8.9103227535142651</v>
      </c>
    </row>
    <row r="9632" spans="37:38" s="4" customFormat="1">
      <c r="AK9632" s="3">
        <v>9626</v>
      </c>
      <c r="AL9632" s="163">
        <v>8.912191929510513</v>
      </c>
    </row>
    <row r="9633" spans="37:38" s="4" customFormat="1">
      <c r="AK9633" s="3">
        <v>9627</v>
      </c>
      <c r="AL9633" s="163">
        <v>8.9140629456334182</v>
      </c>
    </row>
    <row r="9634" spans="37:38" s="4" customFormat="1">
      <c r="AK9634" s="3">
        <v>9628</v>
      </c>
      <c r="AL9634" s="163">
        <v>8.9159358035638405</v>
      </c>
    </row>
    <row r="9635" spans="37:38" s="4" customFormat="1">
      <c r="AK9635" s="3">
        <v>9629</v>
      </c>
      <c r="AL9635" s="163">
        <v>8.9178105049837058</v>
      </c>
    </row>
    <row r="9636" spans="37:38" s="4" customFormat="1">
      <c r="AK9636" s="3">
        <v>9630</v>
      </c>
      <c r="AL9636" s="163">
        <v>8.919687051575437</v>
      </c>
    </row>
    <row r="9637" spans="37:38" s="4" customFormat="1">
      <c r="AK9637" s="3">
        <v>9631</v>
      </c>
      <c r="AL9637" s="163">
        <v>8.9215654450225657</v>
      </c>
    </row>
    <row r="9638" spans="37:38" s="4" customFormat="1">
      <c r="AK9638" s="3">
        <v>9632</v>
      </c>
      <c r="AL9638" s="163">
        <v>8.9234456870093908</v>
      </c>
    </row>
    <row r="9639" spans="37:38" s="4" customFormat="1">
      <c r="AK9639" s="3">
        <v>9633</v>
      </c>
      <c r="AL9639" s="163">
        <v>8.9253277792210923</v>
      </c>
    </row>
    <row r="9640" spans="37:38" s="4" customFormat="1">
      <c r="AK9640" s="3">
        <v>9634</v>
      </c>
      <c r="AL9640" s="163">
        <v>8.9272117233434329</v>
      </c>
    </row>
    <row r="9641" spans="37:38" s="4" customFormat="1">
      <c r="AK9641" s="3">
        <v>9635</v>
      </c>
      <c r="AL9641" s="163">
        <v>8.9290975210635963</v>
      </c>
    </row>
    <row r="9642" spans="37:38" s="4" customFormat="1">
      <c r="AK9642" s="3">
        <v>9636</v>
      </c>
      <c r="AL9642" s="163">
        <v>8.9309851740688799</v>
      </c>
    </row>
    <row r="9643" spans="37:38" s="4" customFormat="1">
      <c r="AK9643" s="3">
        <v>9637</v>
      </c>
      <c r="AL9643" s="163">
        <v>8.9328746840478885</v>
      </c>
    </row>
    <row r="9644" spans="37:38" s="4" customFormat="1">
      <c r="AK9644" s="3">
        <v>9638</v>
      </c>
      <c r="AL9644" s="163">
        <v>8.9347660526899517</v>
      </c>
    </row>
    <row r="9645" spans="37:38" s="4" customFormat="1">
      <c r="AK9645" s="3">
        <v>9639</v>
      </c>
      <c r="AL9645" s="163">
        <v>8.9366592816852517</v>
      </c>
    </row>
    <row r="9646" spans="37:38" s="4" customFormat="1">
      <c r="AK9646" s="3">
        <v>9640</v>
      </c>
      <c r="AL9646" s="163">
        <v>8.9385543727248091</v>
      </c>
    </row>
    <row r="9647" spans="37:38" s="4" customFormat="1">
      <c r="AK9647" s="3">
        <v>9641</v>
      </c>
      <c r="AL9647" s="163">
        <v>8.9404513275004405</v>
      </c>
    </row>
    <row r="9648" spans="37:38" s="4" customFormat="1">
      <c r="AK9648" s="3">
        <v>9642</v>
      </c>
      <c r="AL9648" s="163">
        <v>8.942350147704957</v>
      </c>
    </row>
    <row r="9649" spans="37:38" s="4" customFormat="1">
      <c r="AK9649" s="3">
        <v>9643</v>
      </c>
      <c r="AL9649" s="163">
        <v>8.9442508350317382</v>
      </c>
    </row>
    <row r="9650" spans="37:38" s="4" customFormat="1">
      <c r="AK9650" s="3">
        <v>9644</v>
      </c>
      <c r="AL9650" s="163">
        <v>8.9461533911752582</v>
      </c>
    </row>
    <row r="9651" spans="37:38" s="4" customFormat="1">
      <c r="AK9651" s="3">
        <v>9645</v>
      </c>
      <c r="AL9651" s="163">
        <v>8.9480578178307155</v>
      </c>
    </row>
    <row r="9652" spans="37:38" s="4" customFormat="1">
      <c r="AK9652" s="3">
        <v>9646</v>
      </c>
      <c r="AL9652" s="163">
        <v>8.9499641166941757</v>
      </c>
    </row>
    <row r="9653" spans="37:38" s="4" customFormat="1">
      <c r="AK9653" s="3">
        <v>9647</v>
      </c>
      <c r="AL9653" s="163">
        <v>8.9518722894625427</v>
      </c>
    </row>
    <row r="9654" spans="37:38" s="4" customFormat="1">
      <c r="AK9654" s="3">
        <v>9648</v>
      </c>
      <c r="AL9654" s="163">
        <v>8.953782337833573</v>
      </c>
    </row>
    <row r="9655" spans="37:38" s="4" customFormat="1">
      <c r="AK9655" s="3">
        <v>9649</v>
      </c>
      <c r="AL9655" s="163">
        <v>8.9556942635058761</v>
      </c>
    </row>
    <row r="9656" spans="37:38" s="4" customFormat="1">
      <c r="AK9656" s="3">
        <v>9650</v>
      </c>
      <c r="AL9656" s="163">
        <v>8.957608068178871</v>
      </c>
    </row>
    <row r="9657" spans="37:38" s="4" customFormat="1">
      <c r="AK9657" s="3">
        <v>9651</v>
      </c>
      <c r="AL9657" s="163">
        <v>8.9595237535527303</v>
      </c>
    </row>
    <row r="9658" spans="37:38" s="4" customFormat="1">
      <c r="AK9658" s="3">
        <v>9652</v>
      </c>
      <c r="AL9658" s="163">
        <v>8.9614413213288344</v>
      </c>
    </row>
    <row r="9659" spans="37:38" s="4" customFormat="1">
      <c r="AK9659" s="3">
        <v>9653</v>
      </c>
      <c r="AL9659" s="163">
        <v>8.9633607732088763</v>
      </c>
    </row>
    <row r="9660" spans="37:38" s="4" customFormat="1">
      <c r="AK9660" s="3">
        <v>9654</v>
      </c>
      <c r="AL9660" s="163">
        <v>8.9652821108957994</v>
      </c>
    </row>
    <row r="9661" spans="37:38" s="4" customFormat="1">
      <c r="AK9661" s="3">
        <v>9655</v>
      </c>
      <c r="AL9661" s="163">
        <v>8.9672053360932296</v>
      </c>
    </row>
    <row r="9662" spans="37:38" s="4" customFormat="1">
      <c r="AK9662" s="3">
        <v>9656</v>
      </c>
      <c r="AL9662" s="163">
        <v>8.9691304505058156</v>
      </c>
    </row>
    <row r="9663" spans="37:38" s="4" customFormat="1">
      <c r="AK9663" s="3">
        <v>9657</v>
      </c>
      <c r="AL9663" s="163">
        <v>8.9710574558386043</v>
      </c>
    </row>
    <row r="9664" spans="37:38" s="4" customFormat="1">
      <c r="AK9664" s="3">
        <v>9658</v>
      </c>
      <c r="AL9664" s="163">
        <v>8.9729863537980066</v>
      </c>
    </row>
    <row r="9665" spans="37:38" s="4" customFormat="1">
      <c r="AK9665" s="3">
        <v>9659</v>
      </c>
      <c r="AL9665" s="163">
        <v>8.974917146091002</v>
      </c>
    </row>
    <row r="9666" spans="37:38" s="4" customFormat="1">
      <c r="AK9666" s="3">
        <v>9660</v>
      </c>
      <c r="AL9666" s="163">
        <v>8.9768498344254795</v>
      </c>
    </row>
    <row r="9667" spans="37:38" s="4" customFormat="1">
      <c r="AK9667" s="3">
        <v>9661</v>
      </c>
      <c r="AL9667" s="163">
        <v>8.9787844205101237</v>
      </c>
    </row>
    <row r="9668" spans="37:38" s="4" customFormat="1">
      <c r="AK9668" s="3">
        <v>9662</v>
      </c>
      <c r="AL9668" s="163">
        <v>8.9807209060544437</v>
      </c>
    </row>
    <row r="9669" spans="37:38" s="4" customFormat="1">
      <c r="AK9669" s="3">
        <v>9663</v>
      </c>
      <c r="AL9669" s="163">
        <v>8.9826592927690285</v>
      </c>
    </row>
    <row r="9670" spans="37:38" s="4" customFormat="1">
      <c r="AK9670" s="3">
        <v>9664</v>
      </c>
      <c r="AL9670" s="163">
        <v>8.9845995823649218</v>
      </c>
    </row>
    <row r="9671" spans="37:38" s="4" customFormat="1">
      <c r="AK9671" s="3">
        <v>9665</v>
      </c>
      <c r="AL9671" s="163">
        <v>8.9865417765543896</v>
      </c>
    </row>
    <row r="9672" spans="37:38" s="4" customFormat="1">
      <c r="AK9672" s="3">
        <v>9666</v>
      </c>
      <c r="AL9672" s="163">
        <v>8.9884858770503229</v>
      </c>
    </row>
    <row r="9673" spans="37:38" s="4" customFormat="1">
      <c r="AK9673" s="3">
        <v>9667</v>
      </c>
      <c r="AL9673" s="163">
        <v>8.9904318855665224</v>
      </c>
    </row>
    <row r="9674" spans="37:38" s="4" customFormat="1">
      <c r="AK9674" s="3">
        <v>9668</v>
      </c>
      <c r="AL9674" s="163">
        <v>8.9923798038176415</v>
      </c>
    </row>
    <row r="9675" spans="37:38" s="4" customFormat="1">
      <c r="AK9675" s="3">
        <v>9669</v>
      </c>
      <c r="AL9675" s="163">
        <v>8.9943296335192429</v>
      </c>
    </row>
    <row r="9676" spans="37:38" s="4" customFormat="1">
      <c r="AK9676" s="3">
        <v>9670</v>
      </c>
      <c r="AL9676" s="163">
        <v>8.9962813763875147</v>
      </c>
    </row>
    <row r="9677" spans="37:38" s="4" customFormat="1">
      <c r="AK9677" s="3">
        <v>9671</v>
      </c>
      <c r="AL9677" s="163">
        <v>8.9982350341396113</v>
      </c>
    </row>
    <row r="9678" spans="37:38" s="4" customFormat="1">
      <c r="AK9678" s="3">
        <v>9672</v>
      </c>
      <c r="AL9678" s="163">
        <v>9.0001906084937957</v>
      </c>
    </row>
  </sheetData>
  <mergeCells count="1">
    <mergeCell ref="B18:C19"/>
  </mergeCells>
  <conditionalFormatting sqref="D19:K19">
    <cfRule type="cellIs" dxfId="269" priority="31" stopIfTrue="1" operator="greaterThan">
      <formula>7</formula>
    </cfRule>
    <cfRule type="cellIs" dxfId="268" priority="32" stopIfTrue="1" operator="between">
      <formula>5.000001</formula>
      <formula>7</formula>
    </cfRule>
    <cfRule type="cellIs" dxfId="267" priority="33" stopIfTrue="1" operator="lessThan">
      <formula>2.000001</formula>
    </cfRule>
  </conditionalFormatting>
  <conditionalFormatting sqref="F24:F51">
    <cfRule type="expression" dxfId="266" priority="30" stopIfTrue="1">
      <formula>IF(AND(F24&gt;=6.1,G24&lt;=2),1)</formula>
    </cfRule>
  </conditionalFormatting>
  <conditionalFormatting sqref="G24:G51">
    <cfRule type="expression" dxfId="265" priority="29" stopIfTrue="1">
      <formula>IF(AND(F24&lt;=2,G24&gt;=6.1),1)</formula>
    </cfRule>
  </conditionalFormatting>
  <conditionalFormatting sqref="F25">
    <cfRule type="expression" dxfId="264" priority="28" stopIfTrue="1">
      <formula>IF(AND(F25&gt;=6.1,G25&lt;=2),1)</formula>
    </cfRule>
  </conditionalFormatting>
  <conditionalFormatting sqref="G25">
    <cfRule type="expression" dxfId="263" priority="27" stopIfTrue="1">
      <formula>IF(AND(F25&lt;=2,G25&gt;=6.1),1)</formula>
    </cfRule>
  </conditionalFormatting>
  <conditionalFormatting sqref="F43">
    <cfRule type="expression" dxfId="262" priority="26" stopIfTrue="1">
      <formula>IF(AND(F43&gt;=6.1,G43&lt;=2),1)</formula>
    </cfRule>
  </conditionalFormatting>
  <conditionalFormatting sqref="G43">
    <cfRule type="expression" dxfId="261" priority="25" stopIfTrue="1">
      <formula>IF(AND(F43&lt;=2,G43&gt;=6.1),1)</formula>
    </cfRule>
  </conditionalFormatting>
  <conditionalFormatting sqref="F45:F46">
    <cfRule type="expression" dxfId="260" priority="24" stopIfTrue="1">
      <formula>IF(AND(F45&gt;=6.1,G45&lt;=2),1)</formula>
    </cfRule>
  </conditionalFormatting>
  <conditionalFormatting sqref="G45:G46">
    <cfRule type="expression" dxfId="259" priority="23" stopIfTrue="1">
      <formula>IF(AND(F45&lt;=2,G45&gt;=6.1),1)</formula>
    </cfRule>
  </conditionalFormatting>
  <conditionalFormatting sqref="O51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N26:U26">
    <cfRule type="iconSet" priority="12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258" priority="16" operator="between">
      <formula>6.00001</formula>
      <formula>10</formula>
    </cfRule>
    <cfRule type="cellIs" dxfId="257" priority="17" operator="between">
      <formula>5.000001</formula>
      <formula>6</formula>
    </cfRule>
    <cfRule type="cellIs" dxfId="256" priority="18" operator="between">
      <formula>4.000001</formula>
      <formula>5</formula>
    </cfRule>
    <cfRule type="cellIs" dxfId="255" priority="19" operator="between">
      <formula>3.0000001</formula>
      <formula>4</formula>
    </cfRule>
    <cfRule type="cellIs" dxfId="254" priority="20" operator="between">
      <formula>2.000001</formula>
      <formula>3</formula>
    </cfRule>
    <cfRule type="cellIs" dxfId="253" priority="21" operator="between">
      <formula>0</formula>
      <formula>2</formula>
    </cfRule>
  </conditionalFormatting>
  <conditionalFormatting sqref="N28:U28">
    <cfRule type="iconSet" priority="11">
      <iconSet iconSet="5Arrows">
        <cfvo type="percent" val="0"/>
        <cfvo type="percent" val="1"/>
        <cfvo type="percent" val="20"/>
        <cfvo type="percent" val="80"/>
        <cfvo type="percent" val="99"/>
      </iconSet>
    </cfRule>
    <cfRule type="cellIs" dxfId="252" priority="13" operator="between">
      <formula>10</formula>
      <formula>99</formula>
    </cfRule>
    <cfRule type="cellIs" dxfId="251" priority="14" operator="between">
      <formula>-4.99999999</formula>
      <formula>9.9999</formula>
    </cfRule>
    <cfRule type="cellIs" dxfId="250" priority="15" operator="between">
      <formula>-5</formula>
      <formula>-99</formula>
    </cfRule>
  </conditionalFormatting>
  <conditionalFormatting sqref="N27:U27">
    <cfRule type="iconSet" priority="1">
      <iconSet iconSet="4Arrows">
        <cfvo type="percent" val="0"/>
        <cfvo type="percent" val="25"/>
        <cfvo type="percent" val="50"/>
        <cfvo type="percent" val="75"/>
      </iconSet>
    </cfRule>
    <cfRule type="cellIs" dxfId="249" priority="2" operator="between">
      <formula>6</formula>
      <formula>7</formula>
    </cfRule>
    <cfRule type="cellIs" dxfId="248" priority="3" operator="equal">
      <formula>5</formula>
    </cfRule>
    <cfRule type="cellIs" dxfId="247" priority="4" operator="equal">
      <formula>4</formula>
    </cfRule>
    <cfRule type="cellIs" dxfId="246" priority="5" operator="between">
      <formula>-1</formula>
      <formula>3</formula>
    </cfRule>
    <cfRule type="cellIs" dxfId="245" priority="6" operator="equal">
      <formula>-2</formula>
    </cfRule>
    <cfRule type="cellIs" dxfId="244" priority="7" operator="equal">
      <formula>-3</formula>
    </cfRule>
    <cfRule type="cellIs" dxfId="243" priority="8" operator="equal">
      <formula>-4</formula>
    </cfRule>
    <cfRule type="cellIs" dxfId="242" priority="9" operator="equal">
      <formula>-5</formula>
    </cfRule>
    <cfRule type="cellIs" dxfId="241" priority="10" operator="between">
      <formula>-6</formula>
      <formula>-7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/>
  <dimension ref="A1:W33"/>
  <sheetViews>
    <sheetView topLeftCell="D1" zoomScale="106" zoomScaleNormal="106" workbookViewId="0">
      <selection activeCell="W5" sqref="W5"/>
    </sheetView>
  </sheetViews>
  <sheetFormatPr defaultColWidth="9.140625" defaultRowHeight="9"/>
  <cols>
    <col min="1" max="5" width="9.140625" style="164"/>
    <col min="6" max="6" width="7.5703125" style="164" customWidth="1"/>
    <col min="7" max="9" width="7.28515625" style="164" customWidth="1"/>
    <col min="10" max="10" width="5.140625" style="164" customWidth="1"/>
    <col min="11" max="11" width="5.42578125" style="164" customWidth="1"/>
    <col min="12" max="12" width="7.140625" style="164" customWidth="1"/>
    <col min="13" max="13" width="8.42578125" style="164" customWidth="1"/>
    <col min="14" max="14" width="9.140625" style="164"/>
    <col min="15" max="15" width="9.42578125" style="164" customWidth="1"/>
    <col min="16" max="16" width="7.85546875" style="164" customWidth="1"/>
    <col min="17" max="16384" width="9.140625" style="164"/>
  </cols>
  <sheetData>
    <row r="1" spans="1:23">
      <c r="A1" s="255">
        <v>0</v>
      </c>
      <c r="B1" s="193"/>
      <c r="C1" s="194">
        <f>B14*0.66</f>
        <v>15.84</v>
      </c>
      <c r="D1" s="195">
        <f>-B14*0.66</f>
        <v>-15.84</v>
      </c>
      <c r="E1" s="272" t="s">
        <v>66</v>
      </c>
      <c r="F1" s="258" t="s">
        <v>60</v>
      </c>
      <c r="G1" s="258" t="s">
        <v>100</v>
      </c>
      <c r="H1" s="258" t="s">
        <v>99</v>
      </c>
      <c r="I1" s="258" t="s">
        <v>101</v>
      </c>
      <c r="K1" s="258" t="s">
        <v>46</v>
      </c>
      <c r="L1" s="258" t="s">
        <v>103</v>
      </c>
      <c r="M1" s="360" t="s">
        <v>282</v>
      </c>
      <c r="N1" s="258" t="s">
        <v>283</v>
      </c>
      <c r="O1" s="258" t="s">
        <v>284</v>
      </c>
      <c r="P1" s="258" t="s">
        <v>285</v>
      </c>
      <c r="Q1" s="258" t="s">
        <v>286</v>
      </c>
      <c r="S1" s="164" t="s">
        <v>287</v>
      </c>
      <c r="T1" s="164" t="s">
        <v>288</v>
      </c>
      <c r="U1" s="164" t="s">
        <v>289</v>
      </c>
      <c r="V1" s="164" t="s">
        <v>290</v>
      </c>
      <c r="W1" s="164" t="s">
        <v>291</v>
      </c>
    </row>
    <row r="2" spans="1:23" ht="9" customHeight="1">
      <c r="A2" s="256" t="s">
        <v>28</v>
      </c>
      <c r="B2" s="197">
        <f>IF(A2="","",HLOOKUP(A2,smArray,4,FALSE))</f>
        <v>-25</v>
      </c>
      <c r="C2" s="198">
        <f>B2+C1</f>
        <v>-9.16</v>
      </c>
      <c r="D2" s="198">
        <f>C2+D1</f>
        <v>-25</v>
      </c>
      <c r="E2" s="188"/>
      <c r="F2" s="166">
        <f>B2</f>
        <v>-25</v>
      </c>
      <c r="G2" s="166">
        <v>-31</v>
      </c>
      <c r="H2" s="166">
        <v>-17</v>
      </c>
      <c r="I2" s="164" t="str">
        <f>IF(A2="","",IF(G2&gt;H2,"Buy",IF(G2&lt;H2,"Sell",IF(G2=H2,"Wait"))))</f>
        <v>Sell</v>
      </c>
      <c r="J2" s="164" t="str">
        <f>IF(A2="","",IF(F2&gt;G2,"Buy",IF(F2&lt;G2,"Sell",IF(F2=G2,"Wait"))))</f>
        <v>Buy</v>
      </c>
      <c r="K2" s="361" t="str">
        <f t="shared" ref="K2:K9" si="0">A2</f>
        <v>USD</v>
      </c>
      <c r="L2" s="362">
        <f>IF(A2="","",HLOOKUP(A2,smArray,2,FALSE))</f>
        <v>2.7142857142857144</v>
      </c>
      <c r="M2" s="362">
        <v>6.2857142857142856</v>
      </c>
      <c r="N2" s="362">
        <v>6.2857142857142856</v>
      </c>
      <c r="O2" s="362">
        <v>4.8571428571428568</v>
      </c>
      <c r="P2" s="362"/>
      <c r="Q2" s="362"/>
      <c r="S2" s="166">
        <f>L2-M2</f>
        <v>-3.5714285714285712</v>
      </c>
      <c r="T2" s="166">
        <f t="shared" ref="T2:T9" si="1">L2-N2</f>
        <v>-3.5714285714285712</v>
      </c>
      <c r="U2" s="166">
        <f>L2-O2</f>
        <v>-2.1428571428571423</v>
      </c>
      <c r="V2" s="166">
        <f>L2-P2</f>
        <v>2.7142857142857144</v>
      </c>
      <c r="W2" s="166">
        <f>L2-Q2</f>
        <v>2.7142857142857144</v>
      </c>
    </row>
    <row r="3" spans="1:23">
      <c r="A3" s="196" t="s">
        <v>31</v>
      </c>
      <c r="B3" s="197">
        <f t="shared" ref="B3:B9" si="2">IF(A3="","",HLOOKUP(A3,smArray,4,FALSE))</f>
        <v>-17</v>
      </c>
      <c r="C3" s="198">
        <f>B3+C1</f>
        <v>-1.1600000000000001</v>
      </c>
      <c r="D3" s="198">
        <f>C3+D1</f>
        <v>-17</v>
      </c>
      <c r="E3" s="188"/>
      <c r="F3" s="166">
        <f t="shared" ref="F3:F9" si="3">B3</f>
        <v>-17</v>
      </c>
      <c r="G3" s="166">
        <v>31</v>
      </c>
      <c r="H3" s="166">
        <v>27</v>
      </c>
      <c r="I3" s="164" t="str">
        <f t="shared" ref="I3:I9" si="4">IF(A3="","",IF(G3&gt;H3,"Buy",IF(G3&lt;H3,"Sell",IF(G3=H3,"Wait"))))</f>
        <v>Buy</v>
      </c>
      <c r="J3" s="164" t="str">
        <f t="shared" ref="J3:J9" si="5">IF(A3="","",IF(F3&gt;G3,"Buy",IF(F3&lt;G3,"Sell",IF(F3=G3,"Wait"))))</f>
        <v>Sell</v>
      </c>
      <c r="K3" s="361" t="str">
        <f t="shared" si="0"/>
        <v>EUR</v>
      </c>
      <c r="L3" s="362">
        <f t="shared" ref="L3:L9" si="6">IF(A3="","",HLOOKUP(A3,smArray,2,FALSE))</f>
        <v>3.2857142857142856</v>
      </c>
      <c r="M3" s="362">
        <v>3.8571428571428572</v>
      </c>
      <c r="N3" s="362">
        <v>3.8571428571428572</v>
      </c>
      <c r="O3" s="362">
        <v>3</v>
      </c>
      <c r="P3" s="362"/>
      <c r="Q3" s="362"/>
      <c r="S3" s="166">
        <f t="shared" ref="S3:S9" si="7">L3-M3</f>
        <v>-0.57142857142857162</v>
      </c>
      <c r="T3" s="166">
        <f t="shared" si="1"/>
        <v>-0.57142857142857162</v>
      </c>
      <c r="U3" s="166">
        <f t="shared" ref="U3:U9" si="8">L3-O3</f>
        <v>0.28571428571428559</v>
      </c>
      <c r="V3" s="166">
        <f t="shared" ref="V3:V9" si="9">L3-P3</f>
        <v>3.2857142857142856</v>
      </c>
      <c r="W3" s="166">
        <f t="shared" ref="W3:W9" si="10">L3-Q3</f>
        <v>3.2857142857142856</v>
      </c>
    </row>
    <row r="4" spans="1:23">
      <c r="A4" s="196" t="s">
        <v>33</v>
      </c>
      <c r="B4" s="197">
        <f t="shared" si="2"/>
        <v>-33</v>
      </c>
      <c r="C4" s="198">
        <f>B4+C1</f>
        <v>-17.16</v>
      </c>
      <c r="D4" s="198">
        <f>C4+D1</f>
        <v>-33</v>
      </c>
      <c r="E4" s="188"/>
      <c r="F4" s="166">
        <f t="shared" si="3"/>
        <v>-33</v>
      </c>
      <c r="G4" s="166">
        <v>1</v>
      </c>
      <c r="H4" s="166">
        <v>15</v>
      </c>
      <c r="I4" s="164" t="str">
        <f t="shared" si="4"/>
        <v>Sell</v>
      </c>
      <c r="J4" s="164" t="str">
        <f t="shared" si="5"/>
        <v>Sell</v>
      </c>
      <c r="K4" s="361" t="str">
        <f t="shared" si="0"/>
        <v>GBP</v>
      </c>
      <c r="L4" s="362">
        <f t="shared" si="6"/>
        <v>2.1428571428571428</v>
      </c>
      <c r="M4" s="362">
        <v>4.1428571428571432</v>
      </c>
      <c r="N4" s="362">
        <v>4.1428571428571432</v>
      </c>
      <c r="O4" s="362">
        <v>5</v>
      </c>
      <c r="P4" s="362"/>
      <c r="Q4" s="362"/>
      <c r="S4" s="166">
        <f t="shared" si="7"/>
        <v>-2.0000000000000004</v>
      </c>
      <c r="T4" s="166">
        <f t="shared" si="1"/>
        <v>-2.0000000000000004</v>
      </c>
      <c r="U4" s="166">
        <f t="shared" si="8"/>
        <v>-2.8571428571428572</v>
      </c>
      <c r="V4" s="166">
        <f t="shared" si="9"/>
        <v>2.1428571428571428</v>
      </c>
      <c r="W4" s="166">
        <f t="shared" si="10"/>
        <v>2.1428571428571428</v>
      </c>
    </row>
    <row r="5" spans="1:23">
      <c r="A5" s="196" t="s">
        <v>32</v>
      </c>
      <c r="B5" s="197">
        <f t="shared" si="2"/>
        <v>9</v>
      </c>
      <c r="C5" s="198">
        <f>B5+C1</f>
        <v>24.84</v>
      </c>
      <c r="D5" s="198">
        <f>C5+D1</f>
        <v>9</v>
      </c>
      <c r="E5" s="188"/>
      <c r="F5" s="166">
        <f t="shared" si="3"/>
        <v>9</v>
      </c>
      <c r="G5" s="166">
        <v>-9</v>
      </c>
      <c r="H5" s="166">
        <v>1</v>
      </c>
      <c r="I5" s="164" t="str">
        <f t="shared" si="4"/>
        <v>Sell</v>
      </c>
      <c r="J5" s="164" t="str">
        <f t="shared" si="5"/>
        <v>Buy</v>
      </c>
      <c r="K5" s="361" t="str">
        <f t="shared" si="0"/>
        <v>JPY</v>
      </c>
      <c r="L5" s="362">
        <f t="shared" si="6"/>
        <v>5.1428571428571432</v>
      </c>
      <c r="M5" s="362">
        <v>3.5714285714285716</v>
      </c>
      <c r="N5" s="362">
        <v>3.5714285714285716</v>
      </c>
      <c r="O5" s="362">
        <v>5.2857142857142856</v>
      </c>
      <c r="P5" s="362"/>
      <c r="Q5" s="362"/>
      <c r="S5" s="166">
        <f t="shared" si="7"/>
        <v>1.5714285714285716</v>
      </c>
      <c r="T5" s="166">
        <f t="shared" si="1"/>
        <v>1.5714285714285716</v>
      </c>
      <c r="U5" s="166">
        <f t="shared" si="8"/>
        <v>-0.14285714285714235</v>
      </c>
      <c r="V5" s="166">
        <f t="shared" si="9"/>
        <v>5.1428571428571432</v>
      </c>
      <c r="W5" s="166">
        <f t="shared" si="10"/>
        <v>5.1428571428571432</v>
      </c>
    </row>
    <row r="6" spans="1:23">
      <c r="A6" s="196" t="s">
        <v>30</v>
      </c>
      <c r="B6" s="197">
        <f t="shared" si="2"/>
        <v>7</v>
      </c>
      <c r="C6" s="198">
        <f>B6+C1</f>
        <v>22.84</v>
      </c>
      <c r="D6" s="198">
        <f>C6+D1</f>
        <v>7</v>
      </c>
      <c r="E6" s="188"/>
      <c r="F6" s="166">
        <f t="shared" si="3"/>
        <v>7</v>
      </c>
      <c r="G6" s="166">
        <v>29</v>
      </c>
      <c r="H6" s="166">
        <v>11</v>
      </c>
      <c r="I6" s="164" t="str">
        <f>IF(A6="","",IF(G6&gt;H6,"Buy",IF(G6&lt;H6,"Sell",IF(G6=H6,"Wait"))))</f>
        <v>Buy</v>
      </c>
      <c r="J6" s="164" t="str">
        <f t="shared" si="5"/>
        <v>Sell</v>
      </c>
      <c r="K6" s="361" t="str">
        <f t="shared" si="0"/>
        <v>CHF</v>
      </c>
      <c r="L6" s="362">
        <f t="shared" si="6"/>
        <v>5</v>
      </c>
      <c r="M6" s="362">
        <v>5.1428571428571432</v>
      </c>
      <c r="N6" s="362">
        <v>5.1428571428571432</v>
      </c>
      <c r="O6" s="362">
        <v>2.8571428571428572</v>
      </c>
      <c r="P6" s="362"/>
      <c r="Q6" s="362"/>
      <c r="S6" s="166">
        <f t="shared" si="7"/>
        <v>-0.14285714285714324</v>
      </c>
      <c r="T6" s="166">
        <f t="shared" si="1"/>
        <v>-0.14285714285714324</v>
      </c>
      <c r="U6" s="166">
        <f t="shared" si="8"/>
        <v>2.1428571428571428</v>
      </c>
      <c r="V6" s="166">
        <f t="shared" si="9"/>
        <v>5</v>
      </c>
      <c r="W6" s="166">
        <f t="shared" si="10"/>
        <v>5</v>
      </c>
    </row>
    <row r="7" spans="1:23">
      <c r="A7" s="196" t="s">
        <v>34</v>
      </c>
      <c r="B7" s="197">
        <f t="shared" si="2"/>
        <v>27</v>
      </c>
      <c r="C7" s="198">
        <f>B7+C1</f>
        <v>42.84</v>
      </c>
      <c r="D7" s="198">
        <f>C7+D1</f>
        <v>27.000000000000004</v>
      </c>
      <c r="E7" s="188"/>
      <c r="F7" s="166">
        <f t="shared" si="3"/>
        <v>27</v>
      </c>
      <c r="G7" s="166">
        <v>-31</v>
      </c>
      <c r="H7" s="166">
        <v>-27</v>
      </c>
      <c r="I7" s="164" t="str">
        <f>IF(A7="","",IF(G7&gt;H7,"Buy",IF(G7&lt;H7,"Sell",IF(G7=H7,"Wait"))))</f>
        <v>Sell</v>
      </c>
      <c r="J7" s="164" t="str">
        <f t="shared" si="5"/>
        <v>Buy</v>
      </c>
      <c r="K7" s="361" t="str">
        <f t="shared" si="0"/>
        <v>AUD</v>
      </c>
      <c r="L7" s="362">
        <f t="shared" si="6"/>
        <v>6.4285714285714288</v>
      </c>
      <c r="M7" s="362">
        <v>4.8571428571428568</v>
      </c>
      <c r="N7" s="362">
        <v>4.8571428571428568</v>
      </c>
      <c r="O7" s="362">
        <v>6.5714285714285712</v>
      </c>
      <c r="P7" s="362"/>
      <c r="Q7" s="362"/>
      <c r="S7" s="166">
        <f t="shared" si="7"/>
        <v>1.5714285714285721</v>
      </c>
      <c r="T7" s="166">
        <f t="shared" si="1"/>
        <v>1.5714285714285721</v>
      </c>
      <c r="U7" s="166">
        <f t="shared" si="8"/>
        <v>-0.14285714285714235</v>
      </c>
      <c r="V7" s="166">
        <f t="shared" si="9"/>
        <v>6.4285714285714288</v>
      </c>
      <c r="W7" s="166">
        <f t="shared" si="10"/>
        <v>6.4285714285714288</v>
      </c>
    </row>
    <row r="8" spans="1:23">
      <c r="A8" s="196" t="s">
        <v>35</v>
      </c>
      <c r="B8" s="197">
        <f t="shared" si="2"/>
        <v>-21</v>
      </c>
      <c r="C8" s="198">
        <f>B8+C1</f>
        <v>-5.16</v>
      </c>
      <c r="D8" s="198">
        <f>C8+D1</f>
        <v>-21</v>
      </c>
      <c r="E8" s="188"/>
      <c r="F8" s="166">
        <f t="shared" si="3"/>
        <v>-21</v>
      </c>
      <c r="G8" s="166">
        <v>11</v>
      </c>
      <c r="H8" s="166">
        <v>9</v>
      </c>
      <c r="I8" s="164" t="str">
        <f t="shared" si="4"/>
        <v>Buy</v>
      </c>
      <c r="J8" s="164" t="str">
        <f t="shared" si="5"/>
        <v>Sell</v>
      </c>
      <c r="K8" s="361" t="str">
        <f t="shared" si="0"/>
        <v>CAD</v>
      </c>
      <c r="L8" s="362">
        <f t="shared" si="6"/>
        <v>3</v>
      </c>
      <c r="M8" s="362">
        <v>4.4285714285714288</v>
      </c>
      <c r="N8" s="362">
        <v>4.4285714285714288</v>
      </c>
      <c r="O8" s="362">
        <v>2.4285714285714284</v>
      </c>
      <c r="P8" s="362"/>
      <c r="Q8" s="362"/>
      <c r="S8" s="166">
        <f t="shared" si="7"/>
        <v>-1.4285714285714288</v>
      </c>
      <c r="T8" s="166">
        <f t="shared" si="1"/>
        <v>-1.4285714285714288</v>
      </c>
      <c r="U8" s="166">
        <f t="shared" si="8"/>
        <v>0.57142857142857162</v>
      </c>
      <c r="V8" s="166">
        <f t="shared" si="9"/>
        <v>3</v>
      </c>
      <c r="W8" s="166">
        <f t="shared" si="10"/>
        <v>3</v>
      </c>
    </row>
    <row r="9" spans="1:23">
      <c r="A9" s="199" t="s">
        <v>36</v>
      </c>
      <c r="B9" s="197">
        <f t="shared" si="2"/>
        <v>53</v>
      </c>
      <c r="C9" s="198">
        <f>B9+C1</f>
        <v>68.84</v>
      </c>
      <c r="D9" s="198">
        <f>C9+D1</f>
        <v>53</v>
      </c>
      <c r="E9" s="188"/>
      <c r="F9" s="166">
        <f t="shared" si="3"/>
        <v>53</v>
      </c>
      <c r="G9" s="166">
        <v>-1</v>
      </c>
      <c r="H9" s="166">
        <v>-19</v>
      </c>
      <c r="I9" s="164" t="str">
        <f t="shared" si="4"/>
        <v>Buy</v>
      </c>
      <c r="J9" s="164" t="str">
        <f t="shared" si="5"/>
        <v>Buy</v>
      </c>
      <c r="K9" s="361" t="str">
        <f t="shared" si="0"/>
        <v>NZD</v>
      </c>
      <c r="L9" s="362">
        <f t="shared" si="6"/>
        <v>8.2857142857142865</v>
      </c>
      <c r="M9" s="362">
        <v>3.7142857142857144</v>
      </c>
      <c r="N9" s="362">
        <v>3.7142857142857144</v>
      </c>
      <c r="O9" s="362">
        <v>6</v>
      </c>
      <c r="P9" s="362"/>
      <c r="Q9" s="362"/>
      <c r="S9" s="166">
        <f t="shared" si="7"/>
        <v>4.5714285714285721</v>
      </c>
      <c r="T9" s="166">
        <f t="shared" si="1"/>
        <v>4.5714285714285721</v>
      </c>
      <c r="U9" s="166">
        <f t="shared" si="8"/>
        <v>2.2857142857142865</v>
      </c>
      <c r="V9" s="166">
        <f t="shared" si="9"/>
        <v>8.2857142857142865</v>
      </c>
      <c r="W9" s="166">
        <f t="shared" si="10"/>
        <v>8.2857142857142865</v>
      </c>
    </row>
    <row r="10" spans="1:23">
      <c r="A10" s="200"/>
      <c r="B10" s="189"/>
      <c r="C10" s="190"/>
      <c r="D10" s="190"/>
      <c r="E10" s="188"/>
    </row>
    <row r="11" spans="1:23">
      <c r="A11" s="201" t="s">
        <v>72</v>
      </c>
      <c r="B11" s="202">
        <f>SUMIF(B2:B9,"&lt;0")</f>
        <v>-96</v>
      </c>
      <c r="C11" s="202">
        <f>SUMIF(C2:C9,"&lt;0")</f>
        <v>-32.64</v>
      </c>
      <c r="D11" s="202">
        <f>SUMIF(D2:D9,"&lt;0")</f>
        <v>-96</v>
      </c>
      <c r="E11" s="188"/>
    </row>
    <row r="12" spans="1:23">
      <c r="A12" s="203" t="s">
        <v>73</v>
      </c>
      <c r="B12" s="204">
        <f>SUMIF(B2:B9,"&gt;0")</f>
        <v>96</v>
      </c>
      <c r="C12" s="204">
        <f>SUMIF(C2:C9,"&gt;0")</f>
        <v>159.36000000000001</v>
      </c>
      <c r="D12" s="204">
        <f>SUMIF(D2:D9,"&gt;0")</f>
        <v>96</v>
      </c>
      <c r="E12" s="188"/>
    </row>
    <row r="13" spans="1:23" ht="9.75" thickBot="1">
      <c r="A13" s="205" t="s">
        <v>74</v>
      </c>
      <c r="B13" s="206">
        <f>B11*-1+B12</f>
        <v>192</v>
      </c>
      <c r="C13" s="206">
        <f>C11*-1+C12</f>
        <v>192</v>
      </c>
      <c r="D13" s="206">
        <f>D11*-1+D12</f>
        <v>192</v>
      </c>
      <c r="E13" s="188"/>
    </row>
    <row r="14" spans="1:23" ht="12">
      <c r="A14" s="207" t="s">
        <v>75</v>
      </c>
      <c r="B14" s="208">
        <f>B13/8</f>
        <v>24</v>
      </c>
      <c r="C14" s="208">
        <f>C13/8</f>
        <v>24</v>
      </c>
      <c r="D14" s="208">
        <f>D13/8</f>
        <v>24</v>
      </c>
      <c r="E14" s="188"/>
      <c r="F14" s="168" t="s">
        <v>28</v>
      </c>
      <c r="G14" s="169" t="s">
        <v>32</v>
      </c>
      <c r="H14" s="170" t="s">
        <v>33</v>
      </c>
      <c r="I14" s="169" t="s">
        <v>31</v>
      </c>
      <c r="J14" s="170" t="s">
        <v>34</v>
      </c>
      <c r="K14" s="169" t="s">
        <v>36</v>
      </c>
      <c r="L14" s="170" t="s">
        <v>35</v>
      </c>
      <c r="M14" s="171" t="s">
        <v>30</v>
      </c>
    </row>
    <row r="15" spans="1:23">
      <c r="A15" s="209"/>
      <c r="B15" s="210"/>
      <c r="C15" s="188"/>
      <c r="D15" s="188"/>
      <c r="E15" s="188"/>
      <c r="F15" s="166">
        <f t="shared" ref="F15:M15" si="11">IF(F14="","",HLOOKUP(F14,sYNC2,2,FALSE))</f>
        <v>-3.7142857142857144</v>
      </c>
      <c r="G15" s="166">
        <f t="shared" si="11"/>
        <v>-1.2857142857142856</v>
      </c>
      <c r="H15" s="166">
        <f t="shared" si="11"/>
        <v>-1.1428571428571428</v>
      </c>
      <c r="I15" s="166">
        <f t="shared" si="11"/>
        <v>-3.1428571428571432</v>
      </c>
      <c r="J15" s="166">
        <f t="shared" si="11"/>
        <v>3.4285714285714288</v>
      </c>
      <c r="K15" s="166">
        <f t="shared" si="11"/>
        <v>1.8571428571428577</v>
      </c>
      <c r="L15" s="166">
        <f t="shared" si="11"/>
        <v>-3.4285714285714288</v>
      </c>
      <c r="M15" s="166">
        <f t="shared" si="11"/>
        <v>-1.4285714285714288</v>
      </c>
    </row>
    <row r="16" spans="1:23" ht="9.75" thickBot="1">
      <c r="A16" s="194" t="s">
        <v>76</v>
      </c>
      <c r="B16" s="193"/>
      <c r="C16" s="195" t="s">
        <v>77</v>
      </c>
      <c r="D16" s="211"/>
      <c r="E16" s="188"/>
      <c r="F16" s="166">
        <f t="shared" ref="F16:M16" si="12">IF(F14="","",HLOOKUP(F14,sYNC2,3,FALSE))</f>
        <v>-0.57142857142857117</v>
      </c>
      <c r="G16" s="166">
        <f t="shared" si="12"/>
        <v>2.1428571428571432</v>
      </c>
      <c r="H16" s="166">
        <f t="shared" si="12"/>
        <v>-4.2857142857142865</v>
      </c>
      <c r="I16" s="166">
        <f t="shared" si="12"/>
        <v>0.28571428571428559</v>
      </c>
      <c r="J16" s="166">
        <f t="shared" si="12"/>
        <v>1.4285714285714288</v>
      </c>
      <c r="K16" s="166">
        <f t="shared" si="12"/>
        <v>5.0000000000000009</v>
      </c>
      <c r="L16" s="166">
        <f t="shared" si="12"/>
        <v>-2</v>
      </c>
      <c r="M16" s="166">
        <f t="shared" si="12"/>
        <v>2</v>
      </c>
    </row>
    <row r="17" spans="1:13">
      <c r="A17" s="212" t="s">
        <v>78</v>
      </c>
      <c r="B17" s="213">
        <v>0.6</v>
      </c>
      <c r="C17" s="214" t="s">
        <v>78</v>
      </c>
      <c r="D17" s="215">
        <f>E32</f>
        <v>0.79999999999999993</v>
      </c>
      <c r="E17" s="188"/>
      <c r="F17" s="166">
        <f t="shared" ref="F17:M17" si="13">IF(F14="","",HLOOKUP(F14,sYNC2,4,FALSE))</f>
        <v>0.57142857142857162</v>
      </c>
      <c r="G17" s="166">
        <f t="shared" si="13"/>
        <v>0.14285714285714324</v>
      </c>
      <c r="H17" s="166">
        <f t="shared" si="13"/>
        <v>-0.85714285714285721</v>
      </c>
      <c r="I17" s="166">
        <f t="shared" si="13"/>
        <v>-1.7142857142857144</v>
      </c>
      <c r="J17" s="166">
        <f t="shared" si="13"/>
        <v>1.2857142857142856</v>
      </c>
      <c r="K17" s="166">
        <f t="shared" si="13"/>
        <v>6.1428571428571441</v>
      </c>
      <c r="L17" s="166">
        <f t="shared" si="13"/>
        <v>-2.1428571428571432</v>
      </c>
      <c r="M17" s="166">
        <f t="shared" si="13"/>
        <v>-0.14285714285714324</v>
      </c>
    </row>
    <row r="18" spans="1:13" ht="9.75" thickBot="1">
      <c r="A18" s="216" t="s">
        <v>79</v>
      </c>
      <c r="B18" s="217">
        <v>0.4</v>
      </c>
      <c r="C18" s="218" t="s">
        <v>79</v>
      </c>
      <c r="D18" s="219">
        <f>E33</f>
        <v>0.29999999999999993</v>
      </c>
      <c r="E18" s="188"/>
      <c r="F18" s="166">
        <f t="shared" ref="F18:M18" si="14">IF(F14="","",HLOOKUP(F14,sYNC2,5,FALSE))</f>
        <v>-0.28571428571428559</v>
      </c>
      <c r="G18" s="166">
        <f t="shared" si="14"/>
        <v>1.8571428571428577</v>
      </c>
      <c r="H18" s="166">
        <f t="shared" si="14"/>
        <v>-2.8571428571428572</v>
      </c>
      <c r="I18" s="166">
        <f t="shared" si="14"/>
        <v>1.1428571428571428</v>
      </c>
      <c r="J18" s="166">
        <f t="shared" si="14"/>
        <v>-1.8571428571428577</v>
      </c>
      <c r="K18" s="166">
        <f t="shared" si="14"/>
        <v>5.2857142857142865</v>
      </c>
      <c r="L18" s="166">
        <f t="shared" si="14"/>
        <v>-0.28571428571428559</v>
      </c>
      <c r="M18" s="166">
        <f t="shared" si="14"/>
        <v>1.7142857142857144</v>
      </c>
    </row>
    <row r="19" spans="1:13">
      <c r="A19" s="194" t="s">
        <v>80</v>
      </c>
      <c r="B19" s="193"/>
      <c r="C19" s="220" t="s">
        <v>94</v>
      </c>
      <c r="D19" s="221" t="s">
        <v>95</v>
      </c>
      <c r="E19" s="188"/>
      <c r="F19" s="166">
        <f t="shared" ref="F19:M19" si="15">IF(F14="","",HLOOKUP(F14,sYNC2,6,FALSE))</f>
        <v>-2.2857142857142856</v>
      </c>
      <c r="G19" s="166">
        <f t="shared" si="15"/>
        <v>3.0000000000000004</v>
      </c>
      <c r="H19" s="166">
        <f t="shared" si="15"/>
        <v>-3.0000000000000004</v>
      </c>
      <c r="I19" s="166">
        <f t="shared" si="15"/>
        <v>-1.8571428571428577</v>
      </c>
      <c r="J19" s="166">
        <f t="shared" si="15"/>
        <v>3.7142857142857144</v>
      </c>
      <c r="K19" s="166">
        <f t="shared" si="15"/>
        <v>3.2857142857142865</v>
      </c>
      <c r="L19" s="166">
        <f t="shared" si="15"/>
        <v>0.85714285714285721</v>
      </c>
      <c r="M19" s="166">
        <f t="shared" si="15"/>
        <v>2.8571428571428572</v>
      </c>
    </row>
    <row r="20" spans="1:13">
      <c r="A20" s="222" t="s">
        <v>81</v>
      </c>
      <c r="B20" s="223">
        <f>(B11+B12)/8</f>
        <v>0</v>
      </c>
      <c r="C20" s="224">
        <f>C1</f>
        <v>15.84</v>
      </c>
      <c r="D20" s="225">
        <f>D1</f>
        <v>-15.84</v>
      </c>
      <c r="E20" s="226" t="s">
        <v>82</v>
      </c>
      <c r="F20" s="166">
        <f t="shared" ref="F20:M20" si="16">IF(F14="","",HLOOKUP(F14,sYNC2,7,FALSE))</f>
        <v>-2.4285714285714288</v>
      </c>
      <c r="G20" s="166">
        <f t="shared" si="16"/>
        <v>-3.1428571428571432</v>
      </c>
      <c r="H20" s="166">
        <f t="shared" si="16"/>
        <v>-6.1428571428571441</v>
      </c>
      <c r="I20" s="166">
        <f t="shared" si="16"/>
        <v>-5.0000000000000009</v>
      </c>
      <c r="J20" s="166">
        <f t="shared" si="16"/>
        <v>3.1428571428571432</v>
      </c>
      <c r="K20" s="166">
        <f t="shared" si="16"/>
        <v>3.1428571428571432</v>
      </c>
      <c r="L20" s="166">
        <f t="shared" si="16"/>
        <v>-5.2857142857142865</v>
      </c>
      <c r="M20" s="166">
        <f t="shared" si="16"/>
        <v>-3.2857142857142865</v>
      </c>
    </row>
    <row r="21" spans="1:13" ht="9.75" thickBot="1">
      <c r="A21" s="207" t="s">
        <v>75</v>
      </c>
      <c r="B21" s="223">
        <f>B14</f>
        <v>24</v>
      </c>
      <c r="C21" s="224">
        <f>C14</f>
        <v>24</v>
      </c>
      <c r="D21" s="225">
        <f>D14</f>
        <v>24</v>
      </c>
      <c r="E21" s="227" t="s">
        <v>83</v>
      </c>
      <c r="F21" s="166">
        <f t="shared" ref="F21:M21" si="17">IF(F14="","",HLOOKUP(F14,sYNC2,8,FALSE))</f>
        <v>-5.5714285714285721</v>
      </c>
      <c r="G21" s="166">
        <f t="shared" si="17"/>
        <v>2.4285714285714288</v>
      </c>
      <c r="H21" s="166">
        <f t="shared" si="17"/>
        <v>-0.57142857142857162</v>
      </c>
      <c r="I21" s="166">
        <f t="shared" si="17"/>
        <v>0.57142857142857117</v>
      </c>
      <c r="J21" s="166">
        <f t="shared" si="17"/>
        <v>4.2857142857142865</v>
      </c>
      <c r="K21" s="166">
        <f t="shared" si="17"/>
        <v>5.5714285714285721</v>
      </c>
      <c r="L21" s="166">
        <f t="shared" si="17"/>
        <v>0.28571428571428559</v>
      </c>
      <c r="M21" s="166">
        <f t="shared" si="17"/>
        <v>2.2857142857142856</v>
      </c>
    </row>
    <row r="22" spans="1:13">
      <c r="A22" s="228" t="s">
        <v>78</v>
      </c>
      <c r="B22" s="223">
        <f>B20+B21*B25</f>
        <v>19.2</v>
      </c>
      <c r="C22" s="224">
        <f>C20+C21*B25</f>
        <v>35.04</v>
      </c>
      <c r="D22" s="225">
        <f>D20+D21*B25</f>
        <v>3.3599999999999994</v>
      </c>
      <c r="E22" s="259" t="s">
        <v>84</v>
      </c>
      <c r="F22" s="260">
        <f t="shared" ref="F22:M22" si="18">IF(F14="","",HLOOKUP(F14,sYNC2,9,FALSE))</f>
        <v>1</v>
      </c>
      <c r="G22" s="261">
        <f t="shared" si="18"/>
        <v>5</v>
      </c>
      <c r="H22" s="261">
        <f t="shared" si="18"/>
        <v>0</v>
      </c>
      <c r="I22" s="261">
        <f t="shared" si="18"/>
        <v>3</v>
      </c>
      <c r="J22" s="261">
        <f t="shared" si="18"/>
        <v>6</v>
      </c>
      <c r="K22" s="261">
        <f t="shared" si="18"/>
        <v>7</v>
      </c>
      <c r="L22" s="261">
        <f t="shared" si="18"/>
        <v>2</v>
      </c>
      <c r="M22" s="262">
        <f t="shared" si="18"/>
        <v>4</v>
      </c>
    </row>
    <row r="23" spans="1:13" ht="9.75" thickBot="1">
      <c r="A23" s="229" t="s">
        <v>79</v>
      </c>
      <c r="B23" s="223">
        <f>B20-B14*(1-B26)</f>
        <v>-16.8</v>
      </c>
      <c r="C23" s="224">
        <f>C20-C14*(1-B26)</f>
        <v>-0.96000000000000085</v>
      </c>
      <c r="D23" s="225">
        <f>D20-D14*(1-B26)</f>
        <v>-32.64</v>
      </c>
      <c r="E23" s="259" t="s">
        <v>85</v>
      </c>
      <c r="F23" s="263">
        <f t="shared" ref="F23:M23" si="19">IF(F14="","",HLOOKUP(F14,sYNC2,10,FALSE))*-1</f>
        <v>-6</v>
      </c>
      <c r="G23" s="264">
        <f t="shared" si="19"/>
        <v>-2</v>
      </c>
      <c r="H23" s="264">
        <f t="shared" si="19"/>
        <v>-7</v>
      </c>
      <c r="I23" s="264">
        <f t="shared" si="19"/>
        <v>-4</v>
      </c>
      <c r="J23" s="264">
        <f t="shared" si="19"/>
        <v>-1</v>
      </c>
      <c r="K23" s="264">
        <f t="shared" si="19"/>
        <v>0</v>
      </c>
      <c r="L23" s="264">
        <f t="shared" si="19"/>
        <v>-5</v>
      </c>
      <c r="M23" s="265">
        <f t="shared" si="19"/>
        <v>-3</v>
      </c>
    </row>
    <row r="24" spans="1:13" ht="9.75" thickBot="1">
      <c r="A24" s="194" t="s">
        <v>86</v>
      </c>
      <c r="B24" s="230"/>
      <c r="C24" s="231"/>
      <c r="D24" s="191"/>
      <c r="E24" s="188"/>
      <c r="F24" s="164" t="str">
        <f>I2</f>
        <v>Sell</v>
      </c>
      <c r="G24" s="164" t="str">
        <f>I5</f>
        <v>Sell</v>
      </c>
      <c r="H24" s="164" t="str">
        <f>I4</f>
        <v>Sell</v>
      </c>
      <c r="I24" s="164" t="str">
        <f>I3</f>
        <v>Buy</v>
      </c>
      <c r="J24" s="164" t="str">
        <f>I7</f>
        <v>Sell</v>
      </c>
      <c r="K24" s="164" t="str">
        <f>I9</f>
        <v>Buy</v>
      </c>
      <c r="L24" s="164" t="str">
        <f>I8</f>
        <v>Buy</v>
      </c>
      <c r="M24" s="164" t="str">
        <f>I6</f>
        <v>Buy</v>
      </c>
    </row>
    <row r="25" spans="1:13">
      <c r="A25" s="232" t="s">
        <v>87</v>
      </c>
      <c r="B25" s="233">
        <f>E32</f>
        <v>0.79999999999999993</v>
      </c>
      <c r="C25" s="234">
        <f>B20+B21*B25</f>
        <v>19.2</v>
      </c>
      <c r="D25" s="235"/>
      <c r="E25" s="188"/>
    </row>
    <row r="26" spans="1:13" ht="9.75" thickBot="1">
      <c r="A26" s="236" t="s">
        <v>88</v>
      </c>
      <c r="B26" s="237">
        <f>E33</f>
        <v>0.29999999999999993</v>
      </c>
      <c r="C26" s="238">
        <f>B20-B21*(1-B26)</f>
        <v>-16.8</v>
      </c>
      <c r="D26" s="239"/>
      <c r="E26" s="188"/>
    </row>
    <row r="27" spans="1:13" ht="9.75" thickBot="1">
      <c r="A27" s="194" t="s">
        <v>96</v>
      </c>
      <c r="B27" s="193"/>
      <c r="C27" s="192"/>
      <c r="D27" s="240"/>
      <c r="E27" s="188"/>
    </row>
    <row r="28" spans="1:13">
      <c r="A28" s="241" t="s">
        <v>97</v>
      </c>
      <c r="B28" s="242">
        <v>25</v>
      </c>
      <c r="C28" s="191"/>
      <c r="D28" s="240"/>
      <c r="E28" s="188"/>
    </row>
    <row r="29" spans="1:13" ht="9.75" thickBot="1">
      <c r="A29" s="241" t="s">
        <v>98</v>
      </c>
      <c r="B29" s="243">
        <v>25</v>
      </c>
      <c r="C29" s="191"/>
      <c r="D29" s="191"/>
      <c r="E29" s="188"/>
    </row>
    <row r="30" spans="1:13" ht="9.75" thickBot="1">
      <c r="A30" s="194" t="s">
        <v>89</v>
      </c>
      <c r="B30" s="230"/>
      <c r="C30" s="231"/>
    </row>
    <row r="31" spans="1:13" ht="9.75" thickBot="1">
      <c r="A31" s="244" t="s">
        <v>29</v>
      </c>
      <c r="B31" s="245" t="s">
        <v>90</v>
      </c>
      <c r="C31" s="245" t="s">
        <v>91</v>
      </c>
      <c r="D31" s="245" t="s">
        <v>92</v>
      </c>
      <c r="E31" s="246" t="s">
        <v>93</v>
      </c>
    </row>
    <row r="32" spans="1:13">
      <c r="A32" s="247">
        <f>B12/B13</f>
        <v>0.5</v>
      </c>
      <c r="B32" s="248">
        <f>A32/0.5</f>
        <v>1</v>
      </c>
      <c r="C32" s="249">
        <f>1-B17</f>
        <v>0.4</v>
      </c>
      <c r="D32" s="249">
        <f>B12*B32*C32</f>
        <v>38.400000000000006</v>
      </c>
      <c r="E32" s="250">
        <f>1-D32/B13</f>
        <v>0.79999999999999993</v>
      </c>
    </row>
    <row r="33" spans="1:5" ht="9.75" thickBot="1">
      <c r="A33" s="251">
        <f>B11/B13</f>
        <v>-0.5</v>
      </c>
      <c r="B33" s="248">
        <f>A33/0.5</f>
        <v>-1</v>
      </c>
      <c r="C33" s="252">
        <f>B18</f>
        <v>0.4</v>
      </c>
      <c r="D33" s="249">
        <f>B11*B33*C33</f>
        <v>38.400000000000006</v>
      </c>
      <c r="E33" s="253">
        <f>0.5-D33/B13</f>
        <v>0.29999999999999993</v>
      </c>
    </row>
  </sheetData>
  <conditionalFormatting sqref="I2:J2 J3:J9">
    <cfRule type="colorScale" priority="142">
      <colorScale>
        <cfvo type="min" val="0"/>
        <cfvo type="max" val="0"/>
        <color rgb="FFFF0000"/>
        <color rgb="FF0070C0"/>
      </colorScale>
    </cfRule>
  </conditionalFormatting>
  <conditionalFormatting sqref="F15:M21">
    <cfRule type="colorScale" priority="123">
      <colorScale>
        <cfvo type="min" val="0"/>
        <cfvo type="max" val="0"/>
        <color rgb="FFFF0000"/>
        <color rgb="FF0070C0"/>
      </colorScale>
    </cfRule>
  </conditionalFormatting>
  <conditionalFormatting sqref="F22:M23">
    <cfRule type="iconSet" priority="120">
      <iconSet iconSet="3Arrows">
        <cfvo type="percent" val="0"/>
        <cfvo type="num" val="-4.9000000000000004"/>
        <cfvo type="num" val="5"/>
      </iconSet>
    </cfRule>
    <cfRule type="colorScale" priority="122">
      <colorScale>
        <cfvo type="min" val="0"/>
        <cfvo type="max" val="0"/>
        <color rgb="FFFF0000"/>
        <color rgb="FF0070C0"/>
      </colorScale>
    </cfRule>
  </conditionalFormatting>
  <conditionalFormatting sqref="L2:L9">
    <cfRule type="iconSet" priority="113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240" priority="114" operator="between">
      <formula>6.00001</formula>
      <formula>10</formula>
    </cfRule>
    <cfRule type="cellIs" dxfId="239" priority="115" operator="between">
      <formula>5.000001</formula>
      <formula>6</formula>
    </cfRule>
    <cfRule type="cellIs" dxfId="238" priority="116" operator="between">
      <formula>4.000001</formula>
      <formula>5</formula>
    </cfRule>
    <cfRule type="cellIs" dxfId="237" priority="117" operator="between">
      <formula>3.0000001</formula>
      <formula>4</formula>
    </cfRule>
    <cfRule type="cellIs" dxfId="236" priority="118" operator="between">
      <formula>2.000001</formula>
      <formula>3</formula>
    </cfRule>
    <cfRule type="cellIs" dxfId="235" priority="119" operator="between">
      <formula>0</formula>
      <formula>2</formula>
    </cfRule>
  </conditionalFormatting>
  <conditionalFormatting sqref="N2:N9">
    <cfRule type="iconSet" priority="57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234" priority="58" operator="between">
      <formula>6.00001</formula>
      <formula>10</formula>
    </cfRule>
    <cfRule type="cellIs" dxfId="233" priority="59" operator="between">
      <formula>5.000001</formula>
      <formula>6</formula>
    </cfRule>
    <cfRule type="cellIs" dxfId="232" priority="60" operator="between">
      <formula>4.000001</formula>
      <formula>5</formula>
    </cfRule>
    <cfRule type="cellIs" dxfId="231" priority="61" operator="between">
      <formula>3.0000001</formula>
      <formula>4</formula>
    </cfRule>
    <cfRule type="cellIs" dxfId="230" priority="62" operator="between">
      <formula>2.000001</formula>
      <formula>3</formula>
    </cfRule>
    <cfRule type="cellIs" dxfId="229" priority="63" operator="between">
      <formula>0</formula>
      <formula>2</formula>
    </cfRule>
  </conditionalFormatting>
  <conditionalFormatting sqref="O2:O9">
    <cfRule type="iconSet" priority="50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228" priority="51" operator="between">
      <formula>6.00001</formula>
      <formula>10</formula>
    </cfRule>
    <cfRule type="cellIs" dxfId="227" priority="52" operator="between">
      <formula>5.000001</formula>
      <formula>6</formula>
    </cfRule>
    <cfRule type="cellIs" dxfId="226" priority="53" operator="between">
      <formula>4.000001</formula>
      <formula>5</formula>
    </cfRule>
    <cfRule type="cellIs" dxfId="225" priority="54" operator="between">
      <formula>3.0000001</formula>
      <formula>4</formula>
    </cfRule>
    <cfRule type="cellIs" dxfId="224" priority="55" operator="between">
      <formula>2.000001</formula>
      <formula>3</formula>
    </cfRule>
    <cfRule type="cellIs" dxfId="223" priority="56" operator="between">
      <formula>0</formula>
      <formula>2</formula>
    </cfRule>
  </conditionalFormatting>
  <conditionalFormatting sqref="M2:M9">
    <cfRule type="iconSet" priority="15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222" priority="16" operator="between">
      <formula>6.00001</formula>
      <formula>10</formula>
    </cfRule>
    <cfRule type="cellIs" dxfId="221" priority="17" operator="between">
      <formula>5.000001</formula>
      <formula>6</formula>
    </cfRule>
    <cfRule type="cellIs" dxfId="220" priority="18" operator="between">
      <formula>4.000001</formula>
      <formula>5</formula>
    </cfRule>
    <cfRule type="cellIs" dxfId="219" priority="19" operator="between">
      <formula>3.0000001</formula>
      <formula>4</formula>
    </cfRule>
    <cfRule type="cellIs" dxfId="218" priority="20" operator="between">
      <formula>2.000001</formula>
      <formula>3</formula>
    </cfRule>
    <cfRule type="cellIs" dxfId="217" priority="21" operator="between">
      <formula>0</formula>
      <formula>2</formula>
    </cfRule>
  </conditionalFormatting>
  <conditionalFormatting sqref="P2:P9">
    <cfRule type="iconSet" priority="8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216" priority="9" operator="between">
      <formula>6.00001</formula>
      <formula>10</formula>
    </cfRule>
    <cfRule type="cellIs" dxfId="215" priority="10" operator="between">
      <formula>5.000001</formula>
      <formula>6</formula>
    </cfRule>
    <cfRule type="cellIs" dxfId="214" priority="11" operator="between">
      <formula>4.000001</formula>
      <formula>5</formula>
    </cfRule>
    <cfRule type="cellIs" dxfId="213" priority="12" operator="between">
      <formula>3.0000001</formula>
      <formula>4</formula>
    </cfRule>
    <cfRule type="cellIs" dxfId="212" priority="13" operator="between">
      <formula>2.000001</formula>
      <formula>3</formula>
    </cfRule>
    <cfRule type="cellIs" dxfId="211" priority="14" operator="between">
      <formula>0</formula>
      <formula>2</formula>
    </cfRule>
  </conditionalFormatting>
  <conditionalFormatting sqref="Q2:Q9">
    <cfRule type="iconSet" priority="1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210" priority="2" operator="between">
      <formula>6.00001</formula>
      <formula>10</formula>
    </cfRule>
    <cfRule type="cellIs" dxfId="209" priority="3" operator="between">
      <formula>5.000001</formula>
      <formula>6</formula>
    </cfRule>
    <cfRule type="cellIs" dxfId="208" priority="4" operator="between">
      <formula>4.000001</formula>
      <formula>5</formula>
    </cfRule>
    <cfRule type="cellIs" dxfId="207" priority="5" operator="between">
      <formula>3.0000001</formula>
      <formula>4</formula>
    </cfRule>
    <cfRule type="cellIs" dxfId="206" priority="6" operator="between">
      <formula>2.000001</formula>
      <formula>3</formula>
    </cfRule>
    <cfRule type="cellIs" dxfId="205" priority="7" operator="between">
      <formula>0</formula>
      <formula>2</formula>
    </cfRule>
  </conditionalFormatting>
  <pageMargins left="0.7" right="0.7" top="0.75" bottom="0.75" header="0.3" footer="0.3"/>
  <pageSetup paperSize="9" scale="55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/>
  <dimension ref="A1:BI58"/>
  <sheetViews>
    <sheetView showGridLines="0" showRowColHeaders="0" zoomScale="96" zoomScaleNormal="96" workbookViewId="0">
      <selection activeCell="S8" sqref="S8"/>
    </sheetView>
  </sheetViews>
  <sheetFormatPr defaultColWidth="9.140625" defaultRowHeight="15"/>
  <cols>
    <col min="1" max="1" width="6.140625" style="1" customWidth="1"/>
    <col min="2" max="5" width="9.140625" style="1" customWidth="1"/>
    <col min="6" max="6" width="0.28515625" style="1" customWidth="1"/>
    <col min="7" max="8" width="9.140625" style="1" customWidth="1"/>
    <col min="9" max="9" width="4.42578125" style="1" customWidth="1"/>
    <col min="10" max="10" width="4.140625" style="1" customWidth="1"/>
    <col min="11" max="11" width="4.140625" customWidth="1"/>
    <col min="12" max="12" width="4.28515625" customWidth="1"/>
    <col min="13" max="13" width="9.140625" style="1" customWidth="1"/>
    <col min="14" max="61" width="9.140625" style="164" customWidth="1"/>
    <col min="62" max="62" width="9.140625" style="1" customWidth="1"/>
    <col min="63" max="16384" width="9.140625" style="1"/>
  </cols>
  <sheetData>
    <row r="1" spans="1:61" ht="12.75" thickBot="1">
      <c r="B1" s="257"/>
      <c r="C1" s="254">
        <f>[6]!AUDCAD</f>
        <v>42620.650694444441</v>
      </c>
      <c r="D1" s="254">
        <f ca="1">NOW()</f>
        <v>42622.496362152779</v>
      </c>
      <c r="E1" s="254">
        <f>C1</f>
        <v>42620.650694444441</v>
      </c>
      <c r="G1" s="254"/>
      <c r="H1" s="254"/>
      <c r="K1" s="1"/>
      <c r="L1" s="1"/>
    </row>
    <row r="2" spans="1:61">
      <c r="L2" s="1"/>
      <c r="M2" s="1" t="s">
        <v>69</v>
      </c>
      <c r="N2" s="168" t="s">
        <v>28</v>
      </c>
      <c r="O2" s="169" t="s">
        <v>32</v>
      </c>
      <c r="P2" s="170" t="s">
        <v>33</v>
      </c>
      <c r="Q2" s="169" t="s">
        <v>31</v>
      </c>
      <c r="R2" s="170" t="s">
        <v>34</v>
      </c>
      <c r="S2" s="169" t="s">
        <v>36</v>
      </c>
      <c r="T2" s="170" t="s">
        <v>35</v>
      </c>
      <c r="U2" s="171" t="s">
        <v>30</v>
      </c>
      <c r="V2" s="1"/>
    </row>
    <row r="3" spans="1:61">
      <c r="L3" s="1"/>
      <c r="M3" s="1" t="s">
        <v>68</v>
      </c>
      <c r="N3" s="172">
        <f t="shared" ref="N3:U3" si="0">IF(N2="","",HLOOKUP(N2,smArray,2,FALSE))</f>
        <v>2.7142857142857144</v>
      </c>
      <c r="O3" s="173">
        <f t="shared" si="0"/>
        <v>5.1428571428571432</v>
      </c>
      <c r="P3" s="174">
        <f t="shared" si="0"/>
        <v>2.1428571428571428</v>
      </c>
      <c r="Q3" s="173">
        <f t="shared" si="0"/>
        <v>3.2857142857142856</v>
      </c>
      <c r="R3" s="174">
        <f t="shared" si="0"/>
        <v>6.4285714285714288</v>
      </c>
      <c r="S3" s="173">
        <f t="shared" si="0"/>
        <v>8.2857142857142865</v>
      </c>
      <c r="T3" s="174">
        <f t="shared" si="0"/>
        <v>3</v>
      </c>
      <c r="U3" s="175">
        <f t="shared" si="0"/>
        <v>5</v>
      </c>
      <c r="V3" s="1"/>
    </row>
    <row r="4" spans="1:61">
      <c r="L4" s="1"/>
      <c r="M4" s="1" t="s">
        <v>67</v>
      </c>
      <c r="N4" s="176">
        <f t="shared" ref="N4:U4" si="1">IF(N2="","",HLOOKUP(N2,smArray,3,FALSE))</f>
        <v>-5</v>
      </c>
      <c r="O4" s="177">
        <f t="shared" si="1"/>
        <v>3</v>
      </c>
      <c r="P4" s="178">
        <f t="shared" si="1"/>
        <v>-7</v>
      </c>
      <c r="Q4" s="177">
        <f t="shared" si="1"/>
        <v>-1</v>
      </c>
      <c r="R4" s="178">
        <f t="shared" si="1"/>
        <v>5</v>
      </c>
      <c r="S4" s="177">
        <f t="shared" si="1"/>
        <v>7</v>
      </c>
      <c r="T4" s="178">
        <f t="shared" si="1"/>
        <v>-3</v>
      </c>
      <c r="U4" s="179">
        <f t="shared" si="1"/>
        <v>1</v>
      </c>
      <c r="V4" s="1"/>
    </row>
    <row r="5" spans="1:61" ht="15.75" thickBot="1">
      <c r="L5" s="1"/>
      <c r="M5" s="1" t="s">
        <v>66</v>
      </c>
      <c r="N5" s="180">
        <f t="shared" ref="N5:U5" si="2">IF(N2="","",HLOOKUP(N2,smArray,4,FALSE))</f>
        <v>-25</v>
      </c>
      <c r="O5" s="181">
        <f t="shared" si="2"/>
        <v>9</v>
      </c>
      <c r="P5" s="182">
        <f t="shared" si="2"/>
        <v>-33</v>
      </c>
      <c r="Q5" s="181">
        <f t="shared" si="2"/>
        <v>-17</v>
      </c>
      <c r="R5" s="182">
        <f t="shared" si="2"/>
        <v>27</v>
      </c>
      <c r="S5" s="181">
        <f t="shared" si="2"/>
        <v>53</v>
      </c>
      <c r="T5" s="182">
        <f t="shared" si="2"/>
        <v>-21</v>
      </c>
      <c r="U5" s="183">
        <f t="shared" si="2"/>
        <v>7</v>
      </c>
      <c r="V5" s="1"/>
    </row>
    <row r="6" spans="1:61">
      <c r="N6" s="266"/>
      <c r="O6" s="266"/>
      <c r="P6" s="266"/>
      <c r="Q6" s="266"/>
      <c r="R6" s="266"/>
      <c r="S6" s="266"/>
      <c r="T6" s="266"/>
      <c r="U6" s="266"/>
      <c r="V6" s="266"/>
      <c r="W6" s="266"/>
      <c r="X6" s="266"/>
      <c r="Y6" s="266"/>
      <c r="Z6" s="266"/>
      <c r="AA6" s="266"/>
      <c r="AB6" s="266"/>
      <c r="AC6" s="266"/>
      <c r="AD6" s="266"/>
      <c r="AE6" s="266"/>
      <c r="AF6" s="266"/>
      <c r="AG6" s="266"/>
      <c r="AH6" s="266"/>
      <c r="AI6" s="266"/>
      <c r="AJ6" s="266"/>
      <c r="AK6" s="266"/>
      <c r="AL6" s="266"/>
      <c r="AM6" s="266"/>
      <c r="AN6" s="266"/>
      <c r="AO6" s="266"/>
      <c r="AP6" s="266"/>
      <c r="AQ6" s="266"/>
      <c r="AR6" s="266"/>
      <c r="AS6" s="266"/>
      <c r="AT6" s="266"/>
      <c r="AU6" s="266"/>
      <c r="AV6" s="266"/>
      <c r="AW6" s="266"/>
      <c r="AX6" s="266"/>
      <c r="AY6" s="266"/>
      <c r="AZ6" s="266"/>
      <c r="BA6" s="266"/>
      <c r="BB6" s="266"/>
      <c r="BC6" s="266"/>
      <c r="BD6" s="266"/>
      <c r="BE6" s="266"/>
      <c r="BF6" s="266"/>
      <c r="BG6" s="266"/>
      <c r="BH6" s="266"/>
      <c r="BI6" s="266"/>
    </row>
    <row r="7" spans="1:61" ht="12">
      <c r="A7" s="184" t="s">
        <v>42</v>
      </c>
      <c r="B7" s="290" t="s">
        <v>37</v>
      </c>
      <c r="C7" s="184" t="s">
        <v>64</v>
      </c>
      <c r="D7" s="184" t="s">
        <v>65</v>
      </c>
      <c r="E7" s="184" t="s">
        <v>61</v>
      </c>
      <c r="F7" s="184" t="s">
        <v>71</v>
      </c>
      <c r="G7" s="185" t="s">
        <v>70</v>
      </c>
      <c r="H7" s="185" t="str">
        <f>Stren_Dir!D7</f>
        <v>HeatMapH4</v>
      </c>
      <c r="I7" s="301" t="s">
        <v>126</v>
      </c>
      <c r="J7" s="301"/>
      <c r="K7" s="370" t="s">
        <v>66</v>
      </c>
      <c r="L7" s="370"/>
      <c r="M7" s="313" t="s">
        <v>173</v>
      </c>
      <c r="N7" s="313" t="s">
        <v>174</v>
      </c>
      <c r="O7" s="313" t="s">
        <v>175</v>
      </c>
      <c r="P7" s="313" t="s">
        <v>176</v>
      </c>
      <c r="Q7" s="313" t="s">
        <v>177</v>
      </c>
      <c r="R7" s="313" t="s">
        <v>178</v>
      </c>
      <c r="S7" s="258" t="s">
        <v>142</v>
      </c>
      <c r="T7" s="165"/>
      <c r="U7" s="313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5" t="s">
        <v>180</v>
      </c>
      <c r="AM7" s="165" t="s">
        <v>179</v>
      </c>
      <c r="AN7" s="165"/>
      <c r="AO7" s="165"/>
      <c r="AP7" s="165"/>
      <c r="AQ7" s="165"/>
      <c r="AR7" s="165"/>
      <c r="AS7" s="165"/>
      <c r="AT7" s="165"/>
      <c r="AU7" s="165"/>
      <c r="AV7" s="165"/>
      <c r="AW7" s="165"/>
      <c r="AX7" s="165"/>
      <c r="AY7" s="165"/>
      <c r="AZ7" s="165"/>
      <c r="BA7" s="165"/>
      <c r="BB7" s="165"/>
      <c r="BC7" s="165"/>
      <c r="BD7" s="165"/>
      <c r="BE7" s="165"/>
      <c r="BF7" s="165"/>
      <c r="BG7" s="165"/>
      <c r="BH7" s="165"/>
      <c r="BI7" s="165"/>
    </row>
    <row r="8" spans="1:61" ht="12">
      <c r="A8" s="186">
        <f t="shared" ref="A8:A35" si="3">IF(B8="","",HLOOKUP(B8,pArray,6,FALSE))</f>
        <v>0.90000000000034497</v>
      </c>
      <c r="B8" s="291" t="s">
        <v>24</v>
      </c>
      <c r="C8" s="187">
        <f>IF(B8="","",HLOOKUP(B8,pArray,9,FALSE))</f>
        <v>0.93957115009746039</v>
      </c>
      <c r="D8" s="186">
        <f>SUM(IF(B8="","",HLOOKUP(B8,pArray,12,FALSE))-IF(B8="","",HLOOKUP(B8,pArray,14,FALSE)))</f>
        <v>7</v>
      </c>
      <c r="E8" s="186">
        <f>IF(B8="","",VLOOKUP(B8,CurrArray,4,FALSE))</f>
        <v>3.4285714285714288</v>
      </c>
      <c r="F8" s="186">
        <v>3.4285714285714288</v>
      </c>
      <c r="G8" s="186">
        <f>SUM(E8-F8)</f>
        <v>0</v>
      </c>
      <c r="H8" s="2">
        <f>Stren_Dir!D8</f>
        <v>3.637432178576304</v>
      </c>
      <c r="I8" s="288">
        <f>R4</f>
        <v>5</v>
      </c>
      <c r="J8" s="289">
        <f>T4</f>
        <v>-3</v>
      </c>
      <c r="K8" s="303">
        <f>R5</f>
        <v>27</v>
      </c>
      <c r="L8" s="304">
        <f>T5</f>
        <v>-21</v>
      </c>
      <c r="M8" s="314">
        <f t="shared" ref="M8:M35" si="4">IF(B8="","",VLOOKUP(B8,HM_Calc_Array,11,FALSE))</f>
        <v>3.4886401743796154</v>
      </c>
      <c r="N8" s="314">
        <f t="shared" ref="N8:N35" si="5">IF(B8="","",VLOOKUP(B8,HM_Calc_Array,12,FALSE))</f>
        <v>3.5135900042976482</v>
      </c>
      <c r="O8" s="314">
        <f t="shared" ref="O8:O35" si="6">IF(B8="","",VLOOKUP(B8,HM_Calc_Array,13,FALSE))</f>
        <v>3.637432178576304</v>
      </c>
      <c r="P8" s="314">
        <f t="shared" ref="P8:P35" si="7">IF(B8="","",VLOOKUP(B8,HM_Calc_Array,14,FALSE))</f>
        <v>4.05348450045308</v>
      </c>
      <c r="Q8" s="314">
        <f t="shared" ref="Q8:Q35" si="8">IF(B8="","",VLOOKUP(B8,HM_Calc_Array,15,FALSE))</f>
        <v>4.05348450045308</v>
      </c>
      <c r="R8" s="314">
        <f t="shared" ref="R8:R35" si="9">IF(B8="","",VLOOKUP(B8,HM_Calc_Array,16,FALSE))</f>
        <v>5.7550412833720657</v>
      </c>
      <c r="S8" s="307">
        <f t="shared" ref="S8:S35" si="10">IF(B8="","",VLOOKUP(B8,Array_getValues,26,FALSE))</f>
        <v>91.230870204799601</v>
      </c>
      <c r="X8" s="166"/>
      <c r="Y8" s="166"/>
      <c r="Z8" s="166"/>
      <c r="AA8" s="166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>
        <f t="shared" ref="AL8:AL35" si="11">IF(B8="","",HLOOKUP(B8,pArray,12,FALSE))</f>
        <v>8</v>
      </c>
      <c r="AM8" s="166">
        <f t="shared" ref="AM8:AM35" si="12">IF(B8="","",HLOOKUP(B8,pArray,14,FALSE))</f>
        <v>1</v>
      </c>
      <c r="AN8" s="166"/>
      <c r="AO8" s="166"/>
      <c r="AP8" s="166"/>
      <c r="AQ8" s="166"/>
      <c r="AR8" s="166"/>
      <c r="AS8" s="166"/>
      <c r="AT8" s="166"/>
      <c r="AU8" s="166"/>
      <c r="AV8" s="166"/>
      <c r="AW8" s="166"/>
      <c r="AX8" s="166"/>
      <c r="AY8" s="166"/>
      <c r="AZ8" s="166"/>
      <c r="BA8" s="166"/>
      <c r="BB8" s="166"/>
      <c r="BC8" s="166"/>
      <c r="BD8" s="166"/>
      <c r="BE8" s="166"/>
      <c r="BF8" s="166"/>
      <c r="BG8" s="166"/>
      <c r="BH8" s="166"/>
      <c r="BI8" s="166"/>
    </row>
    <row r="9" spans="1:61" ht="12">
      <c r="A9" s="186">
        <f t="shared" si="3"/>
        <v>0.99999999999988987</v>
      </c>
      <c r="B9" s="291" t="s">
        <v>25</v>
      </c>
      <c r="C9" s="187">
        <f t="shared" ref="C9:C35" si="13">IF(B9="","",HLOOKUP(B9,pArray,9,FALSE))</f>
        <v>0.62935323383085007</v>
      </c>
      <c r="D9" s="186">
        <f t="shared" ref="D9:D35" si="14">SUM(IF(B9="","",HLOOKUP(B9,pArray,12,FALSE))-IF(B9="","",HLOOKUP(B9,pArray,14,FALSE)))</f>
        <v>3</v>
      </c>
      <c r="E9" s="186">
        <f t="shared" ref="E9:E35" si="15">IF(B9="","",VLOOKUP(B9,CurrArray,4,FALSE))</f>
        <v>1.4285714285714288</v>
      </c>
      <c r="F9" s="186">
        <v>3.5714285714285716</v>
      </c>
      <c r="G9" s="186">
        <f t="shared" ref="G9:G35" si="16">SUM(E9-F9)</f>
        <v>-2.1428571428571428</v>
      </c>
      <c r="H9" s="2">
        <f>Stren_Dir!D9</f>
        <v>4.4542992267426342</v>
      </c>
      <c r="I9" s="289">
        <f>R4</f>
        <v>5</v>
      </c>
      <c r="J9" s="288">
        <f>U4</f>
        <v>1</v>
      </c>
      <c r="K9" s="303">
        <f>R5</f>
        <v>27</v>
      </c>
      <c r="L9" s="304">
        <f>U5</f>
        <v>7</v>
      </c>
      <c r="M9" s="314">
        <f t="shared" si="4"/>
        <v>4.464561403508772</v>
      </c>
      <c r="N9" s="314">
        <f t="shared" si="5"/>
        <v>4.4015541497762856</v>
      </c>
      <c r="O9" s="314">
        <f t="shared" si="6"/>
        <v>4.4542992267426342</v>
      </c>
      <c r="P9" s="314">
        <f t="shared" si="7"/>
        <v>5.481626348086114</v>
      </c>
      <c r="Q9" s="314">
        <f t="shared" si="8"/>
        <v>5.481626348086114</v>
      </c>
      <c r="R9" s="314">
        <f t="shared" si="9"/>
        <v>9.0436285856602989</v>
      </c>
      <c r="S9" s="307">
        <f t="shared" si="10"/>
        <v>18.562144778200299</v>
      </c>
      <c r="X9" s="286"/>
      <c r="Y9" s="287"/>
      <c r="Z9" s="166"/>
      <c r="AA9" s="166"/>
      <c r="AB9" s="166"/>
      <c r="AC9" s="166"/>
      <c r="AD9" s="166"/>
      <c r="AE9" s="166"/>
      <c r="AF9" s="166"/>
      <c r="AG9" s="166"/>
      <c r="AH9" s="166"/>
      <c r="AI9" s="166"/>
      <c r="AJ9" s="166"/>
      <c r="AK9" s="285"/>
      <c r="AL9" s="166">
        <f t="shared" si="11"/>
        <v>6</v>
      </c>
      <c r="AM9" s="166">
        <f t="shared" si="12"/>
        <v>3</v>
      </c>
      <c r="AN9" s="285"/>
      <c r="AO9" s="166"/>
      <c r="AP9" s="166"/>
      <c r="AQ9" s="166"/>
      <c r="AR9" s="166"/>
      <c r="AS9" s="166"/>
      <c r="AT9" s="166"/>
      <c r="AU9" s="166"/>
      <c r="AV9" s="166"/>
      <c r="AW9" s="166"/>
      <c r="AX9" s="166"/>
      <c r="AY9" s="166"/>
      <c r="AZ9" s="166"/>
      <c r="BA9" s="166"/>
      <c r="BB9" s="166"/>
      <c r="BC9" s="166"/>
      <c r="BD9" s="166"/>
      <c r="BE9" s="166"/>
      <c r="BF9" s="166"/>
      <c r="BG9" s="166"/>
      <c r="BH9" s="166"/>
      <c r="BI9" s="166"/>
    </row>
    <row r="10" spans="1:61" ht="12">
      <c r="A10" s="186">
        <f t="shared" si="3"/>
        <v>0.70000000000050022</v>
      </c>
      <c r="B10" s="291" t="s">
        <v>12</v>
      </c>
      <c r="C10" s="187">
        <f t="shared" si="13"/>
        <v>0.48670520231213271</v>
      </c>
      <c r="D10" s="186">
        <f t="shared" si="14"/>
        <v>-1</v>
      </c>
      <c r="E10" s="186">
        <f t="shared" si="15"/>
        <v>1.2857142857142856</v>
      </c>
      <c r="F10" s="186">
        <v>0.57142857142857206</v>
      </c>
      <c r="G10" s="186">
        <f t="shared" si="16"/>
        <v>0.71428571428571352</v>
      </c>
      <c r="H10" s="2">
        <f>Stren_Dir!D10</f>
        <v>-11.091607490909929</v>
      </c>
      <c r="I10" s="289">
        <f>R4</f>
        <v>5</v>
      </c>
      <c r="J10" s="289">
        <f>O4</f>
        <v>3</v>
      </c>
      <c r="K10" s="303">
        <f>R5</f>
        <v>27</v>
      </c>
      <c r="L10" s="304">
        <f>O5</f>
        <v>9</v>
      </c>
      <c r="M10" s="314">
        <f t="shared" si="4"/>
        <v>-11.079445058765868</v>
      </c>
      <c r="N10" s="314">
        <f t="shared" si="5"/>
        <v>-11.104779705057782</v>
      </c>
      <c r="O10" s="314">
        <f t="shared" si="6"/>
        <v>-11.091607490909929</v>
      </c>
      <c r="P10" s="314">
        <f t="shared" si="7"/>
        <v>-10.918995466121544</v>
      </c>
      <c r="Q10" s="314">
        <f t="shared" si="8"/>
        <v>-10.918995466121544</v>
      </c>
      <c r="R10" s="314">
        <f t="shared" si="9"/>
        <v>-7.2431712508770145</v>
      </c>
      <c r="S10" s="307">
        <f t="shared" si="10"/>
        <v>18.3625853962847</v>
      </c>
      <c r="X10" s="286"/>
      <c r="Y10" s="287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/>
      <c r="AJ10" s="166"/>
      <c r="AK10" s="285"/>
      <c r="AL10" s="166">
        <f t="shared" si="11"/>
        <v>4</v>
      </c>
      <c r="AM10" s="166">
        <f t="shared" si="12"/>
        <v>5</v>
      </c>
      <c r="AN10" s="285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  <c r="BI10" s="166"/>
    </row>
    <row r="11" spans="1:61" ht="12">
      <c r="A11" s="186">
        <f t="shared" si="3"/>
        <v>1.5999999999993797</v>
      </c>
      <c r="B11" s="291" t="s">
        <v>22</v>
      </c>
      <c r="C11" s="187">
        <f t="shared" si="13"/>
        <v>0.14773776546629996</v>
      </c>
      <c r="D11" s="186">
        <f t="shared" si="14"/>
        <v>-5</v>
      </c>
      <c r="E11" s="186">
        <f t="shared" si="15"/>
        <v>-1.8571428571428577</v>
      </c>
      <c r="F11" s="186">
        <v>0.71428571428571441</v>
      </c>
      <c r="G11" s="186">
        <f t="shared" si="16"/>
        <v>-2.5714285714285721</v>
      </c>
      <c r="H11" s="2">
        <f>Stren_Dir!D11</f>
        <v>-3.7939973608602493</v>
      </c>
      <c r="I11" s="289">
        <f>R4</f>
        <v>5</v>
      </c>
      <c r="J11" s="289">
        <f>S4</f>
        <v>7</v>
      </c>
      <c r="K11" s="303">
        <f>R5</f>
        <v>27</v>
      </c>
      <c r="L11" s="304">
        <f>S5</f>
        <v>53</v>
      </c>
      <c r="M11" s="314">
        <f t="shared" si="4"/>
        <v>-3.7390441231552942</v>
      </c>
      <c r="N11" s="314">
        <f t="shared" si="5"/>
        <v>-3.7246197647411479</v>
      </c>
      <c r="O11" s="314">
        <f t="shared" si="6"/>
        <v>-3.7939973608602493</v>
      </c>
      <c r="P11" s="314">
        <f t="shared" si="7"/>
        <v>-3.7399455020460226</v>
      </c>
      <c r="Q11" s="314">
        <f t="shared" si="8"/>
        <v>-3.7399455020460226</v>
      </c>
      <c r="R11" s="314">
        <f t="shared" si="9"/>
        <v>-6.218127081147653</v>
      </c>
      <c r="S11" s="307">
        <f t="shared" si="10"/>
        <v>42.143910597769903</v>
      </c>
      <c r="X11" s="286"/>
      <c r="Y11" s="287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/>
      <c r="AJ11" s="166"/>
      <c r="AK11" s="285"/>
      <c r="AL11" s="166">
        <f t="shared" si="11"/>
        <v>2</v>
      </c>
      <c r="AM11" s="166">
        <f t="shared" si="12"/>
        <v>7</v>
      </c>
      <c r="AN11" s="285"/>
      <c r="AO11" s="166"/>
      <c r="AP11" s="166"/>
      <c r="AQ11" s="166"/>
      <c r="AR11" s="166"/>
      <c r="AS11" s="166"/>
      <c r="AT11" s="166"/>
      <c r="AU11" s="166"/>
      <c r="AV11" s="166"/>
      <c r="AW11" s="166"/>
      <c r="AX11" s="166"/>
      <c r="AY11" s="166"/>
      <c r="AZ11" s="166"/>
      <c r="BA11" s="166"/>
      <c r="BB11" s="166"/>
      <c r="BC11" s="166"/>
      <c r="BD11" s="166"/>
      <c r="BE11" s="166"/>
      <c r="BF11" s="166"/>
      <c r="BG11" s="166"/>
      <c r="BH11" s="166"/>
      <c r="BI11" s="166"/>
    </row>
    <row r="12" spans="1:61" ht="12">
      <c r="A12" s="186">
        <f t="shared" si="3"/>
        <v>0.20000000000020002</v>
      </c>
      <c r="B12" s="291" t="s">
        <v>14</v>
      </c>
      <c r="C12" s="187">
        <f t="shared" si="13"/>
        <v>0.97587131367291313</v>
      </c>
      <c r="D12" s="186">
        <f t="shared" si="14"/>
        <v>9</v>
      </c>
      <c r="E12" s="186">
        <f t="shared" si="15"/>
        <v>3.7142857142857144</v>
      </c>
      <c r="F12" s="186">
        <v>0.85714285714285765</v>
      </c>
      <c r="G12" s="186">
        <f t="shared" si="16"/>
        <v>2.8571428571428568</v>
      </c>
      <c r="H12" s="2">
        <f>Stren_Dir!D12</f>
        <v>6.0080806409354786</v>
      </c>
      <c r="I12" s="289">
        <f>R4</f>
        <v>5</v>
      </c>
      <c r="J12" s="289">
        <f>N4</f>
        <v>-5</v>
      </c>
      <c r="K12" s="303">
        <f>R5</f>
        <v>27</v>
      </c>
      <c r="L12" s="304">
        <f>N5</f>
        <v>-25</v>
      </c>
      <c r="M12" s="314">
        <f t="shared" si="4"/>
        <v>6.0504897227203767</v>
      </c>
      <c r="N12" s="314">
        <f t="shared" si="5"/>
        <v>6.0563419143006998</v>
      </c>
      <c r="O12" s="314">
        <f t="shared" si="6"/>
        <v>6.0080806409354786</v>
      </c>
      <c r="P12" s="314">
        <f t="shared" si="7"/>
        <v>6.6492793030256827</v>
      </c>
      <c r="Q12" s="314">
        <f t="shared" si="8"/>
        <v>6.6492793030256827</v>
      </c>
      <c r="R12" s="314">
        <f t="shared" si="9"/>
        <v>9.6364751351274283</v>
      </c>
      <c r="S12" s="307">
        <f t="shared" si="10"/>
        <v>22.5733983673815</v>
      </c>
      <c r="X12" s="286"/>
      <c r="Y12" s="287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285"/>
      <c r="AL12" s="166">
        <f t="shared" si="11"/>
        <v>9</v>
      </c>
      <c r="AM12" s="166">
        <f t="shared" si="12"/>
        <v>0</v>
      </c>
      <c r="AN12" s="285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</row>
    <row r="13" spans="1:61" ht="12">
      <c r="A13" s="186">
        <f t="shared" si="3"/>
        <v>1.2000000000000899</v>
      </c>
      <c r="B13" s="291" t="s">
        <v>26</v>
      </c>
      <c r="C13" s="187">
        <f t="shared" si="13"/>
        <v>0.19130434782607858</v>
      </c>
      <c r="D13" s="186">
        <f t="shared" si="14"/>
        <v>-5</v>
      </c>
      <c r="E13" s="186">
        <f t="shared" si="15"/>
        <v>-2</v>
      </c>
      <c r="F13" s="186">
        <v>0.14285714285714279</v>
      </c>
      <c r="G13" s="186">
        <f t="shared" si="16"/>
        <v>-2.1428571428571428</v>
      </c>
      <c r="H13" s="2">
        <f>Stren_Dir!D13</f>
        <v>0.78901266432190453</v>
      </c>
      <c r="I13" s="289">
        <f>T4</f>
        <v>-3</v>
      </c>
      <c r="J13" s="289">
        <f>U4</f>
        <v>1</v>
      </c>
      <c r="K13" s="303">
        <f>T5</f>
        <v>-21</v>
      </c>
      <c r="L13" s="304">
        <f>U5</f>
        <v>7</v>
      </c>
      <c r="M13" s="314">
        <f t="shared" si="4"/>
        <v>0.95236819545648699</v>
      </c>
      <c r="N13" s="314">
        <f t="shared" si="5"/>
        <v>0.86724929402159145</v>
      </c>
      <c r="O13" s="314">
        <f t="shared" si="6"/>
        <v>0.78901266432190453</v>
      </c>
      <c r="P13" s="314">
        <f t="shared" si="7"/>
        <v>1.4620158586987224</v>
      </c>
      <c r="Q13" s="314">
        <f t="shared" si="8"/>
        <v>1.4620158586987224</v>
      </c>
      <c r="R13" s="314">
        <f t="shared" si="9"/>
        <v>3.1407379023428832</v>
      </c>
      <c r="S13" s="307">
        <f t="shared" si="10"/>
        <v>3.9409824116793999</v>
      </c>
      <c r="X13" s="286"/>
      <c r="Y13" s="287"/>
      <c r="Z13" s="166"/>
      <c r="AA13" s="166"/>
      <c r="AB13" s="166"/>
      <c r="AC13" s="166"/>
      <c r="AD13" s="166"/>
      <c r="AE13" s="166"/>
      <c r="AF13" s="166"/>
      <c r="AG13" s="166"/>
      <c r="AH13" s="166"/>
      <c r="AI13" s="166"/>
      <c r="AJ13" s="166"/>
      <c r="AK13" s="285"/>
      <c r="AL13" s="166">
        <f t="shared" si="11"/>
        <v>2</v>
      </c>
      <c r="AM13" s="166">
        <f t="shared" si="12"/>
        <v>7</v>
      </c>
      <c r="AN13" s="285"/>
      <c r="AO13" s="166"/>
      <c r="AP13" s="166"/>
      <c r="AQ13" s="166"/>
      <c r="AR13" s="166"/>
      <c r="AS13" s="166"/>
      <c r="AT13" s="166"/>
      <c r="AU13" s="166"/>
      <c r="AV13" s="166"/>
      <c r="AW13" s="166"/>
      <c r="AX13" s="166"/>
      <c r="AY13" s="166"/>
      <c r="AZ13" s="166"/>
      <c r="BA13" s="166"/>
      <c r="BB13" s="166"/>
      <c r="BC13" s="166"/>
      <c r="BD13" s="166"/>
      <c r="BE13" s="166"/>
      <c r="BF13" s="166"/>
      <c r="BG13" s="166"/>
      <c r="BH13" s="166"/>
      <c r="BI13" s="166"/>
    </row>
    <row r="14" spans="1:61" ht="12">
      <c r="A14" s="186">
        <f t="shared" si="3"/>
        <v>0.60000000000002274</v>
      </c>
      <c r="B14" s="291" t="s">
        <v>8</v>
      </c>
      <c r="C14" s="187">
        <f t="shared" si="13"/>
        <v>0.32503457814661102</v>
      </c>
      <c r="D14" s="186">
        <f t="shared" si="14"/>
        <v>-3</v>
      </c>
      <c r="E14" s="186">
        <f t="shared" si="15"/>
        <v>-2.1428571428571432</v>
      </c>
      <c r="F14" s="186">
        <v>-2.8571428571428568</v>
      </c>
      <c r="G14" s="186">
        <f t="shared" si="16"/>
        <v>0.71428571428571352</v>
      </c>
      <c r="H14" s="2">
        <f>Stren_Dir!D14</f>
        <v>-14.207970801968274</v>
      </c>
      <c r="I14" s="289">
        <f>T4</f>
        <v>-3</v>
      </c>
      <c r="J14" s="289">
        <f>O4</f>
        <v>3</v>
      </c>
      <c r="K14" s="303">
        <f>T5</f>
        <v>-21</v>
      </c>
      <c r="L14" s="304">
        <f>O5</f>
        <v>9</v>
      </c>
      <c r="M14" s="314">
        <f t="shared" si="4"/>
        <v>-14.070761799073054</v>
      </c>
      <c r="N14" s="314">
        <f t="shared" si="5"/>
        <v>-14.115612970574812</v>
      </c>
      <c r="O14" s="314">
        <f t="shared" si="6"/>
        <v>-14.207970801968274</v>
      </c>
      <c r="P14" s="314">
        <f t="shared" si="7"/>
        <v>-14.780966767371613</v>
      </c>
      <c r="Q14" s="314">
        <f t="shared" si="8"/>
        <v>-14.329876778896123</v>
      </c>
      <c r="R14" s="314">
        <f t="shared" si="9"/>
        <v>-12.274524613470769</v>
      </c>
      <c r="S14" s="307">
        <f t="shared" si="10"/>
        <v>2.9810706422857098</v>
      </c>
      <c r="X14" s="286"/>
      <c r="Y14" s="287"/>
      <c r="Z14" s="166"/>
      <c r="AA14" s="166"/>
      <c r="AB14" s="166"/>
      <c r="AC14" s="166"/>
      <c r="AD14" s="166"/>
      <c r="AE14" s="166"/>
      <c r="AF14" s="166"/>
      <c r="AG14" s="166"/>
      <c r="AH14" s="166"/>
      <c r="AI14" s="166"/>
      <c r="AJ14" s="166"/>
      <c r="AK14" s="285"/>
      <c r="AL14" s="166">
        <f t="shared" si="11"/>
        <v>3</v>
      </c>
      <c r="AM14" s="166">
        <f t="shared" si="12"/>
        <v>6</v>
      </c>
      <c r="AN14" s="285"/>
      <c r="AO14" s="166"/>
      <c r="AP14" s="166"/>
      <c r="AQ14" s="166"/>
      <c r="AR14" s="166"/>
      <c r="AS14" s="166"/>
      <c r="AT14" s="166"/>
      <c r="AU14" s="166"/>
      <c r="AV14" s="166"/>
      <c r="AW14" s="166"/>
      <c r="AX14" s="166"/>
      <c r="AY14" s="166"/>
      <c r="AZ14" s="166"/>
      <c r="BA14" s="166"/>
      <c r="BB14" s="166"/>
      <c r="BC14" s="166"/>
      <c r="BD14" s="166"/>
      <c r="BE14" s="166"/>
      <c r="BF14" s="166"/>
      <c r="BG14" s="166"/>
      <c r="BH14" s="166"/>
      <c r="BI14" s="166"/>
    </row>
    <row r="15" spans="1:61" ht="12">
      <c r="A15" s="186">
        <f>IF(B15="","",HLOOKUP(B15,pArray,6,FALSE))</f>
        <v>1.2000000000000455</v>
      </c>
      <c r="B15" s="291" t="s">
        <v>7</v>
      </c>
      <c r="C15" s="187">
        <f t="shared" si="13"/>
        <v>0.4946466809421815</v>
      </c>
      <c r="D15" s="186">
        <f t="shared" si="14"/>
        <v>-1</v>
      </c>
      <c r="E15" s="186">
        <f t="shared" si="15"/>
        <v>-0.14285714285714324</v>
      </c>
      <c r="F15" s="186">
        <v>-2.9999999999999996</v>
      </c>
      <c r="G15" s="186">
        <f t="shared" si="16"/>
        <v>2.8571428571428563</v>
      </c>
      <c r="H15" s="2">
        <f>Stren_Dir!D15</f>
        <v>-14.866357949467874</v>
      </c>
      <c r="I15" s="289">
        <f>U4</f>
        <v>1</v>
      </c>
      <c r="J15" s="289">
        <f>O4</f>
        <v>3</v>
      </c>
      <c r="K15" s="303">
        <f>U5</f>
        <v>7</v>
      </c>
      <c r="L15" s="304">
        <f>O5</f>
        <v>9</v>
      </c>
      <c r="M15" s="314">
        <f t="shared" si="4"/>
        <v>-14.86220792304443</v>
      </c>
      <c r="N15" s="314">
        <f t="shared" si="5"/>
        <v>-14.835915023649697</v>
      </c>
      <c r="O15" s="314">
        <f t="shared" si="6"/>
        <v>-14.866357949467874</v>
      </c>
      <c r="P15" s="314">
        <f t="shared" si="7"/>
        <v>-15.539489485858903</v>
      </c>
      <c r="Q15" s="314">
        <f t="shared" si="8"/>
        <v>-15.539489485858903</v>
      </c>
      <c r="R15" s="314">
        <f t="shared" si="9"/>
        <v>-14.9078359723914</v>
      </c>
      <c r="S15" s="307">
        <f t="shared" si="10"/>
        <v>65.392047580151896</v>
      </c>
      <c r="X15" s="286"/>
      <c r="Y15" s="287"/>
      <c r="Z15" s="166"/>
      <c r="AA15" s="166"/>
      <c r="AB15" s="166"/>
      <c r="AC15" s="166"/>
      <c r="AD15" s="166"/>
      <c r="AE15" s="166"/>
      <c r="AF15" s="166"/>
      <c r="AG15" s="166"/>
      <c r="AH15" s="166"/>
      <c r="AI15" s="166"/>
      <c r="AJ15" s="166"/>
      <c r="AK15" s="285"/>
      <c r="AL15" s="166">
        <f t="shared" si="11"/>
        <v>4</v>
      </c>
      <c r="AM15" s="166">
        <f t="shared" si="12"/>
        <v>5</v>
      </c>
      <c r="AN15" s="285"/>
      <c r="AO15" s="166"/>
      <c r="AP15" s="166"/>
      <c r="AQ15" s="166"/>
      <c r="AR15" s="166"/>
      <c r="AS15" s="166"/>
      <c r="AT15" s="166"/>
      <c r="AU15" s="166"/>
      <c r="AV15" s="166"/>
      <c r="AW15" s="166"/>
      <c r="AX15" s="166"/>
      <c r="AY15" s="166"/>
      <c r="AZ15" s="166"/>
      <c r="BA15" s="166"/>
      <c r="BB15" s="166"/>
      <c r="BC15" s="166"/>
      <c r="BD15" s="166"/>
      <c r="BE15" s="166"/>
      <c r="BF15" s="166"/>
      <c r="BG15" s="166"/>
      <c r="BH15" s="166"/>
      <c r="BI15" s="166"/>
    </row>
    <row r="16" spans="1:61" ht="12">
      <c r="A16" s="186">
        <f t="shared" si="3"/>
        <v>1.100000000000545</v>
      </c>
      <c r="B16" s="291" t="s">
        <v>0</v>
      </c>
      <c r="C16" s="187">
        <f t="shared" si="13"/>
        <v>3.3873343151687406E-2</v>
      </c>
      <c r="D16" s="186">
        <f t="shared" si="14"/>
        <v>-7</v>
      </c>
      <c r="E16" s="186">
        <f t="shared" si="15"/>
        <v>-3.1428571428571432</v>
      </c>
      <c r="F16" s="186">
        <v>-3.285714285714286</v>
      </c>
      <c r="G16" s="186">
        <f t="shared" si="16"/>
        <v>0.14285714285714279</v>
      </c>
      <c r="H16" s="2">
        <f>Stren_Dir!D16</f>
        <v>-3.9824141211981963</v>
      </c>
      <c r="I16" s="289">
        <f>Q4</f>
        <v>-1</v>
      </c>
      <c r="J16" s="289">
        <f>R4</f>
        <v>5</v>
      </c>
      <c r="K16" s="303">
        <f>Q5</f>
        <v>-17</v>
      </c>
      <c r="L16" s="304">
        <f>R5</f>
        <v>27</v>
      </c>
      <c r="M16" s="314">
        <f t="shared" si="4"/>
        <v>-3.9792637312159611</v>
      </c>
      <c r="N16" s="314">
        <f t="shared" si="5"/>
        <v>-3.9427040936900983</v>
      </c>
      <c r="O16" s="314">
        <f t="shared" si="6"/>
        <v>-3.9824141211981963</v>
      </c>
      <c r="P16" s="314">
        <f t="shared" si="7"/>
        <v>-4.1296215005012105</v>
      </c>
      <c r="Q16" s="314">
        <f t="shared" si="8"/>
        <v>-4.1296215005012105</v>
      </c>
      <c r="R16" s="314">
        <f t="shared" si="9"/>
        <v>-8.0884154193074274</v>
      </c>
      <c r="S16" s="307">
        <f t="shared" si="10"/>
        <v>71.627061681949499</v>
      </c>
      <c r="X16" s="287"/>
      <c r="Y16" s="287"/>
      <c r="Z16" s="166"/>
      <c r="AA16" s="166"/>
      <c r="AB16" s="166"/>
      <c r="AC16" s="166"/>
      <c r="AD16" s="166"/>
      <c r="AE16" s="166"/>
      <c r="AF16" s="166"/>
      <c r="AG16" s="166"/>
      <c r="AH16" s="166"/>
      <c r="AI16" s="166"/>
      <c r="AJ16" s="166"/>
      <c r="AK16" s="287"/>
      <c r="AL16" s="166">
        <f t="shared" si="11"/>
        <v>1</v>
      </c>
      <c r="AM16" s="166">
        <f t="shared" si="12"/>
        <v>8</v>
      </c>
      <c r="AN16" s="287"/>
      <c r="AO16" s="166"/>
      <c r="AP16" s="166"/>
      <c r="AQ16" s="166"/>
      <c r="AR16" s="166"/>
      <c r="AS16" s="166"/>
      <c r="AT16" s="166"/>
      <c r="AU16" s="166"/>
      <c r="AV16" s="166"/>
      <c r="AW16" s="166"/>
      <c r="AX16" s="166"/>
      <c r="AY16" s="166"/>
      <c r="AZ16" s="166"/>
      <c r="BA16" s="166"/>
      <c r="BB16" s="166"/>
      <c r="BC16" s="166"/>
      <c r="BD16" s="166"/>
      <c r="BE16" s="166"/>
      <c r="BF16" s="166"/>
      <c r="BG16" s="166"/>
      <c r="BH16" s="166"/>
      <c r="BI16" s="166"/>
    </row>
    <row r="17" spans="1:61" ht="12">
      <c r="A17" s="186">
        <f t="shared" si="3"/>
        <v>0.70000000000014495</v>
      </c>
      <c r="B17" s="291" t="s">
        <v>1</v>
      </c>
      <c r="C17" s="187">
        <f t="shared" si="13"/>
        <v>0.66772151898732524</v>
      </c>
      <c r="D17" s="186">
        <f t="shared" si="14"/>
        <v>3</v>
      </c>
      <c r="E17" s="186">
        <f t="shared" si="15"/>
        <v>0.28571428571428559</v>
      </c>
      <c r="F17" s="186">
        <v>0.14285714285714279</v>
      </c>
      <c r="G17" s="186">
        <f t="shared" si="16"/>
        <v>0.14285714285714279</v>
      </c>
      <c r="H17" s="2">
        <f>Stren_Dir!D17</f>
        <v>-0.49507677477105483</v>
      </c>
      <c r="I17" s="289">
        <f>Q4</f>
        <v>-1</v>
      </c>
      <c r="J17" s="289">
        <f>T4</f>
        <v>-3</v>
      </c>
      <c r="K17" s="303">
        <f>Q5</f>
        <v>-17</v>
      </c>
      <c r="L17" s="304">
        <f>T5</f>
        <v>-21</v>
      </c>
      <c r="M17" s="314">
        <f t="shared" si="4"/>
        <v>-0.63875137513751523</v>
      </c>
      <c r="N17" s="314">
        <f t="shared" si="5"/>
        <v>-0.57312307353589897</v>
      </c>
      <c r="O17" s="314">
        <f t="shared" si="6"/>
        <v>-0.49507677477105483</v>
      </c>
      <c r="P17" s="314">
        <f t="shared" si="7"/>
        <v>-0.28704106205194085</v>
      </c>
      <c r="Q17" s="314">
        <f t="shared" si="8"/>
        <v>-0.28704106205194085</v>
      </c>
      <c r="R17" s="314">
        <f t="shared" si="9"/>
        <v>-2.8549725056803674</v>
      </c>
      <c r="S17" s="307">
        <f t="shared" si="10"/>
        <v>98.764472740622494</v>
      </c>
      <c r="X17" s="287"/>
      <c r="Y17" s="287"/>
      <c r="Z17" s="166"/>
      <c r="AA17" s="166"/>
      <c r="AB17" s="166"/>
      <c r="AC17" s="166"/>
      <c r="AD17" s="166"/>
      <c r="AE17" s="166"/>
      <c r="AF17" s="166"/>
      <c r="AG17" s="166"/>
      <c r="AH17" s="166"/>
      <c r="AI17" s="166"/>
      <c r="AJ17" s="166"/>
      <c r="AK17" s="287"/>
      <c r="AL17" s="166">
        <f t="shared" si="11"/>
        <v>6</v>
      </c>
      <c r="AM17" s="166">
        <f t="shared" si="12"/>
        <v>3</v>
      </c>
      <c r="AN17" s="287"/>
      <c r="AO17" s="166"/>
      <c r="AP17" s="166"/>
      <c r="AQ17" s="166"/>
      <c r="AR17" s="166"/>
      <c r="AS17" s="166"/>
      <c r="AT17" s="166"/>
      <c r="AU17" s="166"/>
      <c r="AV17" s="166"/>
      <c r="AW17" s="166"/>
      <c r="AX17" s="166"/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  <c r="BI17" s="166"/>
    </row>
    <row r="18" spans="1:61" ht="12">
      <c r="A18" s="186">
        <f t="shared" si="3"/>
        <v>0.79999999999857963</v>
      </c>
      <c r="B18" s="291" t="s">
        <v>2</v>
      </c>
      <c r="C18" s="187">
        <f t="shared" si="13"/>
        <v>0.1328903654485562</v>
      </c>
      <c r="D18" s="186">
        <f t="shared" si="14"/>
        <v>-5</v>
      </c>
      <c r="E18" s="186">
        <f t="shared" si="15"/>
        <v>-1.7142857142857144</v>
      </c>
      <c r="F18" s="186">
        <v>0.28571428571428559</v>
      </c>
      <c r="G18" s="186">
        <f t="shared" si="16"/>
        <v>-2</v>
      </c>
      <c r="H18" s="2">
        <f>Stren_Dir!D18</f>
        <v>0.27342527296497388</v>
      </c>
      <c r="I18" s="289">
        <f>Q4</f>
        <v>-1</v>
      </c>
      <c r="J18" s="289">
        <f>U4</f>
        <v>1</v>
      </c>
      <c r="K18" s="303">
        <f>Q5</f>
        <v>-17</v>
      </c>
      <c r="L18" s="304">
        <f>U5</f>
        <v>7</v>
      </c>
      <c r="M18" s="314">
        <f t="shared" si="4"/>
        <v>0.29373848987108891</v>
      </c>
      <c r="N18" s="314">
        <f t="shared" si="5"/>
        <v>0.26696370214216503</v>
      </c>
      <c r="O18" s="314">
        <f t="shared" si="6"/>
        <v>0.27342527296497388</v>
      </c>
      <c r="P18" s="314">
        <f t="shared" si="7"/>
        <v>0.30666936805850248</v>
      </c>
      <c r="Q18" s="314">
        <f t="shared" si="8"/>
        <v>1.083980659112225</v>
      </c>
      <c r="R18" s="314">
        <f t="shared" si="9"/>
        <v>0.16737633004406549</v>
      </c>
      <c r="S18" s="307">
        <f t="shared" si="10"/>
        <v>28.9624071828515</v>
      </c>
      <c r="X18" s="287"/>
      <c r="Y18" s="287"/>
      <c r="Z18" s="166"/>
      <c r="AA18" s="166"/>
      <c r="AB18" s="166"/>
      <c r="AC18" s="166"/>
      <c r="AD18" s="166"/>
      <c r="AE18" s="166"/>
      <c r="AF18" s="166"/>
      <c r="AG18" s="166"/>
      <c r="AH18" s="166"/>
      <c r="AI18" s="166"/>
      <c r="AJ18" s="166"/>
      <c r="AK18" s="287"/>
      <c r="AL18" s="166">
        <f t="shared" si="11"/>
        <v>2</v>
      </c>
      <c r="AM18" s="166">
        <f t="shared" si="12"/>
        <v>7</v>
      </c>
      <c r="AN18" s="287"/>
      <c r="AO18" s="166"/>
      <c r="AP18" s="166"/>
      <c r="AQ18" s="166"/>
      <c r="AR18" s="166"/>
      <c r="AS18" s="166"/>
      <c r="AT18" s="166"/>
      <c r="AU18" s="166"/>
      <c r="AV18" s="166"/>
      <c r="AW18" s="166"/>
      <c r="AX18" s="166"/>
      <c r="AY18" s="166"/>
      <c r="AZ18" s="166"/>
      <c r="BA18" s="166"/>
      <c r="BB18" s="166"/>
      <c r="BC18" s="166"/>
      <c r="BD18" s="166"/>
      <c r="BE18" s="166"/>
      <c r="BF18" s="166"/>
      <c r="BG18" s="166"/>
      <c r="BH18" s="166"/>
      <c r="BI18" s="166"/>
    </row>
    <row r="19" spans="1:61" ht="12">
      <c r="A19" s="186">
        <f t="shared" si="3"/>
        <v>0.40000000000040004</v>
      </c>
      <c r="B19" s="291" t="s">
        <v>3</v>
      </c>
      <c r="C19" s="187">
        <f t="shared" si="13"/>
        <v>0.73645320197043651</v>
      </c>
      <c r="D19" s="186">
        <f t="shared" si="14"/>
        <v>3</v>
      </c>
      <c r="E19" s="186">
        <f t="shared" si="15"/>
        <v>1.1428571428571428</v>
      </c>
      <c r="F19" s="186">
        <v>-2.5714285714285716</v>
      </c>
      <c r="G19" s="186">
        <f t="shared" si="16"/>
        <v>3.7142857142857144</v>
      </c>
      <c r="H19" s="2">
        <f>Stren_Dir!D19</f>
        <v>16.826301522207537</v>
      </c>
      <c r="I19" s="289">
        <f>Q4</f>
        <v>-1</v>
      </c>
      <c r="J19" s="289">
        <f>P4</f>
        <v>-7</v>
      </c>
      <c r="K19" s="303">
        <f>Q5</f>
        <v>-17</v>
      </c>
      <c r="L19" s="304">
        <f>P5</f>
        <v>-33</v>
      </c>
      <c r="M19" s="314">
        <f t="shared" si="4"/>
        <v>16.774354912668297</v>
      </c>
      <c r="N19" s="314">
        <f t="shared" si="5"/>
        <v>16.805192639128254</v>
      </c>
      <c r="O19" s="314">
        <f t="shared" si="6"/>
        <v>16.826301522207537</v>
      </c>
      <c r="P19" s="314">
        <f t="shared" si="7"/>
        <v>18.216601724598736</v>
      </c>
      <c r="Q19" s="314">
        <f t="shared" si="8"/>
        <v>16.907560687208733</v>
      </c>
      <c r="R19" s="314">
        <f t="shared" si="9"/>
        <v>13.755295964914646</v>
      </c>
      <c r="S19" s="307">
        <f t="shared" si="10"/>
        <v>83.922607598054398</v>
      </c>
      <c r="X19" s="166"/>
      <c r="Y19" s="166"/>
      <c r="Z19" s="166"/>
      <c r="AA19" s="166"/>
      <c r="AB19" s="166"/>
      <c r="AC19" s="166"/>
      <c r="AD19" s="166"/>
      <c r="AE19" s="166"/>
      <c r="AF19" s="166"/>
      <c r="AG19" s="166"/>
      <c r="AH19" s="166"/>
      <c r="AI19" s="166"/>
      <c r="AJ19" s="166"/>
      <c r="AK19" s="166"/>
      <c r="AL19" s="166">
        <f t="shared" si="11"/>
        <v>6</v>
      </c>
      <c r="AM19" s="166">
        <f t="shared" si="12"/>
        <v>3</v>
      </c>
      <c r="AN19" s="166"/>
      <c r="AO19" s="166"/>
      <c r="AP19" s="166"/>
      <c r="AQ19" s="166"/>
      <c r="AR19" s="166"/>
      <c r="AS19" s="166"/>
      <c r="AT19" s="166"/>
      <c r="AU19" s="166"/>
      <c r="AV19" s="166"/>
      <c r="AW19" s="166"/>
      <c r="AX19" s="166"/>
      <c r="AY19" s="166"/>
      <c r="AZ19" s="166"/>
      <c r="BA19" s="166"/>
      <c r="BB19" s="166"/>
      <c r="BC19" s="166"/>
      <c r="BD19" s="166"/>
      <c r="BE19" s="166"/>
      <c r="BF19" s="166"/>
      <c r="BG19" s="166"/>
      <c r="BH19" s="166"/>
      <c r="BI19" s="166"/>
    </row>
    <row r="20" spans="1:61" ht="12">
      <c r="A20" s="186">
        <f t="shared" si="3"/>
        <v>0.60000000000002274</v>
      </c>
      <c r="B20" s="291" t="s">
        <v>4</v>
      </c>
      <c r="C20" s="187">
        <f t="shared" si="13"/>
        <v>0.30094339622641691</v>
      </c>
      <c r="D20" s="186">
        <f t="shared" si="14"/>
        <v>-3</v>
      </c>
      <c r="E20" s="186">
        <f t="shared" si="15"/>
        <v>-1.8571428571428577</v>
      </c>
      <c r="F20" s="186">
        <v>-2.714285714285714</v>
      </c>
      <c r="G20" s="186">
        <f t="shared" si="16"/>
        <v>0.85714285714285632</v>
      </c>
      <c r="H20" s="2">
        <f>Stren_Dir!D20</f>
        <v>-14.64667613848799</v>
      </c>
      <c r="I20" s="289">
        <f>Q4</f>
        <v>-1</v>
      </c>
      <c r="J20" s="289">
        <f>O4</f>
        <v>3</v>
      </c>
      <c r="K20" s="303">
        <f>Q5</f>
        <v>-17</v>
      </c>
      <c r="L20" s="304">
        <f>O5</f>
        <v>9</v>
      </c>
      <c r="M20" s="314">
        <f t="shared" si="4"/>
        <v>-14.628801364227909</v>
      </c>
      <c r="N20" s="314">
        <f t="shared" si="5"/>
        <v>-13.778204150079699</v>
      </c>
      <c r="O20" s="314">
        <f t="shared" si="6"/>
        <v>-14.64667613848799</v>
      </c>
      <c r="P20" s="314">
        <f t="shared" si="7"/>
        <v>-14.002320535229948</v>
      </c>
      <c r="Q20" s="314">
        <f t="shared" si="8"/>
        <v>-14.620499816738842</v>
      </c>
      <c r="R20" s="314">
        <f t="shared" si="9"/>
        <v>-14.80148985243296</v>
      </c>
      <c r="S20" s="307">
        <f t="shared" si="10"/>
        <v>39.838148523982397</v>
      </c>
      <c r="X20" s="166"/>
      <c r="Y20" s="166"/>
      <c r="Z20" s="166"/>
      <c r="AA20" s="166"/>
      <c r="AB20" s="166"/>
      <c r="AC20" s="166"/>
      <c r="AD20" s="166"/>
      <c r="AE20" s="166"/>
      <c r="AF20" s="166"/>
      <c r="AG20" s="166"/>
      <c r="AH20" s="166"/>
      <c r="AI20" s="166"/>
      <c r="AJ20" s="166"/>
      <c r="AK20" s="166"/>
      <c r="AL20" s="166">
        <f t="shared" si="11"/>
        <v>3</v>
      </c>
      <c r="AM20" s="166">
        <f t="shared" si="12"/>
        <v>6</v>
      </c>
      <c r="AN20" s="166"/>
      <c r="AO20" s="166"/>
      <c r="AP20" s="166"/>
      <c r="AQ20" s="166"/>
      <c r="AR20" s="166"/>
      <c r="AS20" s="166"/>
      <c r="AT20" s="166"/>
      <c r="AU20" s="166"/>
      <c r="AV20" s="166"/>
      <c r="AW20" s="166"/>
      <c r="AX20" s="166"/>
      <c r="AY20" s="166"/>
      <c r="AZ20" s="166"/>
      <c r="BA20" s="166"/>
      <c r="BB20" s="166"/>
      <c r="BC20" s="166"/>
      <c r="BD20" s="166"/>
      <c r="BE20" s="166"/>
      <c r="BF20" s="166"/>
      <c r="BG20" s="166"/>
      <c r="BH20" s="166"/>
      <c r="BI20" s="166"/>
    </row>
    <row r="21" spans="1:61" ht="12">
      <c r="A21" s="186">
        <f t="shared" si="3"/>
        <v>3.1000000000003247</v>
      </c>
      <c r="B21" s="291" t="s">
        <v>5</v>
      </c>
      <c r="C21" s="187">
        <f t="shared" si="13"/>
        <v>1.6066838046263798E-2</v>
      </c>
      <c r="D21" s="186">
        <f t="shared" si="14"/>
        <v>-9</v>
      </c>
      <c r="E21" s="186">
        <f t="shared" si="15"/>
        <v>-5.0000000000000009</v>
      </c>
      <c r="F21" s="186">
        <v>-2.5714285714285716</v>
      </c>
      <c r="G21" s="186">
        <f t="shared" si="16"/>
        <v>-2.4285714285714293</v>
      </c>
      <c r="H21" s="2">
        <f>Stren_Dir!D21</f>
        <v>-7.6366204101682476</v>
      </c>
      <c r="I21" s="289">
        <f>Q4</f>
        <v>-1</v>
      </c>
      <c r="J21" s="289">
        <f>S4</f>
        <v>7</v>
      </c>
      <c r="K21" s="303">
        <f>Q5</f>
        <v>-17</v>
      </c>
      <c r="L21" s="304">
        <f>S5</f>
        <v>53</v>
      </c>
      <c r="M21" s="314">
        <f t="shared" si="4"/>
        <v>-7.5832790631950253</v>
      </c>
      <c r="N21" s="314">
        <f t="shared" si="5"/>
        <v>-7.5332866152768005</v>
      </c>
      <c r="O21" s="314">
        <f t="shared" si="6"/>
        <v>-7.6366204101682476</v>
      </c>
      <c r="P21" s="314">
        <f t="shared" si="7"/>
        <v>-8.5407673131878212</v>
      </c>
      <c r="Q21" s="314">
        <f t="shared" si="8"/>
        <v>-7.772532188841204</v>
      </c>
      <c r="R21" s="314">
        <f t="shared" si="9"/>
        <v>-13.85349315343073</v>
      </c>
      <c r="S21" s="307">
        <f t="shared" si="10"/>
        <v>61.9577221551585</v>
      </c>
      <c r="X21" s="166"/>
      <c r="Y21" s="166"/>
      <c r="Z21" s="166"/>
      <c r="AA21" s="166"/>
      <c r="AB21" s="166"/>
      <c r="AC21" s="166"/>
      <c r="AD21" s="166"/>
      <c r="AE21" s="166"/>
      <c r="AF21" s="166"/>
      <c r="AG21" s="166"/>
      <c r="AH21" s="166"/>
      <c r="AI21" s="166"/>
      <c r="AJ21" s="166"/>
      <c r="AK21" s="166"/>
      <c r="AL21" s="166">
        <f t="shared" si="11"/>
        <v>0</v>
      </c>
      <c r="AM21" s="166">
        <f t="shared" si="12"/>
        <v>9</v>
      </c>
      <c r="AN21" s="166"/>
      <c r="AO21" s="166"/>
      <c r="AP21" s="166"/>
      <c r="AQ21" s="166"/>
      <c r="AR21" s="166"/>
      <c r="AS21" s="166"/>
      <c r="AT21" s="166"/>
      <c r="AU21" s="166"/>
      <c r="AV21" s="166"/>
      <c r="AW21" s="166"/>
      <c r="AX21" s="166"/>
      <c r="AY21" s="166"/>
      <c r="AZ21" s="166"/>
      <c r="BA21" s="166"/>
      <c r="BB21" s="166"/>
      <c r="BC21" s="166"/>
      <c r="BD21" s="166"/>
      <c r="BE21" s="166"/>
      <c r="BF21" s="166"/>
      <c r="BG21" s="166"/>
      <c r="BH21" s="166"/>
      <c r="BI21" s="166"/>
    </row>
    <row r="22" spans="1:61" ht="12">
      <c r="A22" s="186">
        <f t="shared" si="3"/>
        <v>0.10000000000065512</v>
      </c>
      <c r="B22" s="291" t="s">
        <v>6</v>
      </c>
      <c r="C22" s="187">
        <f t="shared" si="13"/>
        <v>0.5605633802816814</v>
      </c>
      <c r="D22" s="186">
        <f t="shared" si="14"/>
        <v>1</v>
      </c>
      <c r="E22" s="186">
        <f t="shared" si="15"/>
        <v>0.57142857142857117</v>
      </c>
      <c r="F22" s="186">
        <v>-2.4285714285714284</v>
      </c>
      <c r="G22" s="186">
        <f t="shared" si="16"/>
        <v>2.9999999999999996</v>
      </c>
      <c r="H22" s="2">
        <f>Stren_Dir!D22</f>
        <v>1.7823860449125142</v>
      </c>
      <c r="I22" s="289">
        <f>Q4</f>
        <v>-1</v>
      </c>
      <c r="J22" s="289">
        <f>N4</f>
        <v>-5</v>
      </c>
      <c r="K22" s="303">
        <f>Q5</f>
        <v>-17</v>
      </c>
      <c r="L22" s="304">
        <f>N5</f>
        <v>-25</v>
      </c>
      <c r="M22" s="314">
        <f t="shared" si="4"/>
        <v>2.9702245288372522</v>
      </c>
      <c r="N22" s="314">
        <f t="shared" si="5"/>
        <v>1.8616443317638456</v>
      </c>
      <c r="O22" s="314">
        <f t="shared" si="6"/>
        <v>1.7823860449125142</v>
      </c>
      <c r="P22" s="314">
        <f t="shared" si="7"/>
        <v>2.6236088305053729</v>
      </c>
      <c r="Q22" s="314">
        <f t="shared" si="8"/>
        <v>2.2086948621269302</v>
      </c>
      <c r="R22" s="314">
        <f t="shared" si="9"/>
        <v>0.71262309758280806</v>
      </c>
      <c r="S22" s="307">
        <f t="shared" si="10"/>
        <v>58.938002301946902</v>
      </c>
      <c r="X22" s="166"/>
      <c r="Y22" s="166"/>
      <c r="Z22" s="166"/>
      <c r="AA22" s="166"/>
      <c r="AB22" s="166"/>
      <c r="AC22" s="166"/>
      <c r="AD22" s="166"/>
      <c r="AE22" s="166"/>
      <c r="AF22" s="166"/>
      <c r="AG22" s="166"/>
      <c r="AH22" s="166"/>
      <c r="AI22" s="166"/>
      <c r="AJ22" s="166"/>
      <c r="AK22" s="166"/>
      <c r="AL22" s="166">
        <f t="shared" si="11"/>
        <v>5</v>
      </c>
      <c r="AM22" s="166">
        <f t="shared" si="12"/>
        <v>4</v>
      </c>
      <c r="AN22" s="166"/>
      <c r="AO22" s="166"/>
      <c r="AP22" s="166"/>
      <c r="AQ22" s="166"/>
      <c r="AR22" s="166"/>
      <c r="AS22" s="166"/>
      <c r="AT22" s="166"/>
      <c r="AU22" s="166"/>
      <c r="AV22" s="166"/>
      <c r="AW22" s="166"/>
      <c r="AX22" s="166"/>
      <c r="AY22" s="166"/>
      <c r="AZ22" s="166"/>
      <c r="BA22" s="166"/>
      <c r="BB22" s="166"/>
      <c r="BC22" s="166"/>
      <c r="BD22" s="166"/>
      <c r="BE22" s="166"/>
      <c r="BF22" s="166"/>
      <c r="BG22" s="166"/>
      <c r="BH22" s="166"/>
      <c r="BI22" s="166"/>
    </row>
    <row r="23" spans="1:61" ht="12">
      <c r="A23" s="186">
        <f t="shared" si="3"/>
        <v>2.1999999999988695</v>
      </c>
      <c r="B23" s="291" t="s">
        <v>23</v>
      </c>
      <c r="C23" s="187">
        <f t="shared" si="13"/>
        <v>5.0903119868642113E-2</v>
      </c>
      <c r="D23" s="186">
        <f t="shared" si="14"/>
        <v>-7</v>
      </c>
      <c r="E23" s="186">
        <f t="shared" si="15"/>
        <v>-4.2857142857142865</v>
      </c>
      <c r="F23" s="186">
        <v>-0.71428571428571441</v>
      </c>
      <c r="G23" s="186">
        <f t="shared" si="16"/>
        <v>-3.5714285714285721</v>
      </c>
      <c r="H23" s="2">
        <f>Stren_Dir!D23</f>
        <v>-17.807456084446262</v>
      </c>
      <c r="I23" s="289">
        <f>P4</f>
        <v>-7</v>
      </c>
      <c r="J23" s="289">
        <f>R4</f>
        <v>5</v>
      </c>
      <c r="K23" s="303">
        <f>P5</f>
        <v>-33</v>
      </c>
      <c r="L23" s="304">
        <f>R5</f>
        <v>27</v>
      </c>
      <c r="M23" s="314">
        <f t="shared" si="4"/>
        <v>-17.772131333358526</v>
      </c>
      <c r="N23" s="314">
        <f t="shared" si="5"/>
        <v>-18.803311181065638</v>
      </c>
      <c r="O23" s="314">
        <f t="shared" si="6"/>
        <v>-17.807456084446262</v>
      </c>
      <c r="P23" s="314">
        <f t="shared" si="7"/>
        <v>-18.841917334414781</v>
      </c>
      <c r="Q23" s="314">
        <f t="shared" si="8"/>
        <v>-17.977443396493086</v>
      </c>
      <c r="R23" s="314">
        <f t="shared" si="9"/>
        <v>-19.199353988379215</v>
      </c>
      <c r="S23" s="307">
        <f t="shared" si="10"/>
        <v>44.299993273649797</v>
      </c>
      <c r="X23" s="166"/>
      <c r="Y23" s="166"/>
      <c r="Z23" s="166"/>
      <c r="AA23" s="166"/>
      <c r="AB23" s="166"/>
      <c r="AC23" s="166"/>
      <c r="AD23" s="166"/>
      <c r="AE23" s="166"/>
      <c r="AF23" s="166"/>
      <c r="AG23" s="166"/>
      <c r="AH23" s="166"/>
      <c r="AI23" s="166"/>
      <c r="AJ23" s="166"/>
      <c r="AK23" s="166"/>
      <c r="AL23" s="166">
        <f t="shared" si="11"/>
        <v>1</v>
      </c>
      <c r="AM23" s="166">
        <f t="shared" si="12"/>
        <v>8</v>
      </c>
      <c r="AN23" s="166"/>
      <c r="AO23" s="166"/>
      <c r="AP23" s="166"/>
      <c r="AQ23" s="166"/>
      <c r="AR23" s="166"/>
      <c r="AS23" s="166"/>
      <c r="AT23" s="166"/>
      <c r="AU23" s="166"/>
      <c r="AV23" s="166"/>
      <c r="AW23" s="166"/>
      <c r="AX23" s="166"/>
      <c r="AY23" s="166"/>
      <c r="AZ23" s="166"/>
      <c r="BA23" s="166"/>
      <c r="BB23" s="166"/>
      <c r="BC23" s="166"/>
      <c r="BD23" s="166"/>
      <c r="BE23" s="166"/>
      <c r="BF23" s="166"/>
      <c r="BG23" s="166"/>
      <c r="BH23" s="166"/>
      <c r="BI23" s="166"/>
    </row>
    <row r="24" spans="1:61" ht="12">
      <c r="A24" s="186">
        <f t="shared" si="3"/>
        <v>1.2999999999996348</v>
      </c>
      <c r="B24" s="291" t="s">
        <v>19</v>
      </c>
      <c r="C24" s="187">
        <f t="shared" si="13"/>
        <v>0.36329233680227785</v>
      </c>
      <c r="D24" s="186">
        <f t="shared" si="14"/>
        <v>-3</v>
      </c>
      <c r="E24" s="186">
        <f t="shared" si="15"/>
        <v>-0.85714285714285721</v>
      </c>
      <c r="F24" s="186">
        <v>2.7142857142857144</v>
      </c>
      <c r="G24" s="186">
        <f t="shared" si="16"/>
        <v>-3.5714285714285716</v>
      </c>
      <c r="H24" s="2">
        <f>Stren_Dir!D24</f>
        <v>-14.82008044860997</v>
      </c>
      <c r="I24" s="289">
        <f>P4</f>
        <v>-7</v>
      </c>
      <c r="J24" s="289">
        <f>T4</f>
        <v>-3</v>
      </c>
      <c r="K24" s="303">
        <f>P5</f>
        <v>-33</v>
      </c>
      <c r="L24" s="304">
        <f>T5</f>
        <v>-21</v>
      </c>
      <c r="M24" s="314">
        <f t="shared" si="4"/>
        <v>-14.911126066388238</v>
      </c>
      <c r="N24" s="314">
        <f t="shared" si="5"/>
        <v>-14.619177429205587</v>
      </c>
      <c r="O24" s="314">
        <f t="shared" si="6"/>
        <v>-14.82008044860997</v>
      </c>
      <c r="P24" s="314">
        <f t="shared" si="7"/>
        <v>-14.583974963985893</v>
      </c>
      <c r="Q24" s="314">
        <f t="shared" si="8"/>
        <v>-14.670868173585099</v>
      </c>
      <c r="R24" s="314">
        <f t="shared" si="9"/>
        <v>-14.594581170685666</v>
      </c>
      <c r="S24" s="307">
        <f t="shared" si="10"/>
        <v>82.509974927190797</v>
      </c>
      <c r="X24" s="166"/>
      <c r="Y24" s="166"/>
      <c r="Z24" s="166"/>
      <c r="AA24" s="166"/>
      <c r="AB24" s="166"/>
      <c r="AC24" s="166"/>
      <c r="AD24" s="166"/>
      <c r="AE24" s="166"/>
      <c r="AF24" s="166"/>
      <c r="AG24" s="166"/>
      <c r="AH24" s="166"/>
      <c r="AI24" s="166"/>
      <c r="AJ24" s="166"/>
      <c r="AK24" s="166"/>
      <c r="AL24" s="166">
        <f t="shared" si="11"/>
        <v>3</v>
      </c>
      <c r="AM24" s="166">
        <f t="shared" si="12"/>
        <v>6</v>
      </c>
      <c r="AN24" s="166"/>
      <c r="AO24" s="166"/>
      <c r="AP24" s="166"/>
      <c r="AQ24" s="166"/>
      <c r="AR24" s="166"/>
      <c r="AS24" s="166"/>
      <c r="AT24" s="166"/>
      <c r="AU24" s="166"/>
      <c r="AV24" s="166"/>
      <c r="AW24" s="166"/>
      <c r="AX24" s="166"/>
      <c r="AY24" s="166"/>
      <c r="AZ24" s="166"/>
      <c r="BA24" s="166"/>
      <c r="BB24" s="166"/>
      <c r="BC24" s="166"/>
      <c r="BD24" s="166"/>
      <c r="BE24" s="166"/>
      <c r="BF24" s="166"/>
      <c r="BG24" s="166"/>
      <c r="BH24" s="166"/>
      <c r="BI24" s="166"/>
    </row>
    <row r="25" spans="1:61" ht="12">
      <c r="A25" s="186">
        <f t="shared" si="3"/>
        <v>1.9999999999997797</v>
      </c>
      <c r="B25" s="291" t="s">
        <v>20</v>
      </c>
      <c r="C25" s="187">
        <f t="shared" si="13"/>
        <v>0.21743929359823538</v>
      </c>
      <c r="D25" s="186">
        <f t="shared" si="14"/>
        <v>-5</v>
      </c>
      <c r="E25" s="186">
        <f t="shared" si="15"/>
        <v>-2.8571428571428572</v>
      </c>
      <c r="F25" s="186">
        <v>2.8571428571428572</v>
      </c>
      <c r="G25" s="186">
        <f t="shared" si="16"/>
        <v>-5.7142857142857144</v>
      </c>
      <c r="H25" s="2">
        <f>Stren_Dir!D25</f>
        <v>-14.166401737932507</v>
      </c>
      <c r="I25" s="289">
        <f>P4</f>
        <v>-7</v>
      </c>
      <c r="J25" s="289">
        <f>U4</f>
        <v>1</v>
      </c>
      <c r="K25" s="303">
        <f>P5</f>
        <v>-33</v>
      </c>
      <c r="L25" s="304">
        <f>U5</f>
        <v>7</v>
      </c>
      <c r="M25" s="314">
        <f t="shared" si="4"/>
        <v>-14.117483333112439</v>
      </c>
      <c r="N25" s="314">
        <f t="shared" si="5"/>
        <v>-14.159010670923564</v>
      </c>
      <c r="O25" s="314">
        <f t="shared" si="6"/>
        <v>-14.166401737932507</v>
      </c>
      <c r="P25" s="314">
        <f t="shared" si="7"/>
        <v>-15.174305201010617</v>
      </c>
      <c r="Q25" s="314">
        <f t="shared" si="8"/>
        <v>-13.512232885305863</v>
      </c>
      <c r="R25" s="314">
        <f t="shared" si="9"/>
        <v>-11.955133431164736</v>
      </c>
      <c r="S25" s="307">
        <f t="shared" si="10"/>
        <v>21.337680486679599</v>
      </c>
      <c r="X25" s="166"/>
      <c r="Y25" s="166"/>
      <c r="Z25" s="166"/>
      <c r="AA25" s="166"/>
      <c r="AB25" s="166"/>
      <c r="AC25" s="166"/>
      <c r="AD25" s="166"/>
      <c r="AE25" s="166"/>
      <c r="AF25" s="166"/>
      <c r="AG25" s="166"/>
      <c r="AH25" s="166"/>
      <c r="AI25" s="166"/>
      <c r="AJ25" s="166"/>
      <c r="AK25" s="166"/>
      <c r="AL25" s="166">
        <f t="shared" si="11"/>
        <v>2</v>
      </c>
      <c r="AM25" s="166">
        <f t="shared" si="12"/>
        <v>7</v>
      </c>
      <c r="AN25" s="166"/>
      <c r="AO25" s="166"/>
      <c r="AP25" s="166"/>
      <c r="AQ25" s="166"/>
      <c r="AR25" s="166"/>
      <c r="AS25" s="166"/>
      <c r="AT25" s="166"/>
      <c r="AU25" s="166"/>
      <c r="AV25" s="166"/>
      <c r="AW25" s="166"/>
      <c r="AX25" s="166"/>
      <c r="AY25" s="166"/>
      <c r="AZ25" s="166"/>
      <c r="BA25" s="166"/>
      <c r="BB25" s="166"/>
      <c r="BC25" s="166"/>
      <c r="BD25" s="166"/>
      <c r="BE25" s="166"/>
      <c r="BF25" s="166"/>
      <c r="BG25" s="166"/>
      <c r="BH25" s="166"/>
      <c r="BI25" s="166"/>
    </row>
    <row r="26" spans="1:61" ht="12">
      <c r="A26" s="186">
        <f t="shared" si="3"/>
        <v>0.90000000000145519</v>
      </c>
      <c r="B26" s="291" t="s">
        <v>11</v>
      </c>
      <c r="C26" s="187">
        <f t="shared" si="13"/>
        <v>0.11397557666214676</v>
      </c>
      <c r="D26" s="186">
        <f t="shared" si="14"/>
        <v>-5</v>
      </c>
      <c r="E26" s="186">
        <f t="shared" si="15"/>
        <v>-3.0000000000000004</v>
      </c>
      <c r="F26" s="186">
        <v>-0.14285714285714235</v>
      </c>
      <c r="G26" s="186">
        <f t="shared" si="16"/>
        <v>-2.8571428571428581</v>
      </c>
      <c r="H26" s="2">
        <f>Stren_Dir!D26</f>
        <v>-26.933257297797478</v>
      </c>
      <c r="I26" s="289">
        <f>P4</f>
        <v>-7</v>
      </c>
      <c r="J26" s="289">
        <f>O4</f>
        <v>3</v>
      </c>
      <c r="K26" s="303">
        <f>P5</f>
        <v>-33</v>
      </c>
      <c r="L26" s="304">
        <f>O5</f>
        <v>9</v>
      </c>
      <c r="M26" s="314">
        <f t="shared" si="4"/>
        <v>-26.891959542021713</v>
      </c>
      <c r="N26" s="314">
        <f t="shared" si="5"/>
        <v>-26.901403144291891</v>
      </c>
      <c r="O26" s="314">
        <f t="shared" si="6"/>
        <v>-26.933257297797478</v>
      </c>
      <c r="P26" s="314">
        <f t="shared" si="7"/>
        <v>-27.245991739742976</v>
      </c>
      <c r="Q26" s="314">
        <f t="shared" si="8"/>
        <v>-26.955656546642643</v>
      </c>
      <c r="R26" s="314">
        <f t="shared" si="9"/>
        <v>-25.095275125884505</v>
      </c>
      <c r="S26" s="307">
        <f t="shared" si="10"/>
        <v>18.198375818733599</v>
      </c>
      <c r="X26" s="166"/>
      <c r="Y26" s="166"/>
      <c r="Z26" s="166"/>
      <c r="AA26" s="166"/>
      <c r="AB26" s="166"/>
      <c r="AC26" s="166"/>
      <c r="AD26" s="166"/>
      <c r="AE26" s="166"/>
      <c r="AF26" s="166"/>
      <c r="AG26" s="166"/>
      <c r="AH26" s="166"/>
      <c r="AI26" s="166"/>
      <c r="AJ26" s="166"/>
      <c r="AK26" s="166"/>
      <c r="AL26" s="166">
        <f t="shared" si="11"/>
        <v>2</v>
      </c>
      <c r="AM26" s="166">
        <f t="shared" si="12"/>
        <v>7</v>
      </c>
      <c r="AN26" s="166"/>
      <c r="AO26" s="166"/>
      <c r="AP26" s="166"/>
      <c r="AQ26" s="166"/>
      <c r="AR26" s="166"/>
      <c r="AS26" s="166"/>
      <c r="AT26" s="166"/>
      <c r="AU26" s="166"/>
      <c r="AV26" s="166"/>
      <c r="AW26" s="166"/>
      <c r="AX26" s="166"/>
      <c r="AY26" s="166"/>
      <c r="AZ26" s="166"/>
      <c r="BA26" s="166"/>
      <c r="BB26" s="166"/>
      <c r="BC26" s="166"/>
      <c r="BD26" s="166"/>
      <c r="BE26" s="166"/>
      <c r="BF26" s="166"/>
      <c r="BG26" s="166"/>
      <c r="BH26" s="166"/>
      <c r="BI26" s="166"/>
    </row>
    <row r="27" spans="1:61" ht="12">
      <c r="A27" s="186">
        <f t="shared" si="3"/>
        <v>3.1999999999987594</v>
      </c>
      <c r="B27" s="291" t="s">
        <v>18</v>
      </c>
      <c r="C27" s="187">
        <f t="shared" si="13"/>
        <v>8.2593593207257468E-2</v>
      </c>
      <c r="D27" s="186">
        <f t="shared" si="14"/>
        <v>-7</v>
      </c>
      <c r="E27" s="186">
        <f t="shared" si="15"/>
        <v>-6.1428571428571441</v>
      </c>
      <c r="F27" s="186">
        <v>0</v>
      </c>
      <c r="G27" s="186">
        <f t="shared" si="16"/>
        <v>-6.1428571428571441</v>
      </c>
      <c r="H27" s="2">
        <f>Stren_Dir!D27</f>
        <v>-22.798224691283476</v>
      </c>
      <c r="I27" s="289">
        <f>P4</f>
        <v>-7</v>
      </c>
      <c r="J27" s="289">
        <f>S4</f>
        <v>7</v>
      </c>
      <c r="K27" s="303">
        <f>P5</f>
        <v>-33</v>
      </c>
      <c r="L27" s="304">
        <f>S5</f>
        <v>53</v>
      </c>
      <c r="M27" s="314">
        <f t="shared" si="4"/>
        <v>-20.856565513643055</v>
      </c>
      <c r="N27" s="314">
        <f t="shared" si="5"/>
        <v>-22.87074741990391</v>
      </c>
      <c r="O27" s="314">
        <f t="shared" si="6"/>
        <v>-22.798224691283476</v>
      </c>
      <c r="P27" s="314">
        <f t="shared" si="7"/>
        <v>-22.592558956195322</v>
      </c>
      <c r="Q27" s="314">
        <f t="shared" si="8"/>
        <v>-21.073982943972624</v>
      </c>
      <c r="R27" s="314">
        <f t="shared" si="9"/>
        <v>-24.270374099867148</v>
      </c>
      <c r="S27" s="307">
        <f t="shared" si="10"/>
        <v>31.306251370346398</v>
      </c>
      <c r="X27" s="166"/>
      <c r="Y27" s="166"/>
      <c r="Z27" s="166"/>
      <c r="AA27" s="166"/>
      <c r="AB27" s="166"/>
      <c r="AC27" s="166"/>
      <c r="AD27" s="166"/>
      <c r="AE27" s="166"/>
      <c r="AF27" s="166"/>
      <c r="AG27" s="166"/>
      <c r="AH27" s="166"/>
      <c r="AI27" s="166"/>
      <c r="AJ27" s="166"/>
      <c r="AK27" s="166"/>
      <c r="AL27" s="166">
        <f t="shared" si="11"/>
        <v>1</v>
      </c>
      <c r="AM27" s="166">
        <f t="shared" si="12"/>
        <v>8</v>
      </c>
      <c r="AN27" s="166"/>
      <c r="AO27" s="166"/>
      <c r="AP27" s="166"/>
      <c r="AQ27" s="166"/>
      <c r="AR27" s="166"/>
      <c r="AS27" s="166"/>
      <c r="AT27" s="166"/>
      <c r="AU27" s="166"/>
      <c r="AV27" s="166"/>
      <c r="AW27" s="166"/>
      <c r="AX27" s="166"/>
      <c r="AY27" s="166"/>
      <c r="AZ27" s="166"/>
      <c r="BA27" s="166"/>
      <c r="BB27" s="166"/>
      <c r="BC27" s="166"/>
      <c r="BD27" s="166"/>
      <c r="BE27" s="166"/>
      <c r="BF27" s="166"/>
      <c r="BG27" s="166"/>
      <c r="BH27" s="166"/>
      <c r="BI27" s="166"/>
    </row>
    <row r="28" spans="1:61" ht="12">
      <c r="A28" s="186">
        <f t="shared" si="3"/>
        <v>0.49999999999883471</v>
      </c>
      <c r="B28" s="291" t="s">
        <v>13</v>
      </c>
      <c r="C28" s="187">
        <f t="shared" si="13"/>
        <v>0.32916145181477824</v>
      </c>
      <c r="D28" s="186">
        <f t="shared" si="14"/>
        <v>-3</v>
      </c>
      <c r="E28" s="186">
        <f t="shared" si="15"/>
        <v>-0.57142857142857162</v>
      </c>
      <c r="F28" s="186">
        <v>0.14285714285714324</v>
      </c>
      <c r="G28" s="186">
        <f t="shared" si="16"/>
        <v>-0.71428571428571486</v>
      </c>
      <c r="H28" s="2">
        <f>Stren_Dir!D28</f>
        <v>-12.875321378592119</v>
      </c>
      <c r="I28" s="289">
        <f>P4</f>
        <v>-7</v>
      </c>
      <c r="J28" s="289">
        <f>N4</f>
        <v>-5</v>
      </c>
      <c r="K28" s="303">
        <f>P5</f>
        <v>-33</v>
      </c>
      <c r="L28" s="304">
        <f>N5</f>
        <v>-25</v>
      </c>
      <c r="M28" s="314">
        <f t="shared" si="4"/>
        <v>-12.806081569639055</v>
      </c>
      <c r="N28" s="314">
        <f t="shared" si="5"/>
        <v>-12.791879495465441</v>
      </c>
      <c r="O28" s="314">
        <f t="shared" si="6"/>
        <v>-12.875321378592119</v>
      </c>
      <c r="P28" s="314">
        <f t="shared" si="7"/>
        <v>-13.193426633289658</v>
      </c>
      <c r="Q28" s="314">
        <f t="shared" si="8"/>
        <v>-13.135403484863232</v>
      </c>
      <c r="R28" s="314">
        <f t="shared" si="9"/>
        <v>-11.476320540715706</v>
      </c>
      <c r="S28" s="307">
        <f t="shared" si="10"/>
        <v>25.838637939510299</v>
      </c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>
        <f t="shared" si="11"/>
        <v>3</v>
      </c>
      <c r="AM28" s="166">
        <f t="shared" si="12"/>
        <v>6</v>
      </c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</row>
    <row r="29" spans="1:61" ht="12">
      <c r="A29" s="186">
        <f t="shared" si="3"/>
        <v>1.300000000000745</v>
      </c>
      <c r="B29" s="291" t="s">
        <v>21</v>
      </c>
      <c r="C29" s="187">
        <f t="shared" si="13"/>
        <v>0.96923076923076124</v>
      </c>
      <c r="D29" s="186">
        <f t="shared" si="14"/>
        <v>7</v>
      </c>
      <c r="E29" s="186">
        <f t="shared" si="15"/>
        <v>5.2857142857142865</v>
      </c>
      <c r="F29" s="186">
        <v>2.7142857142857144</v>
      </c>
      <c r="G29" s="186">
        <f t="shared" si="16"/>
        <v>2.5714285714285721</v>
      </c>
      <c r="H29" s="2">
        <f>Stren_Dir!D29</f>
        <v>7.7599649977001652</v>
      </c>
      <c r="I29" s="289">
        <f>S4</f>
        <v>7</v>
      </c>
      <c r="J29" s="289">
        <f>T4</f>
        <v>-3</v>
      </c>
      <c r="K29" s="303">
        <f>S5</f>
        <v>53</v>
      </c>
      <c r="L29" s="304">
        <f>T5</f>
        <v>-21</v>
      </c>
      <c r="M29" s="314">
        <f t="shared" si="4"/>
        <v>7.5440010748354158</v>
      </c>
      <c r="N29" s="314">
        <f t="shared" si="5"/>
        <v>10.703378012377966</v>
      </c>
      <c r="O29" s="314">
        <f t="shared" si="6"/>
        <v>7.7599649977001652</v>
      </c>
      <c r="P29" s="314">
        <f t="shared" si="7"/>
        <v>10.389132783230275</v>
      </c>
      <c r="Q29" s="314">
        <f t="shared" si="8"/>
        <v>8.1750098541584464</v>
      </c>
      <c r="R29" s="314">
        <f t="shared" si="9"/>
        <v>12.804312339256139</v>
      </c>
      <c r="S29" s="307">
        <f t="shared" si="10"/>
        <v>94.710305783638702</v>
      </c>
      <c r="X29" s="166"/>
      <c r="Y29" s="166"/>
      <c r="Z29" s="166"/>
      <c r="AA29" s="166"/>
      <c r="AB29" s="166"/>
      <c r="AC29" s="166"/>
      <c r="AD29" s="166"/>
      <c r="AE29" s="166"/>
      <c r="AF29" s="166"/>
      <c r="AG29" s="166"/>
      <c r="AH29" s="166"/>
      <c r="AI29" s="166"/>
      <c r="AJ29" s="166"/>
      <c r="AK29" s="166"/>
      <c r="AL29" s="166">
        <f t="shared" si="11"/>
        <v>8</v>
      </c>
      <c r="AM29" s="166">
        <f t="shared" si="12"/>
        <v>1</v>
      </c>
      <c r="AN29" s="166"/>
      <c r="AO29" s="166"/>
      <c r="AP29" s="166"/>
      <c r="AQ29" s="166"/>
      <c r="AR29" s="166"/>
      <c r="AS29" s="166"/>
      <c r="AT29" s="166"/>
      <c r="AU29" s="166"/>
      <c r="AV29" s="166"/>
      <c r="AW29" s="166"/>
      <c r="AX29" s="166"/>
      <c r="AY29" s="166"/>
      <c r="AZ29" s="166"/>
      <c r="BA29" s="166"/>
      <c r="BB29" s="166"/>
      <c r="BC29" s="166"/>
      <c r="BD29" s="166"/>
      <c r="BE29" s="166"/>
      <c r="BF29" s="166"/>
      <c r="BG29" s="166"/>
      <c r="BH29" s="166"/>
      <c r="BI29" s="166"/>
    </row>
    <row r="30" spans="1:61" ht="12">
      <c r="A30" s="186">
        <f t="shared" si="3"/>
        <v>1.8000000000006899</v>
      </c>
      <c r="B30" s="291" t="s">
        <v>27</v>
      </c>
      <c r="C30" s="187">
        <f t="shared" si="13"/>
        <v>0.97630331753554733</v>
      </c>
      <c r="D30" s="186">
        <f t="shared" si="14"/>
        <v>9</v>
      </c>
      <c r="E30" s="186">
        <f t="shared" si="15"/>
        <v>3.2857142857142865</v>
      </c>
      <c r="F30" s="186">
        <v>2.8571428571428572</v>
      </c>
      <c r="G30" s="186">
        <f t="shared" si="16"/>
        <v>0.42857142857142927</v>
      </c>
      <c r="H30" s="2">
        <f>Stren_Dir!D30</f>
        <v>8.5971017971257933</v>
      </c>
      <c r="I30" s="289">
        <f>S4</f>
        <v>7</v>
      </c>
      <c r="J30" s="289">
        <f>U4</f>
        <v>1</v>
      </c>
      <c r="K30" s="303">
        <f>S5</f>
        <v>53</v>
      </c>
      <c r="L30" s="304">
        <f>U5</f>
        <v>7</v>
      </c>
      <c r="M30" s="314">
        <f t="shared" si="4"/>
        <v>8.5580181747293231</v>
      </c>
      <c r="N30" s="314">
        <f t="shared" si="5"/>
        <v>8.4734334262339281</v>
      </c>
      <c r="O30" s="314">
        <f t="shared" si="6"/>
        <v>8.5971017971257933</v>
      </c>
      <c r="P30" s="314">
        <f t="shared" si="7"/>
        <v>9.7312536946932706</v>
      </c>
      <c r="Q30" s="314">
        <f t="shared" si="8"/>
        <v>9.6249072489664798</v>
      </c>
      <c r="R30" s="314">
        <f t="shared" si="9"/>
        <v>16.355658421331785</v>
      </c>
      <c r="S30" s="307">
        <f t="shared" si="10"/>
        <v>38.602598490332099</v>
      </c>
      <c r="X30" s="166"/>
      <c r="Y30" s="166"/>
      <c r="Z30" s="166"/>
      <c r="AA30" s="166"/>
      <c r="AB30" s="166"/>
      <c r="AC30" s="166"/>
      <c r="AD30" s="166"/>
      <c r="AE30" s="166"/>
      <c r="AF30" s="166"/>
      <c r="AG30" s="166"/>
      <c r="AH30" s="166"/>
      <c r="AI30" s="166"/>
      <c r="AJ30" s="166"/>
      <c r="AK30" s="166"/>
      <c r="AL30" s="166">
        <f t="shared" si="11"/>
        <v>9</v>
      </c>
      <c r="AM30" s="166">
        <f t="shared" si="12"/>
        <v>0</v>
      </c>
      <c r="AN30" s="166"/>
      <c r="AO30" s="166"/>
      <c r="AP30" s="166"/>
      <c r="AQ30" s="166"/>
      <c r="AR30" s="166"/>
      <c r="AS30" s="166"/>
      <c r="AT30" s="166"/>
      <c r="AU30" s="166"/>
      <c r="AV30" s="166"/>
      <c r="AW30" s="166"/>
      <c r="AX30" s="166"/>
      <c r="AY30" s="166"/>
      <c r="AZ30" s="166"/>
      <c r="BA30" s="166"/>
      <c r="BB30" s="166"/>
      <c r="BC30" s="166"/>
      <c r="BD30" s="166"/>
      <c r="BE30" s="166"/>
      <c r="BF30" s="166"/>
      <c r="BG30" s="166"/>
      <c r="BH30" s="166"/>
      <c r="BI30" s="166"/>
    </row>
    <row r="31" spans="1:61" ht="12">
      <c r="A31" s="186">
        <f t="shared" si="3"/>
        <v>1.2000000000000455</v>
      </c>
      <c r="B31" s="291" t="s">
        <v>10</v>
      </c>
      <c r="C31" s="187">
        <f t="shared" si="13"/>
        <v>0.90518191841234974</v>
      </c>
      <c r="D31" s="186">
        <f t="shared" si="14"/>
        <v>7</v>
      </c>
      <c r="E31" s="186">
        <f t="shared" si="15"/>
        <v>3.1428571428571432</v>
      </c>
      <c r="F31" s="186">
        <v>-0.14285714285714235</v>
      </c>
      <c r="G31" s="186">
        <f t="shared" si="16"/>
        <v>3.2857142857142856</v>
      </c>
      <c r="H31" s="2">
        <f>Stren_Dir!D31</f>
        <v>-7.5569635676860081</v>
      </c>
      <c r="I31" s="289">
        <f>S4</f>
        <v>7</v>
      </c>
      <c r="J31" s="289">
        <f>O4</f>
        <v>3</v>
      </c>
      <c r="K31" s="303">
        <f>S5</f>
        <v>53</v>
      </c>
      <c r="L31" s="304">
        <f>O5</f>
        <v>9</v>
      </c>
      <c r="M31" s="314">
        <f t="shared" si="4"/>
        <v>-7.5918685521491875</v>
      </c>
      <c r="N31" s="314">
        <f t="shared" si="5"/>
        <v>-5.7271021534103026</v>
      </c>
      <c r="O31" s="314">
        <f t="shared" si="6"/>
        <v>-7.5569635676860081</v>
      </c>
      <c r="P31" s="314">
        <f t="shared" si="7"/>
        <v>-5.9433190349855076</v>
      </c>
      <c r="Q31" s="314">
        <f t="shared" si="8"/>
        <v>-7.4215985356925049</v>
      </c>
      <c r="R31" s="314">
        <f t="shared" si="9"/>
        <v>-1.0550751855184888</v>
      </c>
      <c r="S31" s="307">
        <f t="shared" si="10"/>
        <v>54.523116687715103</v>
      </c>
      <c r="X31" s="166"/>
      <c r="Y31" s="166"/>
      <c r="Z31" s="166"/>
      <c r="AA31" s="166"/>
      <c r="AB31" s="166"/>
      <c r="AC31" s="166"/>
      <c r="AD31" s="166"/>
      <c r="AE31" s="166"/>
      <c r="AF31" s="166"/>
      <c r="AG31" s="166"/>
      <c r="AH31" s="166"/>
      <c r="AI31" s="166"/>
      <c r="AJ31" s="166"/>
      <c r="AK31" s="166"/>
      <c r="AL31" s="166">
        <f t="shared" si="11"/>
        <v>8</v>
      </c>
      <c r="AM31" s="166">
        <f t="shared" si="12"/>
        <v>1</v>
      </c>
      <c r="AN31" s="166"/>
      <c r="AO31" s="166"/>
      <c r="AP31" s="166"/>
      <c r="AQ31" s="166"/>
      <c r="AR31" s="166"/>
      <c r="AS31" s="166"/>
      <c r="AT31" s="166"/>
      <c r="AU31" s="166"/>
      <c r="AV31" s="166"/>
      <c r="AW31" s="166"/>
      <c r="AX31" s="166"/>
      <c r="AY31" s="166"/>
      <c r="AZ31" s="166"/>
      <c r="BA31" s="166"/>
      <c r="BB31" s="166"/>
      <c r="BC31" s="166"/>
      <c r="BD31" s="166"/>
      <c r="BE31" s="166"/>
      <c r="BF31" s="166"/>
      <c r="BG31" s="166"/>
      <c r="BH31" s="166"/>
      <c r="BI31" s="166"/>
    </row>
    <row r="32" spans="1:61" ht="12">
      <c r="A32" s="186">
        <f t="shared" si="3"/>
        <v>0.79999999999968985</v>
      </c>
      <c r="B32" s="291" t="s">
        <v>15</v>
      </c>
      <c r="C32" s="187">
        <f t="shared" si="13"/>
        <v>0.97934386391251493</v>
      </c>
      <c r="D32" s="186">
        <f t="shared" si="14"/>
        <v>9</v>
      </c>
      <c r="E32" s="186">
        <f t="shared" si="15"/>
        <v>5.5714285714285721</v>
      </c>
      <c r="F32" s="186">
        <v>0.14285714285714324</v>
      </c>
      <c r="G32" s="186">
        <f t="shared" si="16"/>
        <v>5.4285714285714288</v>
      </c>
      <c r="H32" s="2">
        <f>Stren_Dir!D32</f>
        <v>10.222582547169814</v>
      </c>
      <c r="I32" s="289">
        <f>S4</f>
        <v>7</v>
      </c>
      <c r="J32" s="289">
        <f>N4</f>
        <v>-5</v>
      </c>
      <c r="K32" s="303">
        <f>S5</f>
        <v>53</v>
      </c>
      <c r="L32" s="304">
        <f>N5</f>
        <v>-25</v>
      </c>
      <c r="M32" s="314">
        <f t="shared" si="4"/>
        <v>10.199840834733397</v>
      </c>
      <c r="N32" s="314">
        <f t="shared" si="5"/>
        <v>10.180355406241709</v>
      </c>
      <c r="O32" s="314">
        <f t="shared" si="6"/>
        <v>10.222582547169814</v>
      </c>
      <c r="P32" s="314">
        <f t="shared" si="7"/>
        <v>12.219170681194012</v>
      </c>
      <c r="Q32" s="314">
        <f t="shared" si="8"/>
        <v>10.845105916186128</v>
      </c>
      <c r="R32" s="314">
        <f t="shared" si="9"/>
        <v>16.892557332457915</v>
      </c>
      <c r="S32" s="307">
        <f t="shared" si="10"/>
        <v>30.983711266166701</v>
      </c>
      <c r="X32" s="166"/>
      <c r="Y32" s="166"/>
      <c r="Z32" s="166"/>
      <c r="AA32" s="166"/>
      <c r="AB32" s="166"/>
      <c r="AC32" s="166"/>
      <c r="AD32" s="166"/>
      <c r="AE32" s="166"/>
      <c r="AF32" s="166"/>
      <c r="AG32" s="166"/>
      <c r="AH32" s="166"/>
      <c r="AI32" s="166"/>
      <c r="AJ32" s="166"/>
      <c r="AK32" s="166"/>
      <c r="AL32" s="166">
        <f t="shared" si="11"/>
        <v>9</v>
      </c>
      <c r="AM32" s="166">
        <f t="shared" si="12"/>
        <v>0</v>
      </c>
      <c r="AN32" s="166"/>
      <c r="AO32" s="166"/>
      <c r="AP32" s="166"/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166"/>
      <c r="BD32" s="166"/>
      <c r="BE32" s="166"/>
      <c r="BF32" s="166"/>
      <c r="BG32" s="166"/>
      <c r="BH32" s="166"/>
      <c r="BI32" s="166"/>
    </row>
    <row r="33" spans="1:61" ht="12">
      <c r="A33" s="186">
        <f t="shared" si="3"/>
        <v>0.49999999999883471</v>
      </c>
      <c r="B33" s="291" t="s">
        <v>17</v>
      </c>
      <c r="C33" s="187">
        <f t="shared" si="13"/>
        <v>0.48051948051949828</v>
      </c>
      <c r="D33" s="186">
        <f t="shared" si="14"/>
        <v>-1</v>
      </c>
      <c r="E33" s="186">
        <f t="shared" si="15"/>
        <v>-0.28571428571428559</v>
      </c>
      <c r="F33" s="186">
        <v>2.5714285714285712</v>
      </c>
      <c r="G33" s="186">
        <f t="shared" si="16"/>
        <v>-2.8571428571428568</v>
      </c>
      <c r="H33" s="2">
        <f>Stren_Dir!D33</f>
        <v>-2.2337567450320783</v>
      </c>
      <c r="I33" s="289">
        <f>N4</f>
        <v>-5</v>
      </c>
      <c r="J33" s="289">
        <f>T4</f>
        <v>-3</v>
      </c>
      <c r="K33" s="303">
        <f>N5</f>
        <v>-25</v>
      </c>
      <c r="L33" s="304">
        <f>T5</f>
        <v>-21</v>
      </c>
      <c r="M33" s="314">
        <f t="shared" si="4"/>
        <v>-2.4127505051886295</v>
      </c>
      <c r="N33" s="314">
        <f t="shared" si="5"/>
        <v>-1.6747546805872282</v>
      </c>
      <c r="O33" s="314">
        <f t="shared" si="6"/>
        <v>-2.2337567450320783</v>
      </c>
      <c r="P33" s="314">
        <f t="shared" si="7"/>
        <v>-1.6250574360545271</v>
      </c>
      <c r="Q33" s="314">
        <f t="shared" si="8"/>
        <v>-2.433503972292677</v>
      </c>
      <c r="R33" s="314">
        <f t="shared" si="9"/>
        <v>-3.4607667044933548</v>
      </c>
      <c r="S33" s="307">
        <f t="shared" si="10"/>
        <v>97.813449789936499</v>
      </c>
      <c r="X33" s="166"/>
      <c r="Y33" s="166"/>
      <c r="Z33" s="166"/>
      <c r="AA33" s="166"/>
      <c r="AB33" s="166"/>
      <c r="AC33" s="166"/>
      <c r="AD33" s="166"/>
      <c r="AE33" s="166"/>
      <c r="AF33" s="166"/>
      <c r="AG33" s="166"/>
      <c r="AH33" s="166"/>
      <c r="AI33" s="166"/>
      <c r="AJ33" s="166"/>
      <c r="AK33" s="166"/>
      <c r="AL33" s="166">
        <f t="shared" si="11"/>
        <v>4</v>
      </c>
      <c r="AM33" s="166">
        <f t="shared" si="12"/>
        <v>5</v>
      </c>
      <c r="AN33" s="166"/>
      <c r="AO33" s="166"/>
      <c r="AP33" s="166"/>
      <c r="AQ33" s="166"/>
      <c r="AR33" s="166"/>
      <c r="AS33" s="166"/>
      <c r="AT33" s="166"/>
      <c r="AU33" s="166"/>
      <c r="AV33" s="166"/>
      <c r="AW33" s="166"/>
      <c r="AX33" s="166"/>
      <c r="AY33" s="166"/>
      <c r="AZ33" s="166"/>
      <c r="BA33" s="166"/>
      <c r="BB33" s="166"/>
      <c r="BC33" s="166"/>
      <c r="BD33" s="166"/>
      <c r="BE33" s="166"/>
      <c r="BF33" s="166"/>
      <c r="BG33" s="166"/>
      <c r="BH33" s="166"/>
      <c r="BI33" s="166"/>
    </row>
    <row r="34" spans="1:61" ht="12">
      <c r="A34" s="186">
        <f t="shared" si="3"/>
        <v>0.70000000000014495</v>
      </c>
      <c r="B34" s="291" t="s">
        <v>16</v>
      </c>
      <c r="C34" s="187">
        <f t="shared" si="13"/>
        <v>0.14826498422711976</v>
      </c>
      <c r="D34" s="186">
        <f t="shared" si="14"/>
        <v>-5</v>
      </c>
      <c r="E34" s="186">
        <f t="shared" si="15"/>
        <v>-2.2857142857142856</v>
      </c>
      <c r="F34" s="186">
        <v>2.714285714285714</v>
      </c>
      <c r="G34" s="186">
        <f t="shared" si="16"/>
        <v>-5</v>
      </c>
      <c r="H34" s="2">
        <f>Stren_Dir!D34</f>
        <v>-1.477531748616095</v>
      </c>
      <c r="I34" s="289">
        <f>N4</f>
        <v>-5</v>
      </c>
      <c r="J34" s="289">
        <f>U4</f>
        <v>1</v>
      </c>
      <c r="K34" s="303">
        <f>N5</f>
        <v>-25</v>
      </c>
      <c r="L34" s="304">
        <f>U5</f>
        <v>7</v>
      </c>
      <c r="M34" s="314">
        <f t="shared" si="4"/>
        <v>-1.4955743208871752</v>
      </c>
      <c r="N34" s="314">
        <f t="shared" si="5"/>
        <v>-2.2188109112576675</v>
      </c>
      <c r="O34" s="314">
        <f t="shared" si="6"/>
        <v>-1.477531748616095</v>
      </c>
      <c r="P34" s="314">
        <f t="shared" si="7"/>
        <v>-2.2573089969310338</v>
      </c>
      <c r="Q34" s="314">
        <f t="shared" si="8"/>
        <v>-1.0859904171306589</v>
      </c>
      <c r="R34" s="314">
        <f t="shared" si="9"/>
        <v>-0.4882059715298866</v>
      </c>
      <c r="S34" s="307">
        <f t="shared" si="10"/>
        <v>31.956141969333299</v>
      </c>
      <c r="X34" s="166"/>
      <c r="Y34" s="166"/>
      <c r="Z34" s="166"/>
      <c r="AA34" s="166"/>
      <c r="AB34" s="166"/>
      <c r="AC34" s="166"/>
      <c r="AD34" s="166"/>
      <c r="AE34" s="166"/>
      <c r="AF34" s="166"/>
      <c r="AG34" s="166"/>
      <c r="AH34" s="166"/>
      <c r="AI34" s="166"/>
      <c r="AJ34" s="166"/>
      <c r="AK34" s="166"/>
      <c r="AL34" s="166">
        <f t="shared" si="11"/>
        <v>2</v>
      </c>
      <c r="AM34" s="166">
        <f t="shared" si="12"/>
        <v>7</v>
      </c>
      <c r="AN34" s="166"/>
      <c r="AO34" s="166"/>
      <c r="AP34" s="166"/>
      <c r="AQ34" s="166"/>
      <c r="AR34" s="166"/>
      <c r="AS34" s="166"/>
      <c r="AT34" s="166"/>
      <c r="AU34" s="166"/>
      <c r="AV34" s="166"/>
      <c r="AW34" s="166"/>
      <c r="AX34" s="166"/>
      <c r="AY34" s="166"/>
      <c r="AZ34" s="166"/>
      <c r="BA34" s="166"/>
      <c r="BB34" s="166"/>
      <c r="BC34" s="166"/>
      <c r="BD34" s="166"/>
      <c r="BE34" s="166"/>
      <c r="BF34" s="166"/>
      <c r="BG34" s="166"/>
      <c r="BH34" s="166"/>
      <c r="BI34" s="166"/>
    </row>
    <row r="35" spans="1:61" ht="12">
      <c r="A35" s="186">
        <f t="shared" si="3"/>
        <v>0.39999999999906777</v>
      </c>
      <c r="B35" s="291" t="s">
        <v>9</v>
      </c>
      <c r="C35" s="187">
        <f t="shared" si="13"/>
        <v>0.27856365614798811</v>
      </c>
      <c r="D35" s="186">
        <f t="shared" si="14"/>
        <v>-3</v>
      </c>
      <c r="E35" s="186">
        <f t="shared" si="15"/>
        <v>-2.4285714285714288</v>
      </c>
      <c r="F35" s="186">
        <v>-0.28571428571428559</v>
      </c>
      <c r="G35" s="186">
        <f t="shared" si="16"/>
        <v>-2.1428571428571432</v>
      </c>
      <c r="H35" s="2">
        <f>Stren_Dir!D35</f>
        <v>-16.13492470203164</v>
      </c>
      <c r="I35" s="289">
        <f>N4</f>
        <v>-5</v>
      </c>
      <c r="J35" s="289">
        <f>O4</f>
        <v>3</v>
      </c>
      <c r="K35" s="303">
        <f>N5</f>
        <v>-25</v>
      </c>
      <c r="L35" s="304">
        <f>O5</f>
        <v>9</v>
      </c>
      <c r="M35" s="314">
        <f t="shared" si="4"/>
        <v>-16.150864811708217</v>
      </c>
      <c r="N35" s="314">
        <f t="shared" si="5"/>
        <v>-16.276095387408198</v>
      </c>
      <c r="O35" s="314">
        <f t="shared" si="6"/>
        <v>-16.13492470203164</v>
      </c>
      <c r="P35" s="314">
        <f t="shared" si="7"/>
        <v>-16.181342056785041</v>
      </c>
      <c r="Q35" s="314">
        <f t="shared" si="8"/>
        <v>-16.462897555593972</v>
      </c>
      <c r="R35" s="314">
        <f t="shared" si="9"/>
        <v>-15.315277719818049</v>
      </c>
      <c r="S35" s="307">
        <f t="shared" si="10"/>
        <v>35.241547525600701</v>
      </c>
      <c r="X35" s="166"/>
      <c r="Y35" s="166"/>
      <c r="Z35" s="166"/>
      <c r="AA35" s="166"/>
      <c r="AB35" s="166"/>
      <c r="AC35" s="166"/>
      <c r="AD35" s="166"/>
      <c r="AE35" s="166"/>
      <c r="AF35" s="166"/>
      <c r="AG35" s="166"/>
      <c r="AH35" s="166"/>
      <c r="AI35" s="166"/>
      <c r="AJ35" s="166"/>
      <c r="AK35" s="166"/>
      <c r="AL35" s="166">
        <f t="shared" si="11"/>
        <v>3</v>
      </c>
      <c r="AM35" s="166">
        <f t="shared" si="12"/>
        <v>6</v>
      </c>
      <c r="AN35" s="166"/>
      <c r="AO35" s="166"/>
      <c r="AP35" s="166"/>
      <c r="AQ35" s="166"/>
      <c r="AR35" s="166"/>
      <c r="AS35" s="166"/>
      <c r="AT35" s="166"/>
      <c r="AU35" s="166"/>
      <c r="AV35" s="166"/>
      <c r="AW35" s="166"/>
      <c r="AX35" s="166"/>
      <c r="AY35" s="166"/>
      <c r="AZ35" s="166"/>
      <c r="BA35" s="166"/>
      <c r="BB35" s="166"/>
      <c r="BC35" s="166"/>
      <c r="BD35" s="166"/>
      <c r="BE35" s="166"/>
      <c r="BF35" s="166"/>
      <c r="BG35" s="166"/>
      <c r="BH35" s="166"/>
      <c r="BI35" s="166"/>
    </row>
    <row r="37" spans="1:61">
      <c r="E37" s="2"/>
      <c r="AK37" s="164" t="s">
        <v>127</v>
      </c>
      <c r="AL37" s="307">
        <f>SUM(AL8:AL35)/28</f>
        <v>4.1428571428571432</v>
      </c>
      <c r="AM37" s="307">
        <f>SUM(AM8:AM35)/28</f>
        <v>4.8571428571428568</v>
      </c>
      <c r="AN37" s="307">
        <f>AL37-AM37</f>
        <v>-0.71428571428571352</v>
      </c>
    </row>
    <row r="38" spans="1:61">
      <c r="E38" s="2"/>
      <c r="F38" s="2"/>
      <c r="J38" s="186"/>
    </row>
    <row r="39" spans="1:61">
      <c r="E39" s="2"/>
    </row>
    <row r="44" spans="1:61">
      <c r="C44" s="187">
        <f>SUM(C8:C35)/28</f>
        <v>0.44762534565521472</v>
      </c>
      <c r="D44" s="2">
        <f>SUM(D8:D35)/28</f>
        <v>-0.7142857142857143</v>
      </c>
      <c r="E44" s="2">
        <f>SUM(E8:E35)/28</f>
        <v>-0.40816326530612274</v>
      </c>
      <c r="F44" s="2">
        <f>SUM(F8:F35)/28</f>
        <v>0.20408163265306131</v>
      </c>
      <c r="G44" s="2">
        <f>SUM(G8:G35)/28</f>
        <v>-0.61224489795918391</v>
      </c>
      <c r="H44" s="2"/>
      <c r="L44" s="293" t="s">
        <v>121</v>
      </c>
      <c r="M44" s="294" t="s">
        <v>122</v>
      </c>
      <c r="N44" s="292" t="s">
        <v>123</v>
      </c>
      <c r="P44" s="292" t="s">
        <v>117</v>
      </c>
      <c r="Q44" s="292"/>
      <c r="T44" s="292" t="s">
        <v>114</v>
      </c>
      <c r="U44" s="292"/>
    </row>
    <row r="45" spans="1:61">
      <c r="E45" s="2">
        <f>ABS(E44)+ABS(G44)</f>
        <v>1.0204081632653066</v>
      </c>
      <c r="F45" s="2">
        <f>ABS(G44)+ABS(F44)</f>
        <v>0.81632653061224525</v>
      </c>
      <c r="L45" s="293" t="s">
        <v>125</v>
      </c>
      <c r="M45" s="298">
        <f>G49</f>
        <v>2.5204081632653059</v>
      </c>
      <c r="N45" s="296">
        <f>-G49</f>
        <v>-2.5204081632653059</v>
      </c>
      <c r="P45" s="292" t="s">
        <v>118</v>
      </c>
      <c r="Q45" s="292"/>
      <c r="T45" s="292" t="s">
        <v>115</v>
      </c>
      <c r="U45" s="296" t="e">
        <f>(P46/Q46)</f>
        <v>#DIV/0!</v>
      </c>
      <c r="V45" s="307" t="e">
        <f>(ABS(P46)+ABS(P47))/(ABS(Q46)+ABS(Q47))</f>
        <v>#DIV/0!</v>
      </c>
    </row>
    <row r="46" spans="1:61">
      <c r="F46" s="2">
        <f>E45-ABS(F44)</f>
        <v>0.81632653061224525</v>
      </c>
      <c r="L46" s="293" t="s">
        <v>124</v>
      </c>
      <c r="M46" s="298" t="e">
        <f>U45</f>
        <v>#DIV/0!</v>
      </c>
      <c r="N46" s="297" t="e">
        <f>U46</f>
        <v>#DIV/0!</v>
      </c>
      <c r="P46" s="296">
        <f>SUMIF(E8:E35,"&gt;2.25")</f>
        <v>0</v>
      </c>
      <c r="Q46" s="292">
        <f>COUNTIF(E8:E35,"&gt;2.25")</f>
        <v>0</v>
      </c>
      <c r="T46" s="292"/>
      <c r="U46" s="296" t="e">
        <f>(P47/Q47)</f>
        <v>#DIV/0!</v>
      </c>
    </row>
    <row r="47" spans="1:61">
      <c r="G47" s="2">
        <f>SUMIF(G8:G35,"&gt;0")</f>
        <v>26.714285714285708</v>
      </c>
      <c r="H47" s="2"/>
      <c r="L47" s="293" t="s">
        <v>45</v>
      </c>
      <c r="M47" s="298" t="e">
        <f>U47</f>
        <v>#DIV/0!</v>
      </c>
      <c r="N47" s="296" t="e">
        <f>U48</f>
        <v>#DIV/0!</v>
      </c>
      <c r="P47" s="296">
        <f>SUMIF(E8:E35,"&lt;-2.25")</f>
        <v>0</v>
      </c>
      <c r="Q47" s="292">
        <f>COUNTIF(E8:E35,"&lt;-2.25")</f>
        <v>0</v>
      </c>
      <c r="T47" s="292" t="s">
        <v>116</v>
      </c>
      <c r="U47" s="296" t="e">
        <f>(P49/Q49)</f>
        <v>#DIV/0!</v>
      </c>
      <c r="V47" s="307" t="e">
        <f>(ABS(P49)+ABS(P50))/(ABS(Q49)+ABS(Q50))</f>
        <v>#DIV/0!</v>
      </c>
    </row>
    <row r="48" spans="1:61">
      <c r="G48" s="2">
        <f>SUMIF(G8:G35,"&lt;0")</f>
        <v>-43.857142857142861</v>
      </c>
      <c r="H48" s="2"/>
      <c r="L48" s="293" t="s">
        <v>44</v>
      </c>
      <c r="M48" s="300" t="e">
        <f>P52/Q52</f>
        <v>#DIV/0!</v>
      </c>
      <c r="N48" s="299" t="e">
        <f>P53/Q53</f>
        <v>#DIV/0!</v>
      </c>
      <c r="P48" s="292" t="s">
        <v>119</v>
      </c>
      <c r="Q48" s="292"/>
      <c r="T48" s="292"/>
      <c r="U48" s="296" t="e">
        <f>(P50/Q50)</f>
        <v>#DIV/0!</v>
      </c>
    </row>
    <row r="49" spans="6:22">
      <c r="G49" s="2">
        <f>(ABS(G47)+ABS(G48))/28</f>
        <v>2.5204081632653059</v>
      </c>
      <c r="H49" s="2"/>
      <c r="L49" s="293" t="s">
        <v>127</v>
      </c>
      <c r="M49" s="298">
        <f>AL37</f>
        <v>4.1428571428571432</v>
      </c>
      <c r="N49" s="292"/>
      <c r="P49" s="296">
        <f>SUMIF(D8:D35,"&gt;4.9")</f>
        <v>0</v>
      </c>
      <c r="Q49" s="292">
        <f>COUNTIF(D8:D35,"&gt;4.9")</f>
        <v>0</v>
      </c>
      <c r="T49" s="295"/>
      <c r="U49" s="295"/>
    </row>
    <row r="50" spans="6:22">
      <c r="G50" s="2">
        <f>(P46-P47)/28</f>
        <v>0</v>
      </c>
      <c r="H50" s="2"/>
      <c r="P50" s="296">
        <f>SUMIF(D8:D35,"&lt;-4.9")</f>
        <v>0</v>
      </c>
      <c r="Q50" s="292">
        <f>COUNTIF(D8:D35,"&lt;-4.9")</f>
        <v>0</v>
      </c>
      <c r="T50" s="295"/>
      <c r="U50" s="295"/>
    </row>
    <row r="51" spans="6:22">
      <c r="G51" s="2" t="e">
        <f>(U45-U46)/8</f>
        <v>#DIV/0!</v>
      </c>
      <c r="H51" s="2"/>
      <c r="M51" s="2">
        <f>CRS!C20</f>
        <v>15.84</v>
      </c>
      <c r="P51" s="292" t="s">
        <v>120</v>
      </c>
      <c r="Q51" s="292"/>
      <c r="T51" s="307"/>
      <c r="V51" s="307"/>
    </row>
    <row r="52" spans="6:22">
      <c r="F52" s="2" t="e">
        <f>(P46-P47)/(Q46+Q47)</f>
        <v>#DIV/0!</v>
      </c>
      <c r="G52" s="1">
        <f>(P46-P47)/28</f>
        <v>0</v>
      </c>
      <c r="P52" s="299">
        <f>SUMIF(C8:C35,"&gt;0.6")</f>
        <v>0</v>
      </c>
      <c r="Q52" s="292">
        <f>COUNTIF(C8:C35,"&gt;0.6")</f>
        <v>0</v>
      </c>
      <c r="T52" s="307"/>
    </row>
    <row r="53" spans="6:22">
      <c r="P53" s="299">
        <f>SUMIF(C8:C35,"&lt;0.3")</f>
        <v>0</v>
      </c>
      <c r="Q53" s="292">
        <f>COUNTIF(C8:C35,"&lt;0.3")</f>
        <v>0</v>
      </c>
    </row>
    <row r="56" spans="6:22">
      <c r="N56" s="307">
        <f t="shared" ref="N56:S56" si="17">SUMIF(M8:M35,"&gt;0")</f>
        <v>61.296237511740017</v>
      </c>
      <c r="O56" s="307">
        <f t="shared" si="17"/>
        <v>63.129702880284093</v>
      </c>
      <c r="P56" s="307">
        <f t="shared" si="17"/>
        <v>60.35058689265712</v>
      </c>
      <c r="Q56" s="307">
        <f t="shared" si="17"/>
        <v>71.13284309254378</v>
      </c>
      <c r="R56" s="307">
        <f t="shared" si="17"/>
        <v>66.491665238022549</v>
      </c>
      <c r="S56" s="307">
        <f t="shared" si="17"/>
        <v>88.263706392090029</v>
      </c>
    </row>
    <row r="57" spans="6:22">
      <c r="N57" s="307">
        <f t="shared" ref="N57:S57" si="18">SUMIF(M8:M35,"&lt;0")</f>
        <v>-205.58795998591131</v>
      </c>
      <c r="O57" s="307">
        <f t="shared" si="18"/>
        <v>-205.65053787012536</v>
      </c>
      <c r="P57" s="307">
        <f t="shared" si="18"/>
        <v>-207.52463944985942</v>
      </c>
      <c r="Q57" s="307">
        <f t="shared" si="18"/>
        <v>-209.57834998576436</v>
      </c>
      <c r="R57" s="307">
        <f t="shared" si="18"/>
        <v>-206.06757971262812</v>
      </c>
      <c r="S57" s="307">
        <f t="shared" si="18"/>
        <v>-207.1523937867951</v>
      </c>
    </row>
    <row r="58" spans="6:22">
      <c r="N58" s="307">
        <f t="shared" ref="N58:S58" si="19">(ABS(N56)+ABS(N57))/28</f>
        <v>9.5315784820589755</v>
      </c>
      <c r="O58" s="307">
        <f t="shared" si="19"/>
        <v>9.5992943125146244</v>
      </c>
      <c r="P58" s="307">
        <f t="shared" si="19"/>
        <v>9.5669723693755913</v>
      </c>
      <c r="Q58" s="307">
        <f t="shared" si="19"/>
        <v>10.025399752796719</v>
      </c>
      <c r="R58" s="307">
        <f t="shared" si="19"/>
        <v>9.734258748237524</v>
      </c>
      <c r="S58" s="307">
        <f t="shared" si="19"/>
        <v>10.550575006388755</v>
      </c>
    </row>
  </sheetData>
  <mergeCells count="1">
    <mergeCell ref="K7:L7"/>
  </mergeCells>
  <conditionalFormatting sqref="C8:C35">
    <cfRule type="colorScale" priority="118">
      <colorScale>
        <cfvo type="formula" val="$N$48"/>
        <cfvo type="formula" val="0"/>
        <cfvo type="formula" val="$M$48"/>
        <color rgb="FFFF0000"/>
        <color rgb="FFFFEB84"/>
        <color rgb="FF0070C0"/>
      </colorScale>
    </cfRule>
    <cfRule type="iconSet" priority="119">
      <iconSet iconSet="3Arrows">
        <cfvo type="percent" val="0"/>
        <cfvo type="formula" val="$N$48"/>
        <cfvo type="formula" val="$M$48"/>
      </iconSet>
    </cfRule>
  </conditionalFormatting>
  <conditionalFormatting sqref="E8:E35">
    <cfRule type="iconSet" priority="114">
      <iconSet iconSet="3Arrows">
        <cfvo type="percent" val="0"/>
        <cfvo type="formula" val="-$V$45+0.01"/>
        <cfvo type="formula" val="$V$45"/>
      </iconSet>
    </cfRule>
    <cfRule type="colorScale" priority="115">
      <colorScale>
        <cfvo type="formula" val="-$V$45+0.01"/>
        <cfvo type="formula" val="0"/>
        <cfvo type="formula" val="$V$45"/>
        <color rgb="FFFF0000"/>
        <color rgb="FFFFEB84"/>
        <color rgb="FF0070C0"/>
      </colorScale>
    </cfRule>
  </conditionalFormatting>
  <conditionalFormatting sqref="N3:U3">
    <cfRule type="iconSet" priority="104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204" priority="105" operator="between">
      <formula>6.00001</formula>
      <formula>10</formula>
    </cfRule>
    <cfRule type="cellIs" dxfId="203" priority="106" operator="between">
      <formula>5.000001</formula>
      <formula>6</formula>
    </cfRule>
    <cfRule type="cellIs" dxfId="202" priority="107" operator="between">
      <formula>4.000001</formula>
      <formula>5</formula>
    </cfRule>
    <cfRule type="cellIs" dxfId="201" priority="108" operator="between">
      <formula>3.0000001</formula>
      <formula>4</formula>
    </cfRule>
    <cfRule type="cellIs" dxfId="200" priority="109" operator="between">
      <formula>2.000001</formula>
      <formula>3</formula>
    </cfRule>
    <cfRule type="cellIs" dxfId="199" priority="110" operator="between">
      <formula>0</formula>
      <formula>2</formula>
    </cfRule>
  </conditionalFormatting>
  <conditionalFormatting sqref="N4:U4">
    <cfRule type="iconSet" priority="94">
      <iconSet iconSet="4Arrows">
        <cfvo type="percent" val="0"/>
        <cfvo type="percent" val="25"/>
        <cfvo type="percent" val="50"/>
        <cfvo type="percent" val="75"/>
      </iconSet>
    </cfRule>
    <cfRule type="cellIs" dxfId="198" priority="95" operator="between">
      <formula>6</formula>
      <formula>7</formula>
    </cfRule>
    <cfRule type="cellIs" dxfId="197" priority="96" operator="equal">
      <formula>5</formula>
    </cfRule>
    <cfRule type="cellIs" dxfId="196" priority="97" operator="equal">
      <formula>4</formula>
    </cfRule>
    <cfRule type="cellIs" dxfId="195" priority="98" operator="between">
      <formula>-1</formula>
      <formula>3</formula>
    </cfRule>
    <cfRule type="cellIs" dxfId="194" priority="99" operator="equal">
      <formula>-2</formula>
    </cfRule>
    <cfRule type="cellIs" dxfId="193" priority="100" operator="equal">
      <formula>-3</formula>
    </cfRule>
    <cfRule type="cellIs" dxfId="192" priority="101" operator="equal">
      <formula>-4</formula>
    </cfRule>
    <cfRule type="cellIs" dxfId="191" priority="102" operator="equal">
      <formula>-5</formula>
    </cfRule>
    <cfRule type="cellIs" dxfId="190" priority="103" operator="between">
      <formula>-6</formula>
      <formula>-7</formula>
    </cfRule>
  </conditionalFormatting>
  <conditionalFormatting sqref="N5:U5">
    <cfRule type="iconSet" priority="90">
      <iconSet iconSet="5Arrows">
        <cfvo type="percent" val="0"/>
        <cfvo type="percent" val="1"/>
        <cfvo type="percent" val="20"/>
        <cfvo type="percent" val="80"/>
        <cfvo type="percent" val="99"/>
      </iconSet>
    </cfRule>
    <cfRule type="cellIs" dxfId="189" priority="91" operator="between">
      <formula>10</formula>
      <formula>99</formula>
    </cfRule>
    <cfRule type="cellIs" dxfId="188" priority="92" operator="between">
      <formula>-4.99999999</formula>
      <formula>9.9999</formula>
    </cfRule>
    <cfRule type="cellIs" dxfId="187" priority="93" operator="between">
      <formula>-5</formula>
      <formula>-99</formula>
    </cfRule>
  </conditionalFormatting>
  <conditionalFormatting sqref="G8:H35">
    <cfRule type="iconSet" priority="84">
      <iconSet iconSet="3Arrows">
        <cfvo type="percent" val="0"/>
        <cfvo type="formula" val="$N$45"/>
        <cfvo type="formula" val="$M$45"/>
      </iconSet>
    </cfRule>
    <cfRule type="colorScale" priority="85">
      <colorScale>
        <cfvo type="formula" val="$N$45"/>
        <cfvo type="formula" val="0"/>
        <cfvo type="formula" val="$M$45"/>
        <color rgb="FFFF0000"/>
        <color rgb="FFFFEB84"/>
        <color rgb="FF0070C0"/>
      </colorScale>
    </cfRule>
  </conditionalFormatting>
  <conditionalFormatting sqref="F8:F35">
    <cfRule type="iconSet" priority="82">
      <iconSet iconSet="3Arrows">
        <cfvo type="percent" val="0"/>
        <cfvo type="formula" val="-$F$45"/>
        <cfvo type="formula" val="$F$45"/>
      </iconSet>
    </cfRule>
    <cfRule type="colorScale" priority="83">
      <colorScale>
        <cfvo type="formula" val="-$F$45"/>
        <cfvo type="formula" val="0"/>
        <cfvo type="formula" val="$F$45"/>
        <color rgb="FFFF0000"/>
        <color rgb="FFFFEB84"/>
        <color rgb="FF0070C0"/>
      </colorScale>
    </cfRule>
  </conditionalFormatting>
  <conditionalFormatting sqref="I8:J35">
    <cfRule type="cellIs" dxfId="186" priority="75" operator="between">
      <formula>-4</formula>
      <formula>4</formula>
    </cfRule>
    <cfRule type="cellIs" dxfId="185" priority="76" operator="greaterThanOrEqual">
      <formula>5</formula>
    </cfRule>
    <cfRule type="cellIs" dxfId="184" priority="77" operator="lessThanOrEqual">
      <formula>-5</formula>
    </cfRule>
  </conditionalFormatting>
  <conditionalFormatting sqref="K8:L35">
    <cfRule type="cellIs" dxfId="183" priority="73" operator="lessThanOrEqual">
      <formula>-$M$51</formula>
    </cfRule>
    <cfRule type="cellIs" dxfId="182" priority="74" operator="greaterThanOrEqual">
      <formula>$M$51</formula>
    </cfRule>
  </conditionalFormatting>
  <conditionalFormatting sqref="D8:D35">
    <cfRule type="iconSet" priority="71">
      <iconSet iconSet="3Arrows">
        <cfvo type="percent" val="0"/>
        <cfvo type="formula" val="-$V$47+0.01"/>
        <cfvo type="formula" val="$V$47"/>
      </iconSet>
    </cfRule>
    <cfRule type="colorScale" priority="72">
      <colorScale>
        <cfvo type="formula" val="-$V$47+0.01"/>
        <cfvo type="num" val="0"/>
        <cfvo type="formula" val="$V$47"/>
        <color rgb="FFFF0000"/>
        <color rgb="FFFFEB84"/>
        <color rgb="FF0070C0"/>
      </colorScale>
    </cfRule>
  </conditionalFormatting>
  <conditionalFormatting sqref="M8:M35">
    <cfRule type="colorScale" priority="68">
      <colorScale>
        <cfvo type="formula" val="-$N$58"/>
        <cfvo type="formula" val="0"/>
        <cfvo type="formula" val="$N$58"/>
        <color rgb="FFFF0000"/>
        <color rgb="FF92D050"/>
        <color rgb="FF0070C0"/>
      </colorScale>
    </cfRule>
  </conditionalFormatting>
  <conditionalFormatting sqref="N8:N35">
    <cfRule type="colorScale" priority="67">
      <colorScale>
        <cfvo type="formula" val="-$O$58"/>
        <cfvo type="formula" val="0"/>
        <cfvo type="formula" val="$O$58"/>
        <color rgb="FFFF0000"/>
        <color rgb="FF92D050"/>
        <color rgb="FF0070C0"/>
      </colorScale>
    </cfRule>
  </conditionalFormatting>
  <conditionalFormatting sqref="O8:O35">
    <cfRule type="colorScale" priority="65">
      <colorScale>
        <cfvo type="formula" val="-$P$58"/>
        <cfvo type="formula" val="0"/>
        <cfvo type="formula" val="$P$58"/>
        <color rgb="FFFF0000"/>
        <color rgb="FF92D050"/>
        <color rgb="FF0070C0"/>
      </colorScale>
    </cfRule>
  </conditionalFormatting>
  <conditionalFormatting sqref="P8:P35">
    <cfRule type="colorScale" priority="64">
      <colorScale>
        <cfvo type="formula" val="-$Q$58"/>
        <cfvo type="formula" val="0"/>
        <cfvo type="formula" val="$Q$58"/>
        <color rgb="FFFF0000"/>
        <color rgb="FF92D050"/>
        <color rgb="FF0070C0"/>
      </colorScale>
    </cfRule>
  </conditionalFormatting>
  <conditionalFormatting sqref="Q8:Q35">
    <cfRule type="colorScale" priority="63">
      <colorScale>
        <cfvo type="formula" val="-$R$58"/>
        <cfvo type="formula" val="0"/>
        <cfvo type="formula" val="$R$58"/>
        <color rgb="FFFF0000"/>
        <color rgb="FF92D050"/>
        <color rgb="FF0070C0"/>
      </colorScale>
    </cfRule>
  </conditionalFormatting>
  <conditionalFormatting sqref="R8:R35">
    <cfRule type="colorScale" priority="62">
      <colorScale>
        <cfvo type="formula" val="-$S$58"/>
        <cfvo type="formula" val="0"/>
        <cfvo type="formula" val="$S$58"/>
        <color rgb="FFFF0000"/>
        <color rgb="FF92D050"/>
        <color rgb="FF0070C0"/>
      </colorScale>
    </cfRule>
  </conditionalFormatting>
  <conditionalFormatting sqref="S8">
    <cfRule type="expression" dxfId="181" priority="59">
      <formula>$S$8&gt;75</formula>
    </cfRule>
    <cfRule type="expression" dxfId="180" priority="60">
      <formula>$S$8&lt;25</formula>
    </cfRule>
  </conditionalFormatting>
  <conditionalFormatting sqref="S9">
    <cfRule type="expression" dxfId="179" priority="57">
      <formula>$S$9&gt;75</formula>
    </cfRule>
    <cfRule type="expression" dxfId="178" priority="58">
      <formula>$S$9&lt;25</formula>
    </cfRule>
  </conditionalFormatting>
  <conditionalFormatting sqref="S10">
    <cfRule type="expression" dxfId="177" priority="55">
      <formula>$S$10&gt;75</formula>
    </cfRule>
    <cfRule type="expression" dxfId="176" priority="56">
      <formula>$S$10&lt;25</formula>
    </cfRule>
  </conditionalFormatting>
  <conditionalFormatting sqref="S11">
    <cfRule type="expression" dxfId="175" priority="53">
      <formula>$S$11&gt;75</formula>
    </cfRule>
    <cfRule type="expression" dxfId="174" priority="54">
      <formula>$S$11&lt;25</formula>
    </cfRule>
  </conditionalFormatting>
  <conditionalFormatting sqref="S12">
    <cfRule type="expression" dxfId="173" priority="51">
      <formula>$S$12&gt;75</formula>
    </cfRule>
    <cfRule type="expression" dxfId="172" priority="52">
      <formula>$S$12&lt;25</formula>
    </cfRule>
  </conditionalFormatting>
  <conditionalFormatting sqref="S13">
    <cfRule type="expression" dxfId="171" priority="49">
      <formula>$S$13&gt;75</formula>
    </cfRule>
    <cfRule type="expression" dxfId="170" priority="50">
      <formula>$S$13&lt;25</formula>
    </cfRule>
  </conditionalFormatting>
  <conditionalFormatting sqref="S14">
    <cfRule type="expression" dxfId="169" priority="47">
      <formula>$S$14&gt;75</formula>
    </cfRule>
    <cfRule type="expression" dxfId="168" priority="48">
      <formula>$S$14&lt;25</formula>
    </cfRule>
  </conditionalFormatting>
  <conditionalFormatting sqref="S15">
    <cfRule type="expression" dxfId="167" priority="45">
      <formula>$S$15&gt;75</formula>
    </cfRule>
    <cfRule type="expression" dxfId="166" priority="46">
      <formula>$S$15&lt;25</formula>
    </cfRule>
  </conditionalFormatting>
  <conditionalFormatting sqref="S16">
    <cfRule type="expression" dxfId="165" priority="43">
      <formula>$S$16&gt;75</formula>
    </cfRule>
    <cfRule type="expression" dxfId="164" priority="44">
      <formula>$S$16&lt;25</formula>
    </cfRule>
  </conditionalFormatting>
  <conditionalFormatting sqref="S17">
    <cfRule type="expression" dxfId="163" priority="41">
      <formula>$S$17&gt;75</formula>
    </cfRule>
    <cfRule type="expression" dxfId="162" priority="42">
      <formula>$S$17&lt;25</formula>
    </cfRule>
  </conditionalFormatting>
  <conditionalFormatting sqref="S18">
    <cfRule type="expression" dxfId="161" priority="39">
      <formula>$S$18&gt;75</formula>
    </cfRule>
    <cfRule type="expression" dxfId="160" priority="40">
      <formula>$S$18&lt;25</formula>
    </cfRule>
  </conditionalFormatting>
  <conditionalFormatting sqref="S19">
    <cfRule type="expression" dxfId="159" priority="37">
      <formula>$S$19&gt;75</formula>
    </cfRule>
    <cfRule type="expression" dxfId="158" priority="38">
      <formula>$S$19&lt;25</formula>
    </cfRule>
  </conditionalFormatting>
  <conditionalFormatting sqref="S20">
    <cfRule type="expression" dxfId="157" priority="35">
      <formula>$S$20&gt;75</formula>
    </cfRule>
    <cfRule type="expression" dxfId="156" priority="36">
      <formula>$S$20&lt;25</formula>
    </cfRule>
  </conditionalFormatting>
  <conditionalFormatting sqref="S21">
    <cfRule type="expression" dxfId="155" priority="33">
      <formula>$S$21&gt;75</formula>
    </cfRule>
    <cfRule type="expression" dxfId="154" priority="34">
      <formula>$S$21&lt;25</formula>
    </cfRule>
  </conditionalFormatting>
  <conditionalFormatting sqref="S22">
    <cfRule type="expression" dxfId="153" priority="31">
      <formula>$S$22&gt;75</formula>
    </cfRule>
    <cfRule type="expression" dxfId="152" priority="32">
      <formula>$S$22&lt;25</formula>
    </cfRule>
  </conditionalFormatting>
  <conditionalFormatting sqref="S23">
    <cfRule type="expression" dxfId="151" priority="29">
      <formula>$S$23&gt;75</formula>
    </cfRule>
    <cfRule type="expression" dxfId="150" priority="30">
      <formula>$S$23&lt;25</formula>
    </cfRule>
  </conditionalFormatting>
  <conditionalFormatting sqref="S24">
    <cfRule type="expression" dxfId="149" priority="27">
      <formula>$S$24&gt;75</formula>
    </cfRule>
    <cfRule type="expression" dxfId="148" priority="28">
      <formula>$S$24&lt;25</formula>
    </cfRule>
  </conditionalFormatting>
  <conditionalFormatting sqref="S25">
    <cfRule type="expression" dxfId="147" priority="25">
      <formula>$S$25&gt;75</formula>
    </cfRule>
    <cfRule type="expression" dxfId="146" priority="26">
      <formula>$S$25&lt;25</formula>
    </cfRule>
  </conditionalFormatting>
  <conditionalFormatting sqref="S26">
    <cfRule type="expression" dxfId="145" priority="23">
      <formula>$S$26&gt;75</formula>
    </cfRule>
    <cfRule type="expression" dxfId="144" priority="24">
      <formula>$S$26&lt;25</formula>
    </cfRule>
  </conditionalFormatting>
  <conditionalFormatting sqref="S27">
    <cfRule type="expression" dxfId="143" priority="21">
      <formula>$S$27&gt;75</formula>
    </cfRule>
    <cfRule type="expression" dxfId="142" priority="22">
      <formula>$S$27&lt;25</formula>
    </cfRule>
  </conditionalFormatting>
  <conditionalFormatting sqref="S28">
    <cfRule type="expression" dxfId="141" priority="19">
      <formula>$S$28&gt;75</formula>
    </cfRule>
    <cfRule type="expression" dxfId="140" priority="20">
      <formula>$S$28&lt;25</formula>
    </cfRule>
  </conditionalFormatting>
  <conditionalFormatting sqref="S29">
    <cfRule type="expression" dxfId="139" priority="17">
      <formula>$S$29&gt;75</formula>
    </cfRule>
    <cfRule type="expression" dxfId="138" priority="18">
      <formula>$S$29&lt;25</formula>
    </cfRule>
  </conditionalFormatting>
  <conditionalFormatting sqref="S30">
    <cfRule type="expression" dxfId="137" priority="15">
      <formula>$S$30&gt;75</formula>
    </cfRule>
    <cfRule type="expression" dxfId="136" priority="16">
      <formula>$S$30&lt;25</formula>
    </cfRule>
  </conditionalFormatting>
  <conditionalFormatting sqref="S31">
    <cfRule type="expression" dxfId="135" priority="13">
      <formula>$S$31&gt;75</formula>
    </cfRule>
    <cfRule type="expression" dxfId="134" priority="14">
      <formula>$S$31&lt;25</formula>
    </cfRule>
  </conditionalFormatting>
  <conditionalFormatting sqref="S32">
    <cfRule type="expression" dxfId="133" priority="11">
      <formula>$S$32&gt;75</formula>
    </cfRule>
    <cfRule type="expression" dxfId="132" priority="12">
      <formula>$S$32&lt;25</formula>
    </cfRule>
  </conditionalFormatting>
  <conditionalFormatting sqref="S33">
    <cfRule type="expression" dxfId="131" priority="9">
      <formula>$S$33&gt;75</formula>
    </cfRule>
    <cfRule type="expression" dxfId="130" priority="10">
      <formula>$S$33&lt;25</formula>
    </cfRule>
  </conditionalFormatting>
  <conditionalFormatting sqref="S34">
    <cfRule type="expression" dxfId="129" priority="7">
      <formula>$S$34&gt;75</formula>
    </cfRule>
    <cfRule type="expression" dxfId="128" priority="8">
      <formula>$S$34&lt;25</formula>
    </cfRule>
  </conditionalFormatting>
  <conditionalFormatting sqref="S35">
    <cfRule type="expression" dxfId="127" priority="5">
      <formula>$S$35&gt;75</formula>
    </cfRule>
    <cfRule type="expression" dxfId="126" priority="6">
      <formula>$S$35&lt;25</formula>
    </cfRule>
  </conditionalFormatting>
  <conditionalFormatting sqref="H8:H35">
    <cfRule type="iconSet" priority="1">
      <iconSet iconSet="3Arrows">
        <cfvo type="percent" val="0"/>
        <cfvo type="num" val="-0.25"/>
        <cfvo type="num" val="0.25"/>
      </iconSet>
    </cfRule>
    <cfRule type="colorScale" priority="2">
      <colorScale>
        <cfvo type="min" val="0"/>
        <cfvo type="max" val="0"/>
        <color rgb="FFFF0000"/>
        <color rgb="FF0070C0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"/>
  <dimension ref="A1:Y44"/>
  <sheetViews>
    <sheetView showGridLines="0" showRowColHeaders="0" workbookViewId="0">
      <selection activeCell="R4" sqref="R4"/>
    </sheetView>
  </sheetViews>
  <sheetFormatPr defaultColWidth="9.140625" defaultRowHeight="12"/>
  <cols>
    <col min="1" max="1" width="0.85546875" style="267" customWidth="1"/>
    <col min="2" max="2" width="9.140625" style="267"/>
    <col min="3" max="3" width="6.28515625" style="267" customWidth="1"/>
    <col min="4" max="4" width="6.5703125" style="267" customWidth="1"/>
    <col min="5" max="5" width="7.140625" style="267" customWidth="1"/>
    <col min="6" max="6" width="5.140625" style="267" customWidth="1"/>
    <col min="7" max="7" width="1.85546875" style="267" customWidth="1"/>
    <col min="8" max="8" width="7.5703125" style="267" customWidth="1"/>
    <col min="9" max="10" width="7" style="267" customWidth="1"/>
    <col min="11" max="11" width="7.5703125" style="267" customWidth="1"/>
    <col min="12" max="12" width="5.28515625" style="267" customWidth="1"/>
    <col min="13" max="13" width="1.85546875" style="267" customWidth="1"/>
    <col min="14" max="16" width="7.28515625" style="267" customWidth="1"/>
    <col min="17" max="17" width="7.85546875" style="267" customWidth="1"/>
    <col min="18" max="18" width="5.140625" style="267" customWidth="1"/>
    <col min="19" max="19" width="1.85546875" style="267" customWidth="1"/>
    <col min="20" max="20" width="9.140625" style="267"/>
    <col min="21" max="21" width="8.140625" style="267" customWidth="1"/>
    <col min="22" max="22" width="8.5703125" style="267" customWidth="1"/>
    <col min="23" max="23" width="8.7109375" style="267" customWidth="1"/>
    <col min="24" max="24" width="5.28515625" style="267" customWidth="1"/>
    <col min="25" max="25" width="1.85546875" style="267" customWidth="1"/>
    <col min="26" max="16384" width="9.140625" style="267"/>
  </cols>
  <sheetData>
    <row r="1" spans="1:25" s="305" customFormat="1">
      <c r="A1" s="305">
        <v>4</v>
      </c>
      <c r="C1" s="306" t="e">
        <f>ROUNDUP(GAP_test!$M$46,2)</f>
        <v>#DIV/0!</v>
      </c>
      <c r="D1" s="306">
        <f>ROUNDUP(GAP_test!$M$45,2)</f>
        <v>2.5299999999999998</v>
      </c>
      <c r="E1" s="306">
        <f>ROUNDUP(GAP_test!$M$49,2)</f>
        <v>4.1499999999999995</v>
      </c>
    </row>
    <row r="2" spans="1:25">
      <c r="A2" s="267">
        <v>1</v>
      </c>
    </row>
    <row r="4" spans="1:25" ht="12" customHeight="1">
      <c r="B4" s="371" t="s">
        <v>34</v>
      </c>
      <c r="C4" s="371"/>
      <c r="D4" s="372" t="str">
        <f>F7</f>
        <v>WAIT</v>
      </c>
      <c r="E4" s="372"/>
      <c r="F4" s="267">
        <f>IF(B8="","",IF(COUNTIF(F8:F14,"&gt;0")&gt;COUNTIF(F8:F14,"&lt;0"),COUNTIF(F8:F14,"&gt;0"),IF(COUNTIF(F8:F14,"&lt;0")&gt;COUNTIF(F8:F14,"&gt;0"),-COUNTIF(F8:F14,"&lt;0"),IF(COUNTIF(F8:F14,"&lt;0")=COUNTIF(F8:F14,"&gt;0"),0))))</f>
        <v>2</v>
      </c>
      <c r="G4" s="184"/>
      <c r="H4" s="371" t="s">
        <v>35</v>
      </c>
      <c r="I4" s="371"/>
      <c r="J4" s="372" t="str">
        <f>L7</f>
        <v>WAIT</v>
      </c>
      <c r="K4" s="372"/>
      <c r="L4" s="267">
        <f>IF(H8="","",IF(COUNTIF(L8:L14,"&gt;0")&gt;COUNTIF(L8:L14,"&lt;0"),COUNTIF(L8:L14,"&gt;0"),IF(COUNTIF(L8:L14,"&lt;0")&gt;COUNTIF(L8:L14,"&gt;0"),-COUNTIF(L8:L14,"&lt;0"),IF(COUNTIF(L8:L14,"&lt;0")=COUNTIF(L8:L14,"&gt;0"),0))))</f>
        <v>2</v>
      </c>
      <c r="M4" s="184"/>
      <c r="N4" s="371" t="s">
        <v>30</v>
      </c>
      <c r="O4" s="371"/>
      <c r="P4" s="372" t="str">
        <f>R7</f>
        <v>WAIT</v>
      </c>
      <c r="Q4" s="372"/>
      <c r="R4" s="267">
        <f>IF(N8="","",IF(COUNTIF(R8:R14,"&gt;0")&gt;COUNTIF(R8:R14,"&lt;0"),COUNTIF(R8:R14,"&gt;0"),IF(COUNTIF(R8:R14,"&lt;0")&gt;COUNTIF(R8:R14,"&gt;0"),-COUNTIF(R8:R14,"&lt;0"),IF(COUNTIF(R8:R14,"&lt;0")=COUNTIF(R8:R14,"&gt;0"),0))))</f>
        <v>3</v>
      </c>
      <c r="S4" s="184"/>
      <c r="T4" s="371" t="s">
        <v>31</v>
      </c>
      <c r="U4" s="371"/>
      <c r="V4" s="372" t="str">
        <f>X7</f>
        <v>WAIT</v>
      </c>
      <c r="W4" s="372"/>
      <c r="X4" s="267">
        <f>IF(T8="","",IF(COUNTIF(X8:X14,"&gt;0")&gt;COUNTIF(X8:X14,"&lt;0"),COUNTIF(X8:X14,"&gt;0"),IF(COUNTIF(X8:X14,"&lt;0")&gt;COUNTIF(X8:X14,"&gt;0"),-COUNTIF(X8:X14,"&lt;0"),IF(COUNTIF(X8:X14,"&lt;0")=COUNTIF(X8:X14,"&gt;0"),0))))</f>
        <v>2</v>
      </c>
      <c r="Y4" s="184"/>
    </row>
    <row r="5" spans="1:25" ht="12" customHeight="1">
      <c r="B5" s="371"/>
      <c r="C5" s="371"/>
      <c r="D5" s="372"/>
      <c r="E5" s="372"/>
      <c r="G5" s="184"/>
      <c r="H5" s="371"/>
      <c r="I5" s="371"/>
      <c r="J5" s="372"/>
      <c r="K5" s="372"/>
      <c r="M5" s="184"/>
      <c r="N5" s="371"/>
      <c r="O5" s="371"/>
      <c r="P5" s="372"/>
      <c r="Q5" s="372"/>
      <c r="S5" s="184"/>
      <c r="T5" s="371"/>
      <c r="U5" s="371"/>
      <c r="V5" s="372"/>
      <c r="W5" s="372"/>
      <c r="Y5" s="184"/>
    </row>
    <row r="6" spans="1:25" ht="12" customHeight="1">
      <c r="B6" s="371"/>
      <c r="C6" s="371"/>
      <c r="D6" s="372"/>
      <c r="E6" s="372"/>
      <c r="F6" s="302">
        <f>IF(B4="","",HLOOKUP(B4,smArray,2,FALSE))</f>
        <v>6.4285714285714288</v>
      </c>
      <c r="G6" s="184"/>
      <c r="H6" s="371"/>
      <c r="I6" s="371"/>
      <c r="J6" s="372"/>
      <c r="K6" s="372"/>
      <c r="L6" s="302">
        <f>IF(H4="","",HLOOKUP(H4,smArray,2,FALSE))</f>
        <v>3</v>
      </c>
      <c r="M6" s="184"/>
      <c r="N6" s="371"/>
      <c r="O6" s="371"/>
      <c r="P6" s="372"/>
      <c r="Q6" s="372"/>
      <c r="R6" s="302">
        <f>IF(N4="","",HLOOKUP(N4,smArray,2,FALSE))</f>
        <v>5</v>
      </c>
      <c r="S6" s="184"/>
      <c r="T6" s="371"/>
      <c r="U6" s="371"/>
      <c r="V6" s="372"/>
      <c r="W6" s="372"/>
      <c r="X6" s="302">
        <f>IF(T4="","",HLOOKUP(T4,smArray,2,FALSE))</f>
        <v>3.2857142857142856</v>
      </c>
      <c r="Y6" s="184"/>
    </row>
    <row r="7" spans="1:25" s="269" customFormat="1">
      <c r="B7" s="185"/>
      <c r="C7" s="276" t="e">
        <f>CONCATENATE("BS"," ",ROUNDUP(C1,2))</f>
        <v>#DIV/0!</v>
      </c>
      <c r="D7" s="185" t="s">
        <v>102</v>
      </c>
      <c r="E7" s="185" t="str">
        <f>CONCATENATE("&lt;&gt;"," ",ROUNDUP(D1,2))</f>
        <v>&lt;&gt; 2,53</v>
      </c>
      <c r="F7" s="277" t="str">
        <f>IF(B8="","",IF(F4&gt;=5,"BUY",IF(F4&lt;-4.9,"SELL",IF(F4&lt;5,"WAIT"))))</f>
        <v>WAIT</v>
      </c>
      <c r="G7" s="278"/>
      <c r="H7" s="185"/>
      <c r="I7" s="185" t="e">
        <f>CONCATENATE("BS"," ",ROUNDUP(C1,2))</f>
        <v>#DIV/0!</v>
      </c>
      <c r="J7" s="185" t="s">
        <v>102</v>
      </c>
      <c r="K7" s="185" t="str">
        <f>CONCATENATE("&lt;&gt;"," ",ROUNDUP(D1,2))</f>
        <v>&lt;&gt; 2,53</v>
      </c>
      <c r="L7" s="277" t="str">
        <f>IF(H8="","",IF(L4&gt;=5,"BUY",IF(L4&lt;-4.9,"SELL",IF(L4&lt;5,"WAIT"))))</f>
        <v>WAIT</v>
      </c>
      <c r="M7" s="278"/>
      <c r="N7" s="185"/>
      <c r="O7" s="185" t="e">
        <f>CONCATENATE("BS"," ",ROUNDUP(C1,2))</f>
        <v>#DIV/0!</v>
      </c>
      <c r="P7" s="185" t="s">
        <v>102</v>
      </c>
      <c r="Q7" s="185" t="str">
        <f>CONCATENATE("&lt;&gt;"," ",ROUNDUP(D1,2))</f>
        <v>&lt;&gt; 2,53</v>
      </c>
      <c r="R7" s="277" t="str">
        <f>IF(N8="","",IF(R4&gt;=5,"BUY",IF(R4&lt;-4.9,"SELL",IF(R4&lt;5,"WAIT"))))</f>
        <v>WAIT</v>
      </c>
      <c r="S7" s="278"/>
      <c r="T7" s="185"/>
      <c r="U7" s="185" t="e">
        <f>CONCATENATE("BS"," ",ROUNDUP(C1,2))</f>
        <v>#DIV/0!</v>
      </c>
      <c r="V7" s="185" t="s">
        <v>102</v>
      </c>
      <c r="W7" s="185" t="str">
        <f>CONCATENATE("&lt;&gt;"," ",ROUNDUP(D1,2))</f>
        <v>&lt;&gt; 2,53</v>
      </c>
      <c r="X7" s="277" t="str">
        <f>IF(T8="","",IF(X4&gt;=5,"BUY",IF(X4&lt;-4.9,"SELL",IF(X4&lt;5,"WAIT"))))</f>
        <v>WAIT</v>
      </c>
      <c r="Y7" s="185"/>
    </row>
    <row r="8" spans="1:25">
      <c r="B8" s="267" t="s">
        <v>14</v>
      </c>
      <c r="C8" s="268">
        <f t="shared" ref="C8:C14" si="0">IF(B8="","",VLOOKUP(B8,bSR_GAP2,4,FALSE))</f>
        <v>3.7142857142857144</v>
      </c>
      <c r="D8" s="268">
        <f t="shared" ref="D8:D14" si="1">IF(B8="","",VLOOKUP(B8,bSR_GAP2,5,FALSE))</f>
        <v>0.85714285714285765</v>
      </c>
      <c r="E8" s="268">
        <f t="shared" ref="E8:E14" si="2">IF(B8="","",VLOOKUP(B8,bSR_GAP2,6,FALSE))</f>
        <v>2.8571428571428568</v>
      </c>
      <c r="F8" s="271">
        <f>IF(B8="","",IF(E8&gt;=D1,1,IF(E8&lt;=-D1,-1,IF(E8&lt;D1,0))))</f>
        <v>1</v>
      </c>
      <c r="G8" s="279"/>
      <c r="H8" s="267" t="s">
        <v>17</v>
      </c>
      <c r="I8" s="268">
        <f t="shared" ref="I8:I14" si="3">IF(H8="","",VLOOKUP(H8,bSR_GAP2,4,FALSE))</f>
        <v>-0.28571428571428559</v>
      </c>
      <c r="J8" s="268">
        <f t="shared" ref="J8:J14" si="4">IF(H8="","",VLOOKUP(H8,bSR_GAP2,5,FALSE))</f>
        <v>2.5714285714285712</v>
      </c>
      <c r="K8" s="268">
        <f t="shared" ref="K8:K14" si="5">IF(H8="","",VLOOKUP(H8,bSR_GAP2,6,FALSE))</f>
        <v>-2.8571428571428568</v>
      </c>
      <c r="L8" s="271">
        <f>IF(H8="","",IF(K8&gt;=D1,-1,IF(K8&lt;=-D1,1,IF(K8&lt;D1,0))))</f>
        <v>1</v>
      </c>
      <c r="M8" s="279"/>
      <c r="N8" s="267" t="s">
        <v>25</v>
      </c>
      <c r="O8" s="268">
        <f t="shared" ref="O8:O14" si="6">IF(N8="","",VLOOKUP(N8,bSR_GAP2,4,FALSE))</f>
        <v>1.4285714285714288</v>
      </c>
      <c r="P8" s="268">
        <f t="shared" ref="P8:P14" si="7">IF(N8="","",VLOOKUP(N8,bSR_GAP2,5,FALSE))</f>
        <v>3.5714285714285716</v>
      </c>
      <c r="Q8" s="268">
        <f t="shared" ref="Q8:Q14" si="8">IF(N8="","",VLOOKUP(N8,bSR_GAP2,6,FALSE))</f>
        <v>-2.1428571428571428</v>
      </c>
      <c r="R8" s="271">
        <f>IF(N8="","",IF(Q8&gt;=D1,-1,IF(Q8&lt;=-D1,1,IF(Q8&lt;D1,0))))</f>
        <v>0</v>
      </c>
      <c r="S8" s="279"/>
      <c r="T8" s="267" t="s">
        <v>6</v>
      </c>
      <c r="U8" s="268">
        <f t="shared" ref="U8:U14" si="9">IF(T8="","",VLOOKUP(T8,bSR_GAP2,4,FALSE))</f>
        <v>0.57142857142857117</v>
      </c>
      <c r="V8" s="268">
        <f t="shared" ref="V8:V14" si="10">IF(T8="","",VLOOKUP(T8,bSR_GAP2,5,FALSE))</f>
        <v>-2.4285714285714284</v>
      </c>
      <c r="W8" s="268">
        <f t="shared" ref="W8:W14" si="11">IF(T8="","",VLOOKUP(T8,bSR_GAP2,6,FALSE))</f>
        <v>2.9999999999999996</v>
      </c>
      <c r="X8" s="271">
        <f>IF(T8="","",IF(W8&gt;=D1,1,IF(W8&lt;=-D1,-1,IF(W8&lt;D1,0))))</f>
        <v>1</v>
      </c>
      <c r="Y8" s="184"/>
    </row>
    <row r="9" spans="1:25">
      <c r="B9" s="267" t="s">
        <v>25</v>
      </c>
      <c r="C9" s="268">
        <f t="shared" si="0"/>
        <v>1.4285714285714288</v>
      </c>
      <c r="D9" s="268">
        <f t="shared" si="1"/>
        <v>3.5714285714285716</v>
      </c>
      <c r="E9" s="268">
        <f t="shared" si="2"/>
        <v>-2.1428571428571428</v>
      </c>
      <c r="F9" s="271">
        <f>IF(B9="","",IF(E9&gt;=D1,1,IF(E9&lt;=-D1,-1,IF(E9&lt;D1,0))))</f>
        <v>0</v>
      </c>
      <c r="G9" s="279"/>
      <c r="H9" s="267" t="s">
        <v>21</v>
      </c>
      <c r="I9" s="268">
        <f t="shared" si="3"/>
        <v>5.2857142857142865</v>
      </c>
      <c r="J9" s="268">
        <f t="shared" si="4"/>
        <v>2.7142857142857144</v>
      </c>
      <c r="K9" s="268">
        <f t="shared" si="5"/>
        <v>2.5714285714285721</v>
      </c>
      <c r="L9" s="271">
        <f>IF(H9="","",IF(K9&gt;=D1,-1,IF(K9&lt;=-D1,1,IF(K9&lt;D1,0))))</f>
        <v>-1</v>
      </c>
      <c r="M9" s="279"/>
      <c r="N9" s="267" t="s">
        <v>26</v>
      </c>
      <c r="O9" s="268">
        <f t="shared" si="6"/>
        <v>-2</v>
      </c>
      <c r="P9" s="268">
        <f t="shared" si="7"/>
        <v>0.14285714285714279</v>
      </c>
      <c r="Q9" s="268">
        <f t="shared" si="8"/>
        <v>-2.1428571428571428</v>
      </c>
      <c r="R9" s="271">
        <f>IF(N9="","",IF(Q9&gt;=D1,-1,IF(Q9&lt;=-D1,1,IF(Q9&lt;D1,0))))</f>
        <v>0</v>
      </c>
      <c r="S9" s="279"/>
      <c r="T9" s="267" t="s">
        <v>3</v>
      </c>
      <c r="U9" s="268">
        <f t="shared" si="9"/>
        <v>1.1428571428571428</v>
      </c>
      <c r="V9" s="268">
        <f t="shared" si="10"/>
        <v>-2.5714285714285716</v>
      </c>
      <c r="W9" s="268">
        <f t="shared" si="11"/>
        <v>3.7142857142857144</v>
      </c>
      <c r="X9" s="271">
        <f>IF(T9="","",IF(W9&gt;=D1,1,IF(W9&lt;=-D1,-1,IF(W9&lt;D1,0))))</f>
        <v>1</v>
      </c>
      <c r="Y9" s="184"/>
    </row>
    <row r="10" spans="1:25">
      <c r="B10" s="267" t="s">
        <v>24</v>
      </c>
      <c r="C10" s="268">
        <f t="shared" si="0"/>
        <v>3.4285714285714288</v>
      </c>
      <c r="D10" s="268">
        <f t="shared" si="1"/>
        <v>3.4285714285714288</v>
      </c>
      <c r="E10" s="268">
        <f t="shared" si="2"/>
        <v>0</v>
      </c>
      <c r="F10" s="271">
        <f>IF(B10="","",IF(E10&gt;=D1,1,IF(E10&lt;=-D1,-1,IF(E10&lt;D1,0))))</f>
        <v>0</v>
      </c>
      <c r="G10" s="279"/>
      <c r="H10" s="267" t="s">
        <v>19</v>
      </c>
      <c r="I10" s="268">
        <f t="shared" si="3"/>
        <v>-0.85714285714285721</v>
      </c>
      <c r="J10" s="268">
        <f t="shared" si="4"/>
        <v>2.7142857142857144</v>
      </c>
      <c r="K10" s="268">
        <f t="shared" si="5"/>
        <v>-3.5714285714285716</v>
      </c>
      <c r="L10" s="271">
        <f>IF(H10="","",IF(K10&gt;=D1,-1,IF(K10&lt;=-D1,1,IF(K10&lt;D1,0))))</f>
        <v>1</v>
      </c>
      <c r="M10" s="279"/>
      <c r="N10" s="267" t="s">
        <v>27</v>
      </c>
      <c r="O10" s="268">
        <f t="shared" si="6"/>
        <v>3.2857142857142865</v>
      </c>
      <c r="P10" s="268">
        <f t="shared" si="7"/>
        <v>2.8571428571428572</v>
      </c>
      <c r="Q10" s="268">
        <f t="shared" si="8"/>
        <v>0.42857142857142927</v>
      </c>
      <c r="R10" s="271">
        <f>IF(N10="","",IF(Q10&gt;=D1,-1,IF(Q10&lt;=-D1,1,IF(Q10&lt;D1,0))))</f>
        <v>0</v>
      </c>
      <c r="S10" s="279"/>
      <c r="T10" s="267" t="s">
        <v>4</v>
      </c>
      <c r="U10" s="268">
        <f t="shared" si="9"/>
        <v>-1.8571428571428577</v>
      </c>
      <c r="V10" s="268">
        <f t="shared" si="10"/>
        <v>-2.714285714285714</v>
      </c>
      <c r="W10" s="268">
        <f t="shared" si="11"/>
        <v>0.85714285714285632</v>
      </c>
      <c r="X10" s="271">
        <f>IF(T10="","",IF(W10&gt;=D1,1,IF(W10&lt;=-D1,-1,IF(W10&lt;D1,0))))</f>
        <v>0</v>
      </c>
      <c r="Y10" s="184"/>
    </row>
    <row r="11" spans="1:25">
      <c r="B11" s="267" t="s">
        <v>12</v>
      </c>
      <c r="C11" s="268">
        <f t="shared" si="0"/>
        <v>1.2857142857142856</v>
      </c>
      <c r="D11" s="268">
        <f t="shared" si="1"/>
        <v>0.57142857142857206</v>
      </c>
      <c r="E11" s="268">
        <f t="shared" si="2"/>
        <v>0.71428571428571352</v>
      </c>
      <c r="F11" s="271">
        <f>IF(B11="","",IF(E11&gt;=D1,1,IF(E11&lt;=-D1,-1,IF(E11&lt;D1,0))))</f>
        <v>0</v>
      </c>
      <c r="G11" s="279"/>
      <c r="H11" s="267" t="s">
        <v>1</v>
      </c>
      <c r="I11" s="268">
        <f t="shared" si="3"/>
        <v>0.28571428571428559</v>
      </c>
      <c r="J11" s="268">
        <f t="shared" si="4"/>
        <v>0.14285714285714279</v>
      </c>
      <c r="K11" s="268">
        <f t="shared" si="5"/>
        <v>0.14285714285714279</v>
      </c>
      <c r="L11" s="271">
        <f>IF(H11="","",IF(K11&gt;=D1,-1,IF(K11&lt;=-D1,1,IF(K11&lt;D1,0))))</f>
        <v>0</v>
      </c>
      <c r="M11" s="279"/>
      <c r="N11" s="267" t="s">
        <v>2</v>
      </c>
      <c r="O11" s="268">
        <f t="shared" si="6"/>
        <v>-1.7142857142857144</v>
      </c>
      <c r="P11" s="268">
        <f t="shared" si="7"/>
        <v>0.28571428571428559</v>
      </c>
      <c r="Q11" s="268">
        <f t="shared" si="8"/>
        <v>-2</v>
      </c>
      <c r="R11" s="271">
        <f>IF(N11="","",IF(Q11&gt;=D1,-1,IF(Q11&lt;=-D1,1,IF(Q11&lt;D1,0))))</f>
        <v>0</v>
      </c>
      <c r="S11" s="279"/>
      <c r="T11" s="267" t="s">
        <v>2</v>
      </c>
      <c r="U11" s="268">
        <f t="shared" si="9"/>
        <v>-1.7142857142857144</v>
      </c>
      <c r="V11" s="268">
        <f t="shared" si="10"/>
        <v>0.28571428571428559</v>
      </c>
      <c r="W11" s="268">
        <f t="shared" si="11"/>
        <v>-2</v>
      </c>
      <c r="X11" s="271">
        <f>IF(T11="","",IF(W11&gt;=D1,1,IF(W11&lt;=-D1,-1,IF(W11&lt;D1,0))))</f>
        <v>0</v>
      </c>
      <c r="Y11" s="184"/>
    </row>
    <row r="12" spans="1:25">
      <c r="B12" s="267" t="s">
        <v>22</v>
      </c>
      <c r="C12" s="268">
        <f t="shared" si="0"/>
        <v>-1.8571428571428577</v>
      </c>
      <c r="D12" s="268">
        <f t="shared" si="1"/>
        <v>0.71428571428571441</v>
      </c>
      <c r="E12" s="268">
        <f t="shared" si="2"/>
        <v>-2.5714285714285721</v>
      </c>
      <c r="F12" s="271">
        <f>IF(B12="","",IF(E12&gt;=D1,1,IF(E12&lt;=-D1,-1,IF(E12&lt;D1,0))))</f>
        <v>-1</v>
      </c>
      <c r="G12" s="279"/>
      <c r="H12" s="267" t="s">
        <v>24</v>
      </c>
      <c r="I12" s="268">
        <f t="shared" si="3"/>
        <v>3.4285714285714288</v>
      </c>
      <c r="J12" s="268">
        <f t="shared" si="4"/>
        <v>3.4285714285714288</v>
      </c>
      <c r="K12" s="268">
        <f t="shared" si="5"/>
        <v>0</v>
      </c>
      <c r="L12" s="271">
        <f>IF(H12="","",IF(K12&gt;=D1,-1,IF(K12&lt;=-D1,1,IF(K12&lt;D1,0))))</f>
        <v>0</v>
      </c>
      <c r="M12" s="279"/>
      <c r="N12" s="267" t="s">
        <v>20</v>
      </c>
      <c r="O12" s="268">
        <f t="shared" si="6"/>
        <v>-2.8571428571428572</v>
      </c>
      <c r="P12" s="268">
        <f t="shared" si="7"/>
        <v>2.8571428571428572</v>
      </c>
      <c r="Q12" s="268">
        <f t="shared" si="8"/>
        <v>-5.7142857142857144</v>
      </c>
      <c r="R12" s="271">
        <f>IF(N12="","",IF(Q12&gt;=D1,-1,IF(Q12&lt;=-D1,1,IF(Q12&lt;D1,0))))</f>
        <v>1</v>
      </c>
      <c r="S12" s="279"/>
      <c r="T12" s="267" t="s">
        <v>1</v>
      </c>
      <c r="U12" s="268">
        <f t="shared" si="9"/>
        <v>0.28571428571428559</v>
      </c>
      <c r="V12" s="268">
        <f t="shared" si="10"/>
        <v>0.14285714285714279</v>
      </c>
      <c r="W12" s="268">
        <f t="shared" si="11"/>
        <v>0.14285714285714279</v>
      </c>
      <c r="X12" s="271">
        <f>IF(T12="","",IF(W12&gt;=D1,1,IF(W12&lt;=-D1,-1,IF(W12&lt;D1,0))))</f>
        <v>0</v>
      </c>
      <c r="Y12" s="184"/>
    </row>
    <row r="13" spans="1:25">
      <c r="B13" s="267" t="s">
        <v>0</v>
      </c>
      <c r="C13" s="268">
        <f t="shared" si="0"/>
        <v>-3.1428571428571432</v>
      </c>
      <c r="D13" s="268">
        <f t="shared" si="1"/>
        <v>-3.285714285714286</v>
      </c>
      <c r="E13" s="268">
        <f t="shared" si="2"/>
        <v>0.14285714285714279</v>
      </c>
      <c r="F13" s="271">
        <f>IF(B13="","",IF(E13&gt;=D1,-1,IF(E13&lt;=-D1,1,IF(E13&lt;D1,0))))</f>
        <v>0</v>
      </c>
      <c r="G13" s="279"/>
      <c r="H13" s="267" t="s">
        <v>26</v>
      </c>
      <c r="I13" s="268">
        <f t="shared" si="3"/>
        <v>-2</v>
      </c>
      <c r="J13" s="268">
        <f t="shared" si="4"/>
        <v>0.14285714285714279</v>
      </c>
      <c r="K13" s="268">
        <f t="shared" si="5"/>
        <v>-2.1428571428571428</v>
      </c>
      <c r="L13" s="271">
        <f>IF(H13="","",IF(K13&gt;=D1,1,IF(K13&lt;=-D1,-1,IF(K13&lt;D1,0))))</f>
        <v>0</v>
      </c>
      <c r="M13" s="279"/>
      <c r="N13" s="267" t="s">
        <v>16</v>
      </c>
      <c r="O13" s="268">
        <f t="shared" si="6"/>
        <v>-2.2857142857142856</v>
      </c>
      <c r="P13" s="268">
        <f t="shared" si="7"/>
        <v>2.714285714285714</v>
      </c>
      <c r="Q13" s="268">
        <f t="shared" si="8"/>
        <v>-5</v>
      </c>
      <c r="R13" s="271">
        <f>IF(N13="","",IF(Q13&gt;=D1,-1,IF(Q13&lt;=-D1,1,IF(Q13&lt;D1,0))))</f>
        <v>1</v>
      </c>
      <c r="S13" s="279"/>
      <c r="T13" s="267" t="s">
        <v>0</v>
      </c>
      <c r="U13" s="268">
        <f t="shared" si="9"/>
        <v>-3.1428571428571432</v>
      </c>
      <c r="V13" s="268">
        <f t="shared" si="10"/>
        <v>-3.285714285714286</v>
      </c>
      <c r="W13" s="268">
        <f t="shared" si="11"/>
        <v>0.14285714285714279</v>
      </c>
      <c r="X13" s="271">
        <f>IF(T13="","",IF(W13&gt;=D1,1,IF(W13&lt;=-D1,-1,IF(W13&lt;D1,0))))</f>
        <v>0</v>
      </c>
      <c r="Y13" s="184"/>
    </row>
    <row r="14" spans="1:25">
      <c r="B14" s="267" t="s">
        <v>23</v>
      </c>
      <c r="C14" s="268">
        <f t="shared" si="0"/>
        <v>-4.2857142857142865</v>
      </c>
      <c r="D14" s="268">
        <f t="shared" si="1"/>
        <v>-0.71428571428571441</v>
      </c>
      <c r="E14" s="268">
        <f t="shared" si="2"/>
        <v>-3.5714285714285721</v>
      </c>
      <c r="F14" s="271">
        <f>IF(B14="","",IF(E14&gt;=D1,-1,IF(E14&lt;=-D1,1,IF(E14&lt;D1,0))))</f>
        <v>1</v>
      </c>
      <c r="G14" s="279"/>
      <c r="H14" s="267" t="s">
        <v>8</v>
      </c>
      <c r="I14" s="268">
        <f t="shared" si="3"/>
        <v>-2.1428571428571432</v>
      </c>
      <c r="J14" s="268">
        <f t="shared" si="4"/>
        <v>-2.8571428571428568</v>
      </c>
      <c r="K14" s="268">
        <f t="shared" si="5"/>
        <v>0.71428571428571352</v>
      </c>
      <c r="L14" s="271">
        <f>IF(H14="","",IF(K14&gt;=D1,1,IF(K14&lt;=-D1,-1,IF(K14&lt;D1,0))))</f>
        <v>0</v>
      </c>
      <c r="M14" s="279"/>
      <c r="N14" s="267" t="s">
        <v>7</v>
      </c>
      <c r="O14" s="268">
        <f t="shared" si="6"/>
        <v>-0.14285714285714324</v>
      </c>
      <c r="P14" s="268">
        <f t="shared" si="7"/>
        <v>-2.9999999999999996</v>
      </c>
      <c r="Q14" s="268">
        <f t="shared" si="8"/>
        <v>2.8571428571428563</v>
      </c>
      <c r="R14" s="271">
        <f>IF(N14="","",IF(Q14&gt;=D1,1,IF(Q14&lt;=-D1,-1,IF(Q14&lt;D1,0))))</f>
        <v>1</v>
      </c>
      <c r="S14" s="279"/>
      <c r="T14" s="267" t="s">
        <v>5</v>
      </c>
      <c r="U14" s="268">
        <f t="shared" si="9"/>
        <v>-5.0000000000000009</v>
      </c>
      <c r="V14" s="268">
        <f t="shared" si="10"/>
        <v>-2.5714285714285716</v>
      </c>
      <c r="W14" s="268">
        <f t="shared" si="11"/>
        <v>-2.4285714285714293</v>
      </c>
      <c r="X14" s="271">
        <f>IF(T14="","",IF(W14&gt;=D1,1,IF(W14&lt;=-D1,-1,IF(W14&lt;D1,0))))</f>
        <v>0</v>
      </c>
      <c r="Y14" s="184"/>
    </row>
    <row r="15" spans="1:25">
      <c r="C15" s="268"/>
      <c r="D15" s="268"/>
      <c r="E15" s="268"/>
      <c r="G15" s="184"/>
      <c r="I15" s="268"/>
      <c r="J15" s="268"/>
      <c r="K15" s="268"/>
      <c r="M15" s="184"/>
      <c r="O15" s="268"/>
      <c r="P15" s="268"/>
      <c r="Q15" s="268"/>
      <c r="S15" s="184"/>
      <c r="Y15" s="184"/>
    </row>
    <row r="16" spans="1:25">
      <c r="B16" s="280"/>
      <c r="C16" s="268"/>
      <c r="D16" s="268"/>
      <c r="E16" s="268"/>
      <c r="F16" s="280"/>
      <c r="G16" s="280"/>
      <c r="H16" s="280"/>
      <c r="I16" s="268"/>
      <c r="J16" s="268"/>
      <c r="K16" s="268"/>
      <c r="L16" s="280"/>
      <c r="M16" s="280"/>
      <c r="N16" s="282"/>
      <c r="O16" s="268"/>
      <c r="P16" s="268"/>
      <c r="Q16" s="268"/>
      <c r="R16" s="280"/>
      <c r="S16" s="280"/>
      <c r="T16" s="280"/>
      <c r="U16" s="268"/>
      <c r="V16" s="268"/>
      <c r="W16" s="268"/>
      <c r="X16" s="280"/>
      <c r="Y16" s="280"/>
    </row>
    <row r="17" spans="2:25">
      <c r="B17" s="280"/>
      <c r="C17" s="282"/>
      <c r="D17" s="281"/>
      <c r="E17" s="281"/>
      <c r="F17" s="280"/>
      <c r="G17" s="280"/>
      <c r="H17" s="280"/>
      <c r="I17" s="282"/>
      <c r="J17" s="281"/>
      <c r="K17" s="281"/>
      <c r="L17" s="373">
        <f>E1</f>
        <v>4.1499999999999995</v>
      </c>
      <c r="M17" s="373"/>
      <c r="N17" s="373"/>
      <c r="O17" s="282"/>
      <c r="P17" s="281"/>
      <c r="Q17" s="281"/>
      <c r="R17" s="280"/>
      <c r="S17" s="280"/>
      <c r="T17" s="280"/>
      <c r="U17" s="282"/>
      <c r="V17" s="281"/>
      <c r="W17" s="281"/>
      <c r="X17" s="280"/>
      <c r="Y17" s="280"/>
    </row>
    <row r="18" spans="2:25">
      <c r="B18" s="280"/>
      <c r="C18" s="282"/>
      <c r="D18" s="282"/>
      <c r="E18" s="280"/>
      <c r="F18" s="280"/>
      <c r="G18" s="280"/>
      <c r="H18" s="280"/>
      <c r="I18" s="280"/>
      <c r="J18" s="280"/>
      <c r="K18" s="280"/>
      <c r="L18" s="280"/>
      <c r="M18" s="280"/>
      <c r="N18" s="283"/>
      <c r="O18" s="280"/>
      <c r="P18" s="280"/>
      <c r="Q18" s="280"/>
      <c r="R18" s="280"/>
      <c r="S18" s="280"/>
      <c r="T18" s="280"/>
      <c r="U18" s="280"/>
      <c r="V18" s="280"/>
      <c r="W18" s="280"/>
      <c r="X18" s="280"/>
      <c r="Y18" s="280"/>
    </row>
    <row r="19" spans="2:25">
      <c r="B19" s="280"/>
      <c r="C19" s="282"/>
      <c r="D19" s="282"/>
      <c r="E19" s="280"/>
      <c r="F19" s="280"/>
      <c r="G19" s="280"/>
      <c r="H19" s="280"/>
      <c r="I19" s="280"/>
      <c r="J19" s="280"/>
      <c r="K19" s="280"/>
      <c r="L19" s="280"/>
      <c r="M19" s="280"/>
      <c r="N19" s="282"/>
      <c r="O19" s="280"/>
      <c r="P19" s="280"/>
      <c r="Q19" s="280"/>
      <c r="R19" s="280"/>
      <c r="S19" s="280"/>
      <c r="T19" s="280"/>
      <c r="U19" s="280"/>
      <c r="V19" s="280"/>
      <c r="W19" s="280"/>
      <c r="X19" s="280"/>
      <c r="Y19" s="280"/>
    </row>
    <row r="20" spans="2:25" ht="12" customHeight="1">
      <c r="B20" s="371" t="s">
        <v>33</v>
      </c>
      <c r="C20" s="371"/>
      <c r="D20" s="372" t="str">
        <f>F23</f>
        <v>SELL</v>
      </c>
      <c r="E20" s="372"/>
      <c r="F20" s="267">
        <f>IF(B24="","",IF(COUNTIF(F24:F30,"&gt;0")&gt;COUNTIF(F24:F30,"&lt;0"),COUNTIF(F24:F30,"&gt;0"),IF(COUNTIF(F24:F30,"&lt;0")&gt;COUNTIF(F24:F30,"&gt;0"),-COUNTIF(F24:F30,"&lt;0"),IF(COUNTIF(F24:F30,"&lt;0")=COUNTIF(F24:F30,"&gt;0"),0))))</f>
        <v>-6</v>
      </c>
      <c r="G20" s="184"/>
      <c r="H20" s="371" t="s">
        <v>32</v>
      </c>
      <c r="I20" s="371"/>
      <c r="J20" s="372" t="str">
        <f>L23</f>
        <v>WAIT</v>
      </c>
      <c r="K20" s="372"/>
      <c r="L20" s="267">
        <f>IF(H24="","",IF(COUNTIF(L24:L30,"&gt;0")&gt;COUNTIF(L24:L30,"&lt;0"),COUNTIF(L24:L30,"&gt;0"),IF(COUNTIF(L24:L30,"&lt;0")&gt;COUNTIF(L24:L30,"&gt;0"),-COUNTIF(L24:L30,"&lt;0"),IF(COUNTIF(L24:L30,"&lt;0")=COUNTIF(L24:L30,"&gt;0"),0))))</f>
        <v>-2</v>
      </c>
      <c r="M20" s="184"/>
      <c r="N20" s="371" t="s">
        <v>36</v>
      </c>
      <c r="O20" s="371"/>
      <c r="P20" s="372" t="str">
        <f>R23</f>
        <v>BUY</v>
      </c>
      <c r="Q20" s="372"/>
      <c r="R20" s="267">
        <f>IF(N24="","",IF(COUNTIF(R24:R30,"&gt;0")&gt;COUNTIF(R24:R30,"&lt;0"),COUNTIF(R24:R30,"&gt;0"),IF(COUNTIF(R24:R30,"&lt;0")&gt;COUNTIF(R24:R30,"&gt;0"),-COUNTIF(R24:R30,"&lt;0"),IF(COUNTIF(R24:R30,"&lt;0")=COUNTIF(R24:R30,"&gt;0"),0))))</f>
        <v>5</v>
      </c>
      <c r="S20" s="184"/>
      <c r="T20" s="371" t="s">
        <v>28</v>
      </c>
      <c r="U20" s="371"/>
      <c r="V20" s="372" t="str">
        <f>X23</f>
        <v>SELL</v>
      </c>
      <c r="W20" s="372"/>
      <c r="X20" s="267">
        <f>IF(T24="","",IF(COUNTIF(X24:X30,"&gt;0")&gt;COUNTIF(X24:X30,"&lt;0"),COUNTIF(X24:X30,"&gt;0"),IF(COUNTIF(X24:X30,"&lt;0")&gt;COUNTIF(X24:X30,"&gt;0"),-COUNTIF(X24:X30,"&lt;0"),IF(COUNTIF(X24:X30,"&lt;0")=COUNTIF(X24:X30,"&gt;0"),0))))</f>
        <v>-5</v>
      </c>
      <c r="Y20" s="184"/>
    </row>
    <row r="21" spans="2:25" ht="12" customHeight="1">
      <c r="B21" s="371"/>
      <c r="C21" s="371"/>
      <c r="D21" s="372"/>
      <c r="E21" s="372"/>
      <c r="G21" s="184"/>
      <c r="H21" s="371"/>
      <c r="I21" s="371"/>
      <c r="J21" s="372"/>
      <c r="K21" s="372"/>
      <c r="M21" s="184"/>
      <c r="N21" s="371"/>
      <c r="O21" s="371"/>
      <c r="P21" s="372"/>
      <c r="Q21" s="372"/>
      <c r="S21" s="184"/>
      <c r="T21" s="371"/>
      <c r="U21" s="371"/>
      <c r="V21" s="372"/>
      <c r="W21" s="372"/>
      <c r="Y21" s="184"/>
    </row>
    <row r="22" spans="2:25" ht="12" customHeight="1">
      <c r="B22" s="371"/>
      <c r="C22" s="371"/>
      <c r="D22" s="372"/>
      <c r="E22" s="372"/>
      <c r="F22" s="302">
        <f>IF(B20="","",HLOOKUP(B20,smArray,2,FALSE))</f>
        <v>2.1428571428571428</v>
      </c>
      <c r="G22" s="184"/>
      <c r="H22" s="371"/>
      <c r="I22" s="371"/>
      <c r="J22" s="372"/>
      <c r="K22" s="372"/>
      <c r="L22" s="302">
        <f>IF(H20="","",HLOOKUP(H20,smArray,2,FALSE))</f>
        <v>5.1428571428571432</v>
      </c>
      <c r="M22" s="184"/>
      <c r="N22" s="371"/>
      <c r="O22" s="371"/>
      <c r="P22" s="372"/>
      <c r="Q22" s="372"/>
      <c r="R22" s="302">
        <f>IF(N20="","",HLOOKUP(N20,smArray,2,FALSE))</f>
        <v>8.2857142857142865</v>
      </c>
      <c r="S22" s="184"/>
      <c r="T22" s="371"/>
      <c r="U22" s="371"/>
      <c r="V22" s="372"/>
      <c r="W22" s="372"/>
      <c r="X22" s="302">
        <f>IF(T20="","",HLOOKUP(T20,smArray,2,FALSE))</f>
        <v>2.7142857142857144</v>
      </c>
      <c r="Y22" s="184"/>
    </row>
    <row r="23" spans="2:25" s="269" customFormat="1">
      <c r="B23" s="185"/>
      <c r="C23" s="185" t="e">
        <f>CONCATENATE("BS"," ",C1)</f>
        <v>#DIV/0!</v>
      </c>
      <c r="D23" s="185" t="s">
        <v>102</v>
      </c>
      <c r="E23" s="185" t="str">
        <f>CONCATENATE("&lt;&gt;"," ",ROUNDUP(D1,2))</f>
        <v>&lt;&gt; 2,53</v>
      </c>
      <c r="F23" s="277" t="str">
        <f>IF(B24="","",IF(F20&gt;=5,"BUY",IF(F20&lt;-4.9,"SELL",IF(F20&lt;5,"WAIT"))))</f>
        <v>SELL</v>
      </c>
      <c r="G23" s="278"/>
      <c r="H23" s="185"/>
      <c r="I23" s="185" t="e">
        <f>CONCATENATE("BS"," ",C1)</f>
        <v>#DIV/0!</v>
      </c>
      <c r="J23" s="185" t="s">
        <v>102</v>
      </c>
      <c r="K23" s="185" t="str">
        <f>CONCATENATE("&lt;&gt;"," ",ROUNDUP(D1,2))</f>
        <v>&lt;&gt; 2,53</v>
      </c>
      <c r="L23" s="277" t="str">
        <f>IF(H24="","",IF(L20&gt;=5,"BUY",IF(L20&lt;-4.9,"SELL",IF(L20&lt;5,"WAIT"))))</f>
        <v>WAIT</v>
      </c>
      <c r="M23" s="278"/>
      <c r="N23" s="185"/>
      <c r="O23" s="185" t="e">
        <f>CONCATENATE("BS"," ",C1)</f>
        <v>#DIV/0!</v>
      </c>
      <c r="P23" s="185" t="s">
        <v>102</v>
      </c>
      <c r="Q23" s="185" t="str">
        <f>CONCATENATE("&lt;&gt;"," ",ROUNDUP(D1,2))</f>
        <v>&lt;&gt; 2,53</v>
      </c>
      <c r="R23" s="277" t="str">
        <f>IF(N24="","",IF(R20&gt;=5,"BUY",IF(R20&lt;-4.9,"SELL",IF(R20&lt;5,"WAIT"))))</f>
        <v>BUY</v>
      </c>
      <c r="S23" s="278"/>
      <c r="T23" s="185"/>
      <c r="U23" s="185" t="e">
        <f>CONCATENATE("BS"," ",C1)</f>
        <v>#DIV/0!</v>
      </c>
      <c r="V23" s="185" t="s">
        <v>102</v>
      </c>
      <c r="W23" s="185" t="str">
        <f>CONCATENATE("&lt;&gt;"," ",ROUNDUP(D1,2))</f>
        <v>&lt;&gt; 2,53</v>
      </c>
      <c r="X23" s="277" t="str">
        <f>IF(T24="","",IF(X20&gt;=5,"BUY",IF(X20&lt;-4.9,"SELL",IF(X20&lt;5,"WAIT"))))</f>
        <v>SELL</v>
      </c>
      <c r="Y23" s="185"/>
    </row>
    <row r="24" spans="2:25">
      <c r="B24" s="267" t="s">
        <v>13</v>
      </c>
      <c r="C24" s="268">
        <f t="shared" ref="C24:C30" si="12">IF(B24="","",VLOOKUP(B24,bSR_GAP2,4,FALSE))</f>
        <v>-0.57142857142857162</v>
      </c>
      <c r="D24" s="268">
        <f t="shared" ref="D24:D30" si="13">IF(B24="","",VLOOKUP(B24,bSR_GAP2,5,FALSE))</f>
        <v>0.14285714285714324</v>
      </c>
      <c r="E24" s="268">
        <f t="shared" ref="E24:E30" si="14">IF(B24="","",VLOOKUP(B24,bSR_GAP2,6,FALSE))</f>
        <v>-0.71428571428571486</v>
      </c>
      <c r="F24" s="271">
        <f>IF(B24="","",IF(E24&gt;=D1,1,IF(E24&lt;=-D1,-1,IF(E24&lt;D1,0))))</f>
        <v>0</v>
      </c>
      <c r="G24" s="279"/>
      <c r="H24" s="267" t="s">
        <v>9</v>
      </c>
      <c r="I24" s="268">
        <f t="shared" ref="I24:I30" si="15">IF(H24="","",VLOOKUP(H24,bSR_GAP2,4,FALSE))</f>
        <v>-2.4285714285714288</v>
      </c>
      <c r="J24" s="268">
        <f t="shared" ref="J24:J30" si="16">IF(H24="","",VLOOKUP(H24,bSR_GAP2,5,FALSE))</f>
        <v>-0.28571428571428559</v>
      </c>
      <c r="K24" s="268">
        <f t="shared" ref="K24:K30" si="17">IF(H24="","",VLOOKUP(H24,bSR_GAP2,6,FALSE))</f>
        <v>-2.1428571428571432</v>
      </c>
      <c r="L24" s="271">
        <f>IF(H24="","",IF(K24&gt;=D1,-1,IF(K24&lt;=-D1,1,IF(K24&lt;D1,0))))</f>
        <v>0</v>
      </c>
      <c r="M24" s="279"/>
      <c r="N24" s="267" t="s">
        <v>15</v>
      </c>
      <c r="O24" s="268">
        <f t="shared" ref="O24:O30" si="18">IF(N24="","",VLOOKUP(N24,bSR_GAP2,4,FALSE))</f>
        <v>5.5714285714285721</v>
      </c>
      <c r="P24" s="268">
        <f t="shared" ref="P24:P30" si="19">IF(N24="","",VLOOKUP(N24,bSR_GAP2,5,FALSE))</f>
        <v>0.14285714285714324</v>
      </c>
      <c r="Q24" s="268">
        <f t="shared" ref="Q24:Q30" si="20">IF(N24="","",VLOOKUP(N24,bSR_GAP2,6,FALSE))</f>
        <v>5.4285714285714288</v>
      </c>
      <c r="R24" s="271">
        <f>IF(N24="","",IF(Q24&gt;=D1,1,IF(Q24&lt;=-D1,-1,IF(Q24&lt;D1,0))))</f>
        <v>1</v>
      </c>
      <c r="S24" s="279"/>
      <c r="T24" s="267" t="s">
        <v>6</v>
      </c>
      <c r="U24" s="268">
        <f t="shared" ref="U24:U30" si="21">IF(T24="","",VLOOKUP(T24,bSR_GAP2,4,FALSE))</f>
        <v>0.57142857142857117</v>
      </c>
      <c r="V24" s="268">
        <f t="shared" ref="V24:V30" si="22">IF(T24="","",VLOOKUP(T24,bSR_GAP2,5,FALSE))</f>
        <v>-2.4285714285714284</v>
      </c>
      <c r="W24" s="268">
        <f t="shared" ref="W24:W30" si="23">IF(T24="","",VLOOKUP(T24,bSR_GAP2,6,FALSE))</f>
        <v>2.9999999999999996</v>
      </c>
      <c r="X24" s="271">
        <f>IF(T24="","",IF(W24&gt;=D1,-1,IF(W24&lt;=-D1,1,IF(W24&lt;D1,0))))</f>
        <v>-1</v>
      </c>
      <c r="Y24" s="184"/>
    </row>
    <row r="25" spans="2:25">
      <c r="B25" s="267" t="s">
        <v>18</v>
      </c>
      <c r="C25" s="268">
        <f t="shared" si="12"/>
        <v>-6.1428571428571441</v>
      </c>
      <c r="D25" s="268">
        <f t="shared" si="13"/>
        <v>0</v>
      </c>
      <c r="E25" s="268">
        <f t="shared" si="14"/>
        <v>-6.1428571428571441</v>
      </c>
      <c r="F25" s="271">
        <f>IF(B25="","",IF(E25&gt;=D1,1,IF(E25&lt;=-D1,-1,IF(E25&lt;D1,0))))</f>
        <v>-1</v>
      </c>
      <c r="G25" s="279"/>
      <c r="H25" s="267" t="s">
        <v>4</v>
      </c>
      <c r="I25" s="268">
        <f t="shared" si="15"/>
        <v>-1.8571428571428577</v>
      </c>
      <c r="J25" s="268">
        <f t="shared" si="16"/>
        <v>-2.714285714285714</v>
      </c>
      <c r="K25" s="268">
        <f t="shared" si="17"/>
        <v>0.85714285714285632</v>
      </c>
      <c r="L25" s="271">
        <f>IF(H25="","",IF(K25&gt;=D1,-1,IF(K25&lt;=-D1,1,IF(K25&lt;D1,0))))</f>
        <v>0</v>
      </c>
      <c r="M25" s="279"/>
      <c r="N25" s="267" t="s">
        <v>27</v>
      </c>
      <c r="O25" s="268">
        <f t="shared" si="18"/>
        <v>3.2857142857142865</v>
      </c>
      <c r="P25" s="268">
        <f t="shared" si="19"/>
        <v>2.8571428571428572</v>
      </c>
      <c r="Q25" s="268">
        <f t="shared" si="20"/>
        <v>0.42857142857142927</v>
      </c>
      <c r="R25" s="271">
        <f>IF(N25="","",IF(Q25&gt;=D1,1,IF(Q25&lt;=-D1,-1,IF(Q25&lt;D1,0))))</f>
        <v>0</v>
      </c>
      <c r="S25" s="279"/>
      <c r="T25" s="267" t="s">
        <v>13</v>
      </c>
      <c r="U25" s="268">
        <f t="shared" si="21"/>
        <v>-0.57142857142857162</v>
      </c>
      <c r="V25" s="268">
        <f t="shared" si="22"/>
        <v>0.14285714285714324</v>
      </c>
      <c r="W25" s="268">
        <f t="shared" si="23"/>
        <v>-0.71428571428571486</v>
      </c>
      <c r="X25" s="271">
        <f>IF(T25="","",IF(W25&gt;=D1,-1,IF(W25&lt;=-D1,1,IF(W25&lt;D1,0))))</f>
        <v>0</v>
      </c>
      <c r="Y25" s="184"/>
    </row>
    <row r="26" spans="2:25">
      <c r="B26" s="267" t="s">
        <v>19</v>
      </c>
      <c r="C26" s="268">
        <f t="shared" si="12"/>
        <v>-0.85714285714285721</v>
      </c>
      <c r="D26" s="268">
        <f t="shared" si="13"/>
        <v>2.7142857142857144</v>
      </c>
      <c r="E26" s="268">
        <f t="shared" si="14"/>
        <v>-3.5714285714285716</v>
      </c>
      <c r="F26" s="271">
        <f>IF(B26="","",IF(E26&gt;=D1,1,IF(E26&lt;=-D1,-1,IF(E26&lt;D1,0))))</f>
        <v>-1</v>
      </c>
      <c r="G26" s="279"/>
      <c r="H26" s="267" t="s">
        <v>11</v>
      </c>
      <c r="I26" s="268">
        <f t="shared" si="15"/>
        <v>-3.0000000000000004</v>
      </c>
      <c r="J26" s="268">
        <f t="shared" si="16"/>
        <v>-0.14285714285714235</v>
      </c>
      <c r="K26" s="268">
        <f t="shared" si="17"/>
        <v>-2.8571428571428581</v>
      </c>
      <c r="L26" s="271">
        <f>IF(H26="","",IF(K26&gt;=D1,-1,IF(K26&lt;=-D1,1,IF(K26&lt;D1,0))))</f>
        <v>1</v>
      </c>
      <c r="M26" s="279"/>
      <c r="N26" s="267" t="s">
        <v>21</v>
      </c>
      <c r="O26" s="268">
        <f t="shared" si="18"/>
        <v>5.2857142857142865</v>
      </c>
      <c r="P26" s="268">
        <f t="shared" si="19"/>
        <v>2.7142857142857144</v>
      </c>
      <c r="Q26" s="268">
        <f t="shared" si="20"/>
        <v>2.5714285714285721</v>
      </c>
      <c r="R26" s="271">
        <f>IF(N26="","",IF(Q26&gt;=D1,1,IF(Q26&lt;=-D1,-1,IF(Q26&lt;D1,0))))</f>
        <v>1</v>
      </c>
      <c r="S26" s="279"/>
      <c r="T26" s="267" t="s">
        <v>14</v>
      </c>
      <c r="U26" s="268">
        <f t="shared" si="21"/>
        <v>3.7142857142857144</v>
      </c>
      <c r="V26" s="268">
        <f t="shared" si="22"/>
        <v>0.85714285714285765</v>
      </c>
      <c r="W26" s="268">
        <f t="shared" si="23"/>
        <v>2.8571428571428568</v>
      </c>
      <c r="X26" s="271">
        <f>IF(T26="","",IF(W26&gt;=D1,-1,IF(W26&lt;=-D1,1,IF(W26&lt;D1,0))))</f>
        <v>-1</v>
      </c>
      <c r="Y26" s="184"/>
    </row>
    <row r="27" spans="2:25">
      <c r="B27" s="267" t="s">
        <v>23</v>
      </c>
      <c r="C27" s="268">
        <f t="shared" si="12"/>
        <v>-4.2857142857142865</v>
      </c>
      <c r="D27" s="268">
        <f t="shared" si="13"/>
        <v>-0.71428571428571441</v>
      </c>
      <c r="E27" s="268">
        <f t="shared" si="14"/>
        <v>-3.5714285714285721</v>
      </c>
      <c r="F27" s="271">
        <f>IF(B27="","",IF(E27&gt;=D1,1,IF(E27&lt;=-D1,-1,IF(E27&lt;D1,0))))</f>
        <v>-1</v>
      </c>
      <c r="G27" s="279"/>
      <c r="H27" s="267" t="s">
        <v>12</v>
      </c>
      <c r="I27" s="268">
        <f t="shared" si="15"/>
        <v>1.2857142857142856</v>
      </c>
      <c r="J27" s="268">
        <f t="shared" si="16"/>
        <v>0.57142857142857206</v>
      </c>
      <c r="K27" s="268">
        <f t="shared" si="17"/>
        <v>0.71428571428571352</v>
      </c>
      <c r="L27" s="271">
        <f>IF(H27="","",IF(K27&gt;=D1,-1,IF(K27&lt;=-D1,1,IF(K27&lt;D1,0))))</f>
        <v>0</v>
      </c>
      <c r="M27" s="279"/>
      <c r="N27" s="267" t="s">
        <v>10</v>
      </c>
      <c r="O27" s="268">
        <f t="shared" si="18"/>
        <v>3.1428571428571432</v>
      </c>
      <c r="P27" s="268">
        <f t="shared" si="19"/>
        <v>-0.14285714285714235</v>
      </c>
      <c r="Q27" s="268">
        <f t="shared" si="20"/>
        <v>3.2857142857142856</v>
      </c>
      <c r="R27" s="271">
        <f>IF(N27="","",IF(Q27&gt;=D1,1,IF(Q27&lt;=-D1,-1,IF(Q27&lt;D1,0))))</f>
        <v>1</v>
      </c>
      <c r="S27" s="279"/>
      <c r="T27" s="267" t="s">
        <v>15</v>
      </c>
      <c r="U27" s="268">
        <f t="shared" si="21"/>
        <v>5.5714285714285721</v>
      </c>
      <c r="V27" s="268">
        <f t="shared" si="22"/>
        <v>0.14285714285714324</v>
      </c>
      <c r="W27" s="268">
        <f t="shared" si="23"/>
        <v>5.4285714285714288</v>
      </c>
      <c r="X27" s="271">
        <f>IF(T27="","",IF(W27&gt;=D1,-1,IF(W27&lt;=-D1,1,IF(W27&lt;D1,0))))</f>
        <v>-1</v>
      </c>
      <c r="Y27" s="184"/>
    </row>
    <row r="28" spans="2:25">
      <c r="B28" s="267" t="s">
        <v>20</v>
      </c>
      <c r="C28" s="268">
        <f t="shared" si="12"/>
        <v>-2.8571428571428572</v>
      </c>
      <c r="D28" s="268">
        <f t="shared" si="13"/>
        <v>2.8571428571428572</v>
      </c>
      <c r="E28" s="268">
        <f t="shared" si="14"/>
        <v>-5.7142857142857144</v>
      </c>
      <c r="F28" s="271">
        <f>IF(B28="","",IF(E28&gt;=D1,1,IF(E28&lt;=-D1,-1,IF(E28&lt;D1,0))))</f>
        <v>-1</v>
      </c>
      <c r="G28" s="279"/>
      <c r="H28" s="267" t="s">
        <v>7</v>
      </c>
      <c r="I28" s="268">
        <f t="shared" si="15"/>
        <v>-0.14285714285714324</v>
      </c>
      <c r="J28" s="268">
        <f t="shared" si="16"/>
        <v>-2.9999999999999996</v>
      </c>
      <c r="K28" s="268">
        <f t="shared" si="17"/>
        <v>2.8571428571428563</v>
      </c>
      <c r="L28" s="271">
        <f>IF(H28="","",IF(K28&gt;=D1,-1,IF(K28&lt;=-D1,1,IF(K28&lt;D1,0))))</f>
        <v>-1</v>
      </c>
      <c r="M28" s="279"/>
      <c r="N28" s="267" t="s">
        <v>22</v>
      </c>
      <c r="O28" s="268">
        <f t="shared" si="18"/>
        <v>-1.8571428571428577</v>
      </c>
      <c r="P28" s="268">
        <f t="shared" si="19"/>
        <v>0.71428571428571441</v>
      </c>
      <c r="Q28" s="268">
        <f t="shared" si="20"/>
        <v>-2.5714285714285721</v>
      </c>
      <c r="R28" s="271">
        <f>IF(N28="","",IF(Q28&gt;=D1,-1,IF(Q28&lt;=-D1,1,IF(Q28&lt;D1,0))))</f>
        <v>1</v>
      </c>
      <c r="S28" s="279"/>
      <c r="T28" s="267" t="s">
        <v>16</v>
      </c>
      <c r="U28" s="268">
        <f t="shared" si="21"/>
        <v>-2.2857142857142856</v>
      </c>
      <c r="V28" s="268">
        <f t="shared" si="22"/>
        <v>2.714285714285714</v>
      </c>
      <c r="W28" s="268">
        <f t="shared" si="23"/>
        <v>-5</v>
      </c>
      <c r="X28" s="271">
        <f>IF(T28="","",IF(W28&gt;=D1,1,IF(W28&lt;=-D1,-1,IF(W28&lt;D1,0))))</f>
        <v>-1</v>
      </c>
      <c r="Y28" s="184"/>
    </row>
    <row r="29" spans="2:25">
      <c r="B29" s="267" t="s">
        <v>11</v>
      </c>
      <c r="C29" s="268">
        <f t="shared" si="12"/>
        <v>-3.0000000000000004</v>
      </c>
      <c r="D29" s="268">
        <f t="shared" si="13"/>
        <v>-0.14285714285714235</v>
      </c>
      <c r="E29" s="268">
        <f t="shared" si="14"/>
        <v>-2.8571428571428581</v>
      </c>
      <c r="F29" s="271">
        <f>IF(B29="","",IF(E29&gt;=D1,1,IF(E29&lt;=-D1,-1,IF(E29&lt;D1,0))))</f>
        <v>-1</v>
      </c>
      <c r="G29" s="279"/>
      <c r="H29" s="267" t="s">
        <v>10</v>
      </c>
      <c r="I29" s="268">
        <f t="shared" si="15"/>
        <v>3.1428571428571432</v>
      </c>
      <c r="J29" s="268">
        <f t="shared" si="16"/>
        <v>-0.14285714285714235</v>
      </c>
      <c r="K29" s="268">
        <f t="shared" si="17"/>
        <v>3.2857142857142856</v>
      </c>
      <c r="L29" s="271">
        <f>IF(H29="","",IF(K29&gt;=D1,-1,IF(K29&lt;=-D1,1,IF(K29&lt;D1,0))))</f>
        <v>-1</v>
      </c>
      <c r="M29" s="279"/>
      <c r="N29" s="267" t="s">
        <v>18</v>
      </c>
      <c r="O29" s="268">
        <f t="shared" si="18"/>
        <v>-6.1428571428571441</v>
      </c>
      <c r="P29" s="268">
        <f t="shared" si="19"/>
        <v>0</v>
      </c>
      <c r="Q29" s="268">
        <f t="shared" si="20"/>
        <v>-6.1428571428571441</v>
      </c>
      <c r="R29" s="271">
        <f>IF(N29="","",IF(Q29&gt;=D1,-1,IF(Q29&lt;=-D1,1,IF(Q29&lt;D1,0))))</f>
        <v>1</v>
      </c>
      <c r="S29" s="279"/>
      <c r="T29" s="267" t="s">
        <v>9</v>
      </c>
      <c r="U29" s="268">
        <f t="shared" si="21"/>
        <v>-2.4285714285714288</v>
      </c>
      <c r="V29" s="268">
        <f t="shared" si="22"/>
        <v>-0.28571428571428559</v>
      </c>
      <c r="W29" s="268">
        <f t="shared" si="23"/>
        <v>-2.1428571428571432</v>
      </c>
      <c r="X29" s="271">
        <f>IF(T29="","",IF(W29&gt;=D1,1,IF(W29&lt;=-D1,-1,IF(W29&lt;D1,0))))</f>
        <v>0</v>
      </c>
      <c r="Y29" s="184"/>
    </row>
    <row r="30" spans="2:25">
      <c r="B30" s="267" t="s">
        <v>3</v>
      </c>
      <c r="C30" s="268">
        <f t="shared" si="12"/>
        <v>1.1428571428571428</v>
      </c>
      <c r="D30" s="268">
        <f t="shared" si="13"/>
        <v>-2.5714285714285716</v>
      </c>
      <c r="E30" s="268">
        <f t="shared" si="14"/>
        <v>3.7142857142857144</v>
      </c>
      <c r="F30" s="271">
        <f>IF(B30="","",IF(E30&gt;=D1,-1,IF(E30&lt;=-D1,1,IF(E30&lt;D1,0))))</f>
        <v>-1</v>
      </c>
      <c r="G30" s="279"/>
      <c r="H30" s="267" t="s">
        <v>8</v>
      </c>
      <c r="I30" s="268">
        <f t="shared" si="15"/>
        <v>-2.1428571428571432</v>
      </c>
      <c r="J30" s="268">
        <f t="shared" si="16"/>
        <v>-2.8571428571428568</v>
      </c>
      <c r="K30" s="268">
        <f t="shared" si="17"/>
        <v>0.71428571428571352</v>
      </c>
      <c r="L30" s="271">
        <f>IF(H30="","",IF(K30&gt;=D1,-1,IF(K30&lt;=-D1,1,IF(K30&lt;D1,0))))</f>
        <v>0</v>
      </c>
      <c r="M30" s="279"/>
      <c r="N30" s="267" t="s">
        <v>5</v>
      </c>
      <c r="O30" s="268">
        <f t="shared" si="18"/>
        <v>-5.0000000000000009</v>
      </c>
      <c r="P30" s="268">
        <f t="shared" si="19"/>
        <v>-2.5714285714285716</v>
      </c>
      <c r="Q30" s="268">
        <f t="shared" si="20"/>
        <v>-2.4285714285714293</v>
      </c>
      <c r="R30" s="271">
        <f>IF(N30="","",IF(Q30&gt;=D1,-1,IF(Q30&lt;=-D1,1,IF(Q30&lt;D1,0))))</f>
        <v>0</v>
      </c>
      <c r="S30" s="279"/>
      <c r="T30" s="267" t="s">
        <v>17</v>
      </c>
      <c r="U30" s="268">
        <f t="shared" si="21"/>
        <v>-0.28571428571428559</v>
      </c>
      <c r="V30" s="268">
        <f t="shared" si="22"/>
        <v>2.5714285714285712</v>
      </c>
      <c r="W30" s="268">
        <f t="shared" si="23"/>
        <v>-2.8571428571428568</v>
      </c>
      <c r="X30" s="271">
        <f>IF(T30="","",IF(W30&gt;=D1,1,IF(W30&lt;=-D1,-1,IF(W30&lt;D1,0))))</f>
        <v>-1</v>
      </c>
      <c r="Y30" s="184"/>
    </row>
    <row r="31" spans="2:25">
      <c r="C31" s="268"/>
      <c r="D31" s="268"/>
      <c r="E31" s="268"/>
      <c r="G31" s="184"/>
      <c r="I31" s="268"/>
      <c r="J31" s="268"/>
      <c r="K31" s="268"/>
      <c r="M31" s="184"/>
      <c r="O31" s="268"/>
      <c r="P31" s="268"/>
      <c r="Q31" s="268"/>
      <c r="S31" s="184"/>
      <c r="U31" s="268"/>
      <c r="V31" s="268"/>
      <c r="W31" s="268"/>
      <c r="Y31" s="184"/>
    </row>
    <row r="32" spans="2:25">
      <c r="C32" s="270"/>
      <c r="D32" s="270"/>
      <c r="N32" s="270"/>
    </row>
    <row r="33" spans="3:23">
      <c r="C33" s="284"/>
      <c r="D33" s="268"/>
      <c r="E33" s="268"/>
      <c r="I33" s="284"/>
      <c r="J33" s="268"/>
      <c r="K33" s="268"/>
      <c r="N33" s="270"/>
      <c r="O33" s="284"/>
      <c r="P33" s="268"/>
      <c r="Q33" s="268"/>
      <c r="U33" s="284"/>
      <c r="V33" s="268"/>
      <c r="W33" s="268"/>
    </row>
    <row r="34" spans="3:23">
      <c r="C34" s="270"/>
      <c r="D34" s="270"/>
      <c r="N34" s="270"/>
    </row>
    <row r="35" spans="3:23">
      <c r="C35" s="270"/>
      <c r="N35" s="270"/>
    </row>
    <row r="36" spans="3:23">
      <c r="C36" s="270"/>
      <c r="N36" s="270"/>
    </row>
    <row r="37" spans="3:23">
      <c r="C37" s="270"/>
      <c r="N37" s="270"/>
    </row>
    <row r="38" spans="3:23">
      <c r="C38" s="270"/>
      <c r="D38" s="270"/>
      <c r="N38" s="270"/>
    </row>
    <row r="39" spans="3:23">
      <c r="C39" s="270"/>
      <c r="D39" s="270"/>
      <c r="N39" s="270"/>
    </row>
    <row r="40" spans="3:23">
      <c r="C40" s="270"/>
      <c r="D40" s="270"/>
      <c r="N40" s="270"/>
    </row>
    <row r="41" spans="3:23">
      <c r="C41" s="270"/>
      <c r="D41" s="270"/>
      <c r="N41" s="270"/>
    </row>
    <row r="42" spans="3:23">
      <c r="C42" s="270"/>
      <c r="D42" s="270"/>
      <c r="N42" s="270"/>
    </row>
    <row r="43" spans="3:23">
      <c r="C43" s="270"/>
      <c r="D43" s="270"/>
      <c r="N43" s="270"/>
    </row>
    <row r="44" spans="3:23">
      <c r="C44" s="270"/>
      <c r="D44" s="270"/>
      <c r="N44" s="270"/>
    </row>
  </sheetData>
  <sheetProtection password="D6EA" sheet="1" objects="1" scenarios="1"/>
  <mergeCells count="17">
    <mergeCell ref="T4:U6"/>
    <mergeCell ref="V4:W6"/>
    <mergeCell ref="P20:Q22"/>
    <mergeCell ref="T20:U22"/>
    <mergeCell ref="V20:W22"/>
    <mergeCell ref="N20:O22"/>
    <mergeCell ref="N4:O6"/>
    <mergeCell ref="P4:Q6"/>
    <mergeCell ref="L17:N17"/>
    <mergeCell ref="B4:C6"/>
    <mergeCell ref="D4:E6"/>
    <mergeCell ref="H4:I6"/>
    <mergeCell ref="J4:K6"/>
    <mergeCell ref="B20:C22"/>
    <mergeCell ref="D20:E22"/>
    <mergeCell ref="H20:I22"/>
    <mergeCell ref="J20:K22"/>
  </mergeCells>
  <conditionalFormatting sqref="D4:E6">
    <cfRule type="containsText" dxfId="125" priority="159" operator="containsText" text="WAIT">
      <formula>NOT(ISERROR(SEARCH("WAIT",D4)))</formula>
    </cfRule>
    <cfRule type="containsText" dxfId="124" priority="160" operator="containsText" text="SELL">
      <formula>NOT(ISERROR(SEARCH("SELL",D4)))</formula>
    </cfRule>
    <cfRule type="containsText" dxfId="123" priority="165" operator="containsText" text="BUY">
      <formula>NOT(ISERROR(SEARCH("BUY",D4)))</formula>
    </cfRule>
  </conditionalFormatting>
  <conditionalFormatting sqref="A3">
    <cfRule type="colorScale" priority="164">
      <colorScale>
        <cfvo type="formula" val="&quot;SELL&quot;"/>
        <cfvo type="formula" val="&quot;BUY&quot;"/>
        <color rgb="FFFF7128"/>
        <color rgb="FFFFEF9C"/>
      </colorScale>
    </cfRule>
  </conditionalFormatting>
  <conditionalFormatting sqref="Y16">
    <cfRule type="containsText" dxfId="122" priority="161" operator="containsText" text="WAIT">
      <formula>NOT(ISERROR(SEARCH("WAIT",Y16)))</formula>
    </cfRule>
    <cfRule type="containsText" dxfId="121" priority="162" operator="containsText" text="SELL">
      <formula>NOT(ISERROR(SEARCH("SELL",Y16)))</formula>
    </cfRule>
    <cfRule type="containsText" dxfId="120" priority="163" operator="containsText" text="BUY">
      <formula>NOT(ISERROR(SEARCH("BUY",Y16)))</formula>
    </cfRule>
  </conditionalFormatting>
  <conditionalFormatting sqref="J4:K6">
    <cfRule type="containsText" dxfId="119" priority="156" operator="containsText" text="WAIT">
      <formula>NOT(ISERROR(SEARCH("WAIT",J4)))</formula>
    </cfRule>
    <cfRule type="containsText" dxfId="118" priority="157" operator="containsText" text="SELL">
      <formula>NOT(ISERROR(SEARCH("SELL",J4)))</formula>
    </cfRule>
    <cfRule type="containsText" dxfId="117" priority="158" operator="containsText" text="BUY">
      <formula>NOT(ISERROR(SEARCH("BUY",J4)))</formula>
    </cfRule>
  </conditionalFormatting>
  <conditionalFormatting sqref="P4:Q6">
    <cfRule type="containsText" dxfId="116" priority="153" operator="containsText" text="WAIT">
      <formula>NOT(ISERROR(SEARCH("WAIT",P4)))</formula>
    </cfRule>
    <cfRule type="containsText" dxfId="115" priority="154" operator="containsText" text="SELL">
      <formula>NOT(ISERROR(SEARCH("SELL",P4)))</formula>
    </cfRule>
    <cfRule type="containsText" dxfId="114" priority="155" operator="containsText" text="BUY">
      <formula>NOT(ISERROR(SEARCH("BUY",P4)))</formula>
    </cfRule>
  </conditionalFormatting>
  <conditionalFormatting sqref="V4:W6">
    <cfRule type="containsText" dxfId="113" priority="150" operator="containsText" text="WAIT">
      <formula>NOT(ISERROR(SEARCH("WAIT",V4)))</formula>
    </cfRule>
    <cfRule type="containsText" dxfId="112" priority="151" operator="containsText" text="SELL">
      <formula>NOT(ISERROR(SEARCH("SELL",V4)))</formula>
    </cfRule>
    <cfRule type="containsText" dxfId="111" priority="152" operator="containsText" text="BUY">
      <formula>NOT(ISERROR(SEARCH("BUY",V4)))</formula>
    </cfRule>
  </conditionalFormatting>
  <conditionalFormatting sqref="D20:E22">
    <cfRule type="containsText" dxfId="110" priority="147" operator="containsText" text="WAIT">
      <formula>NOT(ISERROR(SEARCH("WAIT",D20)))</formula>
    </cfRule>
    <cfRule type="containsText" dxfId="109" priority="148" operator="containsText" text="SELL">
      <formula>NOT(ISERROR(SEARCH("SELL",D20)))</formula>
    </cfRule>
    <cfRule type="containsText" dxfId="108" priority="149" operator="containsText" text="BUY">
      <formula>NOT(ISERROR(SEARCH("BUY",D20)))</formula>
    </cfRule>
  </conditionalFormatting>
  <conditionalFormatting sqref="J20:K22">
    <cfRule type="containsText" dxfId="107" priority="144" operator="containsText" text="WAIT">
      <formula>NOT(ISERROR(SEARCH("WAIT",J20)))</formula>
    </cfRule>
    <cfRule type="containsText" dxfId="106" priority="145" operator="containsText" text="SELL">
      <formula>NOT(ISERROR(SEARCH("SELL",J20)))</formula>
    </cfRule>
    <cfRule type="containsText" dxfId="105" priority="146" operator="containsText" text="BUY">
      <formula>NOT(ISERROR(SEARCH("BUY",J20)))</formula>
    </cfRule>
  </conditionalFormatting>
  <conditionalFormatting sqref="P20:Q22">
    <cfRule type="containsText" dxfId="104" priority="141" operator="containsText" text="WAIT">
      <formula>NOT(ISERROR(SEARCH("WAIT",P20)))</formula>
    </cfRule>
    <cfRule type="containsText" dxfId="103" priority="142" operator="containsText" text="SELL">
      <formula>NOT(ISERROR(SEARCH("SELL",P20)))</formula>
    </cfRule>
    <cfRule type="containsText" dxfId="102" priority="143" operator="containsText" text="BUY">
      <formula>NOT(ISERROR(SEARCH("BUY",P20)))</formula>
    </cfRule>
  </conditionalFormatting>
  <conditionalFormatting sqref="V20:W22">
    <cfRule type="containsText" dxfId="101" priority="138" operator="containsText" text="WAIT">
      <formula>NOT(ISERROR(SEARCH("WAIT",V20)))</formula>
    </cfRule>
    <cfRule type="containsText" dxfId="100" priority="139" operator="containsText" text="SELL">
      <formula>NOT(ISERROR(SEARCH("SELL",V20)))</formula>
    </cfRule>
    <cfRule type="containsText" dxfId="99" priority="140" operator="containsText" text="BUY">
      <formula>NOT(ISERROR(SEARCH("BUY",V20)))</formula>
    </cfRule>
  </conditionalFormatting>
  <conditionalFormatting sqref="E8:E14">
    <cfRule type="cellIs" dxfId="98" priority="21" operator="lessThanOrEqual">
      <formula>-$D$1</formula>
    </cfRule>
    <cfRule type="cellIs" dxfId="97" priority="136" operator="greaterThanOrEqual">
      <formula>$D$1</formula>
    </cfRule>
  </conditionalFormatting>
  <conditionalFormatting sqref="F8:G14">
    <cfRule type="cellIs" dxfId="96" priority="128" operator="equal">
      <formula>-1</formula>
    </cfRule>
  </conditionalFormatting>
  <conditionalFormatting sqref="G24:G30">
    <cfRule type="colorScale" priority="124">
      <colorScale>
        <cfvo type="num" val="-1"/>
        <cfvo type="num" val="0"/>
        <cfvo type="num" val="1"/>
        <color rgb="FFFF0000"/>
        <color rgb="FFFFEB84"/>
        <color rgb="FF0070C0"/>
      </colorScale>
    </cfRule>
  </conditionalFormatting>
  <conditionalFormatting sqref="M8:M14">
    <cfRule type="colorScale" priority="120">
      <colorScale>
        <cfvo type="num" val="-1"/>
        <cfvo type="num" val="0"/>
        <cfvo type="num" val="1"/>
        <color rgb="FFFF0000"/>
        <color rgb="FFFFEB84"/>
        <color rgb="FF0070C0"/>
      </colorScale>
    </cfRule>
  </conditionalFormatting>
  <conditionalFormatting sqref="M24:M30">
    <cfRule type="colorScale" priority="119">
      <colorScale>
        <cfvo type="num" val="-1"/>
        <cfvo type="num" val="0"/>
        <cfvo type="num" val="1"/>
        <color rgb="FFFF0000"/>
        <color rgb="FFFFEB84"/>
        <color rgb="FF0070C0"/>
      </colorScale>
    </cfRule>
  </conditionalFormatting>
  <conditionalFormatting sqref="S8:S14">
    <cfRule type="colorScale" priority="118">
      <colorScale>
        <cfvo type="num" val="-1"/>
        <cfvo type="num" val="0"/>
        <cfvo type="num" val="1"/>
        <color rgb="FFFF0000"/>
        <color rgb="FFFFEB84"/>
        <color rgb="FF0070C0"/>
      </colorScale>
    </cfRule>
  </conditionalFormatting>
  <conditionalFormatting sqref="S24:S30">
    <cfRule type="colorScale" priority="117">
      <colorScale>
        <cfvo type="num" val="-1"/>
        <cfvo type="num" val="0"/>
        <cfvo type="num" val="1"/>
        <color rgb="FFFF0000"/>
        <color rgb="FFFFEB84"/>
        <color rgb="FF0070C0"/>
      </colorScale>
    </cfRule>
  </conditionalFormatting>
  <conditionalFormatting sqref="F6">
    <cfRule type="cellIs" dxfId="95" priority="104" operator="between">
      <formula>6.00001</formula>
      <formula>10</formula>
    </cfRule>
    <cfRule type="cellIs" dxfId="94" priority="105" operator="between">
      <formula>5.000001</formula>
      <formula>6</formula>
    </cfRule>
    <cfRule type="cellIs" dxfId="93" priority="106" operator="between">
      <formula>4.000001</formula>
      <formula>5</formula>
    </cfRule>
    <cfRule type="cellIs" dxfId="92" priority="107" operator="between">
      <formula>3.0000001</formula>
      <formula>4</formula>
    </cfRule>
    <cfRule type="cellIs" dxfId="91" priority="108" operator="between">
      <formula>2.000001</formula>
      <formula>3</formula>
    </cfRule>
    <cfRule type="cellIs" dxfId="90" priority="109" operator="between">
      <formula>0</formula>
      <formula>2</formula>
    </cfRule>
  </conditionalFormatting>
  <conditionalFormatting sqref="L6">
    <cfRule type="cellIs" dxfId="89" priority="97" operator="between">
      <formula>6.00001</formula>
      <formula>10</formula>
    </cfRule>
    <cfRule type="cellIs" dxfId="88" priority="98" operator="between">
      <formula>5.000001</formula>
      <formula>6</formula>
    </cfRule>
    <cfRule type="cellIs" dxfId="87" priority="99" operator="between">
      <formula>4.000001</formula>
      <formula>5</formula>
    </cfRule>
    <cfRule type="cellIs" dxfId="86" priority="100" operator="between">
      <formula>3.0000001</formula>
      <formula>4</formula>
    </cfRule>
    <cfRule type="cellIs" dxfId="85" priority="101" operator="between">
      <formula>2.000001</formula>
      <formula>3</formula>
    </cfRule>
    <cfRule type="cellIs" dxfId="84" priority="102" operator="between">
      <formula>0</formula>
      <formula>2</formula>
    </cfRule>
  </conditionalFormatting>
  <conditionalFormatting sqref="R6">
    <cfRule type="cellIs" dxfId="83" priority="90" operator="between">
      <formula>6.00001</formula>
      <formula>10</formula>
    </cfRule>
    <cfRule type="cellIs" dxfId="82" priority="91" operator="between">
      <formula>5.000001</formula>
      <formula>6</formula>
    </cfRule>
    <cfRule type="cellIs" dxfId="81" priority="92" operator="between">
      <formula>4.000001</formula>
      <formula>5</formula>
    </cfRule>
    <cfRule type="cellIs" dxfId="80" priority="93" operator="between">
      <formula>3.0000001</formula>
      <formula>4</formula>
    </cfRule>
    <cfRule type="cellIs" dxfId="79" priority="94" operator="between">
      <formula>2.000001</formula>
      <formula>3</formula>
    </cfRule>
    <cfRule type="cellIs" dxfId="78" priority="95" operator="between">
      <formula>0</formula>
      <formula>2</formula>
    </cfRule>
  </conditionalFormatting>
  <conditionalFormatting sqref="X6">
    <cfRule type="cellIs" dxfId="77" priority="83" operator="between">
      <formula>6.00001</formula>
      <formula>10</formula>
    </cfRule>
    <cfRule type="cellIs" dxfId="76" priority="84" operator="between">
      <formula>5.000001</formula>
      <formula>6</formula>
    </cfRule>
    <cfRule type="cellIs" dxfId="75" priority="85" operator="between">
      <formula>4.000001</formula>
      <formula>5</formula>
    </cfRule>
    <cfRule type="cellIs" dxfId="74" priority="86" operator="between">
      <formula>3.0000001</formula>
      <formula>4</formula>
    </cfRule>
    <cfRule type="cellIs" dxfId="73" priority="87" operator="between">
      <formula>2.000001</formula>
      <formula>3</formula>
    </cfRule>
    <cfRule type="cellIs" dxfId="72" priority="88" operator="between">
      <formula>0</formula>
      <formula>2</formula>
    </cfRule>
  </conditionalFormatting>
  <conditionalFormatting sqref="F22">
    <cfRule type="cellIs" dxfId="71" priority="76" operator="between">
      <formula>6.00001</formula>
      <formula>10</formula>
    </cfRule>
    <cfRule type="cellIs" dxfId="70" priority="77" operator="between">
      <formula>5.000001</formula>
      <formula>6</formula>
    </cfRule>
    <cfRule type="cellIs" dxfId="69" priority="78" operator="between">
      <formula>4.000001</formula>
      <formula>5</formula>
    </cfRule>
    <cfRule type="cellIs" dxfId="68" priority="79" operator="between">
      <formula>3.0000001</formula>
      <formula>4</formula>
    </cfRule>
    <cfRule type="cellIs" dxfId="67" priority="80" operator="between">
      <formula>2.000001</formula>
      <formula>3</formula>
    </cfRule>
    <cfRule type="cellIs" dxfId="66" priority="81" operator="between">
      <formula>0</formula>
      <formula>2</formula>
    </cfRule>
  </conditionalFormatting>
  <conditionalFormatting sqref="L22">
    <cfRule type="cellIs" dxfId="65" priority="69" operator="between">
      <formula>6.00001</formula>
      <formula>10</formula>
    </cfRule>
    <cfRule type="cellIs" dxfId="64" priority="70" operator="between">
      <formula>5.000001</formula>
      <formula>6</formula>
    </cfRule>
    <cfRule type="cellIs" dxfId="63" priority="71" operator="between">
      <formula>4.000001</formula>
      <formula>5</formula>
    </cfRule>
    <cfRule type="cellIs" dxfId="62" priority="72" operator="between">
      <formula>3.0000001</formula>
      <formula>4</formula>
    </cfRule>
    <cfRule type="cellIs" dxfId="61" priority="73" operator="between">
      <formula>2.000001</formula>
      <formula>3</formula>
    </cfRule>
    <cfRule type="cellIs" dxfId="60" priority="74" operator="between">
      <formula>0</formula>
      <formula>2</formula>
    </cfRule>
  </conditionalFormatting>
  <conditionalFormatting sqref="R22">
    <cfRule type="cellIs" dxfId="59" priority="62" operator="between">
      <formula>6.00001</formula>
      <formula>10</formula>
    </cfRule>
    <cfRule type="cellIs" dxfId="58" priority="63" operator="between">
      <formula>5.000001</formula>
      <formula>6</formula>
    </cfRule>
    <cfRule type="cellIs" dxfId="57" priority="64" operator="between">
      <formula>4.000001</formula>
      <formula>5</formula>
    </cfRule>
    <cfRule type="cellIs" dxfId="56" priority="65" operator="between">
      <formula>3.0000001</formula>
      <formula>4</formula>
    </cfRule>
    <cfRule type="cellIs" dxfId="55" priority="66" operator="between">
      <formula>2.000001</formula>
      <formula>3</formula>
    </cfRule>
    <cfRule type="cellIs" dxfId="54" priority="67" operator="between">
      <formula>0</formula>
      <formula>2</formula>
    </cfRule>
  </conditionalFormatting>
  <conditionalFormatting sqref="X22">
    <cfRule type="cellIs" dxfId="53" priority="55" operator="between">
      <formula>6.00001</formula>
      <formula>10</formula>
    </cfRule>
    <cfRule type="cellIs" dxfId="52" priority="56" operator="between">
      <formula>5.000001</formula>
      <formula>6</formula>
    </cfRule>
    <cfRule type="cellIs" dxfId="51" priority="57" operator="between">
      <formula>4.000001</formula>
      <formula>5</formula>
    </cfRule>
    <cfRule type="cellIs" dxfId="50" priority="58" operator="between">
      <formula>3.0000001</formula>
      <formula>4</formula>
    </cfRule>
    <cfRule type="cellIs" dxfId="49" priority="59" operator="between">
      <formula>2.000001</formula>
      <formula>3</formula>
    </cfRule>
    <cfRule type="cellIs" dxfId="48" priority="60" operator="between">
      <formula>0</formula>
      <formula>2</formula>
    </cfRule>
  </conditionalFormatting>
  <conditionalFormatting sqref="F6 F22 L6 L22 R6 R22 X6 X22">
    <cfRule type="iconSet" priority="53">
      <iconSet iconSet="5Arrows">
        <cfvo type="percent" val="0"/>
        <cfvo type="percent" val="2"/>
        <cfvo type="percent" val="40"/>
        <cfvo type="percent" val="60"/>
        <cfvo type="percent" val="98"/>
      </iconSet>
    </cfRule>
  </conditionalFormatting>
  <conditionalFormatting sqref="C8:C14">
    <cfRule type="cellIs" dxfId="47" priority="51" operator="greaterThanOrEqual">
      <formula>$C$1</formula>
    </cfRule>
    <cfRule type="cellIs" dxfId="46" priority="52" operator="lessThanOrEqual">
      <formula>-$C$1</formula>
    </cfRule>
  </conditionalFormatting>
  <conditionalFormatting sqref="I8:I14">
    <cfRule type="cellIs" dxfId="45" priority="49" operator="greaterThanOrEqual">
      <formula>$C$1</formula>
    </cfRule>
    <cfRule type="cellIs" dxfId="44" priority="50" operator="lessThanOrEqual">
      <formula>-$C$1</formula>
    </cfRule>
  </conditionalFormatting>
  <conditionalFormatting sqref="O8:O14">
    <cfRule type="cellIs" dxfId="43" priority="47" operator="greaterThanOrEqual">
      <formula>$C$1</formula>
    </cfRule>
    <cfRule type="cellIs" dxfId="42" priority="48" operator="lessThanOrEqual">
      <formula>-$C$1</formula>
    </cfRule>
  </conditionalFormatting>
  <conditionalFormatting sqref="U8:U14">
    <cfRule type="cellIs" dxfId="41" priority="45" operator="greaterThanOrEqual">
      <formula>$C$1</formula>
    </cfRule>
    <cfRule type="cellIs" dxfId="40" priority="46" operator="lessThanOrEqual">
      <formula>-$C$1</formula>
    </cfRule>
  </conditionalFormatting>
  <conditionalFormatting sqref="U24:U30">
    <cfRule type="cellIs" dxfId="39" priority="43" operator="greaterThanOrEqual">
      <formula>$C$1</formula>
    </cfRule>
    <cfRule type="cellIs" dxfId="38" priority="44" operator="lessThanOrEqual">
      <formula>-$C$1</formula>
    </cfRule>
  </conditionalFormatting>
  <conditionalFormatting sqref="O24:O30">
    <cfRule type="cellIs" dxfId="37" priority="41" operator="greaterThanOrEqual">
      <formula>$C$1</formula>
    </cfRule>
    <cfRule type="cellIs" dxfId="36" priority="42" operator="lessThanOrEqual">
      <formula>-$C$1</formula>
    </cfRule>
  </conditionalFormatting>
  <conditionalFormatting sqref="I24:I30">
    <cfRule type="cellIs" dxfId="35" priority="39" operator="greaterThanOrEqual">
      <formula>$C$1</formula>
    </cfRule>
    <cfRule type="cellIs" dxfId="34" priority="40" operator="lessThanOrEqual">
      <formula>-$C$1</formula>
    </cfRule>
  </conditionalFormatting>
  <conditionalFormatting sqref="C24:C30">
    <cfRule type="cellIs" dxfId="33" priority="37" operator="greaterThanOrEqual">
      <formula>$C$1</formula>
    </cfRule>
    <cfRule type="cellIs" dxfId="32" priority="38" operator="lessThanOrEqual">
      <formula>-$C$1</formula>
    </cfRule>
  </conditionalFormatting>
  <conditionalFormatting sqref="F8:F14">
    <cfRule type="cellIs" dxfId="31" priority="36" operator="equal">
      <formula>1</formula>
    </cfRule>
  </conditionalFormatting>
  <conditionalFormatting sqref="L8:L14">
    <cfRule type="cellIs" dxfId="30" priority="35" operator="equal">
      <formula>-1</formula>
    </cfRule>
  </conditionalFormatting>
  <conditionalFormatting sqref="L8:L14">
    <cfRule type="cellIs" dxfId="29" priority="34" operator="equal">
      <formula>1</formula>
    </cfRule>
  </conditionalFormatting>
  <conditionalFormatting sqref="R8:R14">
    <cfRule type="cellIs" dxfId="28" priority="33" operator="equal">
      <formula>-1</formula>
    </cfRule>
  </conditionalFormatting>
  <conditionalFormatting sqref="R8:R14">
    <cfRule type="cellIs" dxfId="27" priority="32" operator="equal">
      <formula>1</formula>
    </cfRule>
  </conditionalFormatting>
  <conditionalFormatting sqref="X8:X14">
    <cfRule type="cellIs" dxfId="26" priority="31" operator="equal">
      <formula>-1</formula>
    </cfRule>
  </conditionalFormatting>
  <conditionalFormatting sqref="X8:X14">
    <cfRule type="cellIs" dxfId="25" priority="30" operator="equal">
      <formula>1</formula>
    </cfRule>
  </conditionalFormatting>
  <conditionalFormatting sqref="X24:X30">
    <cfRule type="cellIs" dxfId="24" priority="29" operator="equal">
      <formula>-1</formula>
    </cfRule>
  </conditionalFormatting>
  <conditionalFormatting sqref="X24:X30">
    <cfRule type="cellIs" dxfId="23" priority="28" operator="equal">
      <formula>1</formula>
    </cfRule>
  </conditionalFormatting>
  <conditionalFormatting sqref="R24:R30">
    <cfRule type="cellIs" dxfId="22" priority="27" operator="equal">
      <formula>-1</formula>
    </cfRule>
  </conditionalFormatting>
  <conditionalFormatting sqref="R24:R30">
    <cfRule type="cellIs" dxfId="21" priority="26" operator="equal">
      <formula>1</formula>
    </cfRule>
  </conditionalFormatting>
  <conditionalFormatting sqref="L24:L30">
    <cfRule type="cellIs" dxfId="20" priority="25" operator="equal">
      <formula>-1</formula>
    </cfRule>
  </conditionalFormatting>
  <conditionalFormatting sqref="L24:L30">
    <cfRule type="cellIs" dxfId="19" priority="24" operator="equal">
      <formula>1</formula>
    </cfRule>
  </conditionalFormatting>
  <conditionalFormatting sqref="F24:F30">
    <cfRule type="cellIs" dxfId="18" priority="23" operator="equal">
      <formula>-1</formula>
    </cfRule>
  </conditionalFormatting>
  <conditionalFormatting sqref="F24:F30">
    <cfRule type="cellIs" dxfId="17" priority="22" operator="equal">
      <formula>1</formula>
    </cfRule>
  </conditionalFormatting>
  <conditionalFormatting sqref="K8:K14">
    <cfRule type="cellIs" dxfId="16" priority="19" operator="lessThanOrEqual">
      <formula>-$D$1</formula>
    </cfRule>
    <cfRule type="cellIs" dxfId="15" priority="20" operator="greaterThanOrEqual">
      <formula>$D$1</formula>
    </cfRule>
  </conditionalFormatting>
  <conditionalFormatting sqref="Q8:Q14">
    <cfRule type="cellIs" dxfId="14" priority="17" operator="lessThanOrEqual">
      <formula>-$D$1</formula>
    </cfRule>
    <cfRule type="cellIs" dxfId="13" priority="18" operator="greaterThanOrEqual">
      <formula>$D$1</formula>
    </cfRule>
  </conditionalFormatting>
  <conditionalFormatting sqref="W8:W14">
    <cfRule type="cellIs" dxfId="12" priority="15" operator="lessThanOrEqual">
      <formula>-$D$1</formula>
    </cfRule>
    <cfRule type="cellIs" dxfId="11" priority="16" operator="greaterThanOrEqual">
      <formula>$D$1</formula>
    </cfRule>
  </conditionalFormatting>
  <conditionalFormatting sqref="W24:W30">
    <cfRule type="cellIs" dxfId="10" priority="13" operator="lessThanOrEqual">
      <formula>-$D$1</formula>
    </cfRule>
    <cfRule type="cellIs" dxfId="9" priority="14" operator="greaterThanOrEqual">
      <formula>$D$1</formula>
    </cfRule>
  </conditionalFormatting>
  <conditionalFormatting sqref="Q24:Q30">
    <cfRule type="cellIs" dxfId="8" priority="11" operator="lessThanOrEqual">
      <formula>-$D$1</formula>
    </cfRule>
    <cfRule type="cellIs" dxfId="7" priority="12" operator="greaterThanOrEqual">
      <formula>$D$1</formula>
    </cfRule>
  </conditionalFormatting>
  <conditionalFormatting sqref="K24:K30">
    <cfRule type="cellIs" dxfId="6" priority="9" operator="lessThanOrEqual">
      <formula>-$D$1</formula>
    </cfRule>
    <cfRule type="cellIs" dxfId="5" priority="10" operator="greaterThanOrEqual">
      <formula>$D$1</formula>
    </cfRule>
  </conditionalFormatting>
  <conditionalFormatting sqref="E24:E30">
    <cfRule type="cellIs" dxfId="4" priority="7" operator="lessThanOrEqual">
      <formula>-$D$1</formula>
    </cfRule>
    <cfRule type="cellIs" dxfId="3" priority="8" operator="greaterThanOrEqual">
      <formula>$D$1</formula>
    </cfRule>
  </conditionalFormatting>
  <conditionalFormatting sqref="B8">
    <cfRule type="expression" dxfId="2" priority="3">
      <formula>"if(c8&lt;=-c1)"</formula>
    </cfRule>
    <cfRule type="expression" dxfId="1" priority="4">
      <formula>"if(c8&gt;=c1)"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5"/>
  <dimension ref="A1:V48"/>
  <sheetViews>
    <sheetView showGridLines="0" showRowColHeaders="0" topLeftCell="L1" zoomScale="115" zoomScaleNormal="115" workbookViewId="0">
      <selection activeCell="U14" sqref="U14"/>
    </sheetView>
  </sheetViews>
  <sheetFormatPr defaultColWidth="9.140625" defaultRowHeight="12.75"/>
  <cols>
    <col min="1" max="1" width="1.5703125" style="273" customWidth="1"/>
    <col min="2" max="2" width="2.28515625" style="273" customWidth="1"/>
    <col min="3" max="3" width="2" style="273" customWidth="1"/>
    <col min="4" max="16384" width="9.140625" style="273"/>
  </cols>
  <sheetData>
    <row r="1" spans="1:22">
      <c r="E1" s="273" t="s">
        <v>60</v>
      </c>
      <c r="F1" s="273" t="s">
        <v>113</v>
      </c>
      <c r="G1" s="273" t="s">
        <v>70</v>
      </c>
      <c r="J1" s="273" t="s">
        <v>60</v>
      </c>
      <c r="K1" s="273" t="s">
        <v>113</v>
      </c>
      <c r="L1" s="273" t="s">
        <v>70</v>
      </c>
      <c r="O1" s="273" t="s">
        <v>60</v>
      </c>
      <c r="P1" s="273" t="s">
        <v>113</v>
      </c>
      <c r="Q1" s="273" t="s">
        <v>70</v>
      </c>
      <c r="T1" s="273" t="s">
        <v>60</v>
      </c>
      <c r="U1" s="273" t="s">
        <v>113</v>
      </c>
      <c r="V1" s="273" t="s">
        <v>70</v>
      </c>
    </row>
    <row r="2" spans="1:22">
      <c r="A2" s="273" t="s">
        <v>104</v>
      </c>
      <c r="E2" s="275">
        <f>B11</f>
        <v>64.285714285714292</v>
      </c>
      <c r="F2" s="275">
        <v>61.428571428571431</v>
      </c>
      <c r="G2" s="275">
        <f>E2-F2</f>
        <v>2.8571428571428612</v>
      </c>
      <c r="J2" s="275">
        <f>B16</f>
        <v>30</v>
      </c>
      <c r="K2" s="275">
        <v>27.142857142857146</v>
      </c>
      <c r="L2" s="275">
        <f>J2-K2</f>
        <v>2.8571428571428541</v>
      </c>
      <c r="O2" s="275">
        <f>B21</f>
        <v>50</v>
      </c>
      <c r="P2" s="275">
        <v>25.714285714285715</v>
      </c>
      <c r="Q2" s="275">
        <f>O2-P2</f>
        <v>24.285714285714285</v>
      </c>
      <c r="T2" s="275">
        <f>B26</f>
        <v>32.857142857142854</v>
      </c>
      <c r="U2" s="275">
        <v>28.571428571428573</v>
      </c>
      <c r="V2" s="275">
        <f>T2-U2</f>
        <v>4.2857142857142811</v>
      </c>
    </row>
    <row r="3" spans="1:22">
      <c r="A3" s="273" t="s">
        <v>105</v>
      </c>
      <c r="B3" s="273">
        <v>0</v>
      </c>
      <c r="E3" s="274"/>
    </row>
    <row r="4" spans="1:22">
      <c r="A4" s="273" t="s">
        <v>110</v>
      </c>
      <c r="B4" s="273">
        <v>10</v>
      </c>
    </row>
    <row r="5" spans="1:22">
      <c r="A5" s="273" t="s">
        <v>58</v>
      </c>
      <c r="B5" s="273">
        <v>15</v>
      </c>
    </row>
    <row r="6" spans="1:22">
      <c r="A6" s="273" t="s">
        <v>111</v>
      </c>
      <c r="B6" s="273">
        <v>50</v>
      </c>
    </row>
    <row r="7" spans="1:22">
      <c r="A7" s="273" t="s">
        <v>57</v>
      </c>
      <c r="B7" s="273">
        <v>15</v>
      </c>
    </row>
    <row r="8" spans="1:22">
      <c r="A8" s="273" t="s">
        <v>112</v>
      </c>
      <c r="B8" s="273">
        <v>10</v>
      </c>
    </row>
    <row r="9" spans="1:22">
      <c r="A9" s="273" t="s">
        <v>107</v>
      </c>
      <c r="B9" s="273">
        <v>100</v>
      </c>
    </row>
    <row r="10" spans="1:22">
      <c r="A10" s="273" t="s">
        <v>108</v>
      </c>
      <c r="B10" s="273" t="s">
        <v>34</v>
      </c>
    </row>
    <row r="11" spans="1:22">
      <c r="A11" s="273" t="s">
        <v>109</v>
      </c>
      <c r="B11" s="275">
        <f>IF(B10="","",HLOOKUP(B10,smArray,2,FALSE))*10</f>
        <v>64.285714285714292</v>
      </c>
      <c r="C11" s="274"/>
    </row>
    <row r="12" spans="1:22">
      <c r="A12" s="273" t="s">
        <v>108</v>
      </c>
      <c r="B12" s="273">
        <v>1</v>
      </c>
      <c r="C12" s="274"/>
    </row>
    <row r="13" spans="1:22">
      <c r="A13" s="273" t="s">
        <v>106</v>
      </c>
      <c r="B13" s="275">
        <f>200-(B11+B12)</f>
        <v>134.71428571428572</v>
      </c>
      <c r="C13" s="274"/>
    </row>
    <row r="14" spans="1:22">
      <c r="C14" s="274"/>
      <c r="E14" s="275">
        <f>B31</f>
        <v>21.428571428571427</v>
      </c>
      <c r="F14" s="275">
        <v>54.285714285714292</v>
      </c>
      <c r="G14" s="275">
        <f>E14-F14</f>
        <v>-32.857142857142861</v>
      </c>
      <c r="J14" s="275">
        <f>B36</f>
        <v>51.428571428571431</v>
      </c>
      <c r="K14" s="275">
        <v>55.714285714285708</v>
      </c>
      <c r="L14" s="275">
        <f>J14-K14</f>
        <v>-4.2857142857142776</v>
      </c>
      <c r="O14" s="275">
        <f>B41</f>
        <v>82.857142857142861</v>
      </c>
      <c r="P14" s="275">
        <v>54.285714285714292</v>
      </c>
      <c r="Q14" s="275">
        <f>O14-P14</f>
        <v>28.571428571428569</v>
      </c>
      <c r="T14" s="275">
        <f>B46</f>
        <v>27.142857142857146</v>
      </c>
      <c r="U14" s="275">
        <v>52.857142857142854</v>
      </c>
      <c r="V14" s="275">
        <f>T14-U14</f>
        <v>-25.714285714285708</v>
      </c>
    </row>
    <row r="15" spans="1:22">
      <c r="A15" s="273" t="s">
        <v>108</v>
      </c>
      <c r="B15" s="273" t="s">
        <v>35</v>
      </c>
      <c r="C15" s="274"/>
    </row>
    <row r="16" spans="1:22">
      <c r="A16" s="273" t="s">
        <v>109</v>
      </c>
      <c r="B16" s="275">
        <f>IF(B15="","",HLOOKUP(B15,smArray,2,FALSE))*10</f>
        <v>30</v>
      </c>
      <c r="C16" s="274"/>
    </row>
    <row r="17" spans="1:3">
      <c r="A17" s="273" t="s">
        <v>108</v>
      </c>
      <c r="B17" s="273">
        <v>1</v>
      </c>
      <c r="C17" s="274"/>
    </row>
    <row r="18" spans="1:3">
      <c r="A18" s="273" t="s">
        <v>106</v>
      </c>
      <c r="B18" s="275">
        <f>200-(B16+B17)</f>
        <v>169</v>
      </c>
    </row>
    <row r="20" spans="1:3">
      <c r="A20" s="273" t="s">
        <v>108</v>
      </c>
      <c r="B20" s="273" t="s">
        <v>30</v>
      </c>
    </row>
    <row r="21" spans="1:3">
      <c r="A21" s="273" t="s">
        <v>109</v>
      </c>
      <c r="B21" s="275">
        <f>IF(B20="","",HLOOKUP(B20,smArray,2,FALSE))*10</f>
        <v>50</v>
      </c>
    </row>
    <row r="22" spans="1:3">
      <c r="A22" s="273" t="s">
        <v>108</v>
      </c>
      <c r="B22" s="273">
        <v>1</v>
      </c>
    </row>
    <row r="23" spans="1:3">
      <c r="A23" s="273" t="s">
        <v>106</v>
      </c>
      <c r="B23" s="275">
        <f>200-(B21+B22)</f>
        <v>149</v>
      </c>
    </row>
    <row r="25" spans="1:3">
      <c r="A25" s="273" t="s">
        <v>108</v>
      </c>
      <c r="B25" s="273" t="s">
        <v>31</v>
      </c>
    </row>
    <row r="26" spans="1:3">
      <c r="A26" s="273" t="s">
        <v>109</v>
      </c>
      <c r="B26" s="275">
        <f>IF(B25="","",HLOOKUP(B25,smArray,2,FALSE))*10</f>
        <v>32.857142857142854</v>
      </c>
    </row>
    <row r="27" spans="1:3">
      <c r="A27" s="273" t="s">
        <v>108</v>
      </c>
      <c r="B27" s="273">
        <v>1</v>
      </c>
    </row>
    <row r="28" spans="1:3">
      <c r="A28" s="273" t="s">
        <v>106</v>
      </c>
      <c r="B28" s="275">
        <f>200-(B26+B27)</f>
        <v>166.14285714285714</v>
      </c>
    </row>
    <row r="30" spans="1:3">
      <c r="A30" s="273" t="s">
        <v>108</v>
      </c>
      <c r="B30" s="273" t="s">
        <v>33</v>
      </c>
    </row>
    <row r="31" spans="1:3">
      <c r="A31" s="273" t="s">
        <v>109</v>
      </c>
      <c r="B31" s="275">
        <f>IF(B30="","",HLOOKUP(B30,smArray,2,FALSE))*10</f>
        <v>21.428571428571427</v>
      </c>
    </row>
    <row r="32" spans="1:3">
      <c r="A32" s="273" t="s">
        <v>108</v>
      </c>
      <c r="B32" s="273">
        <v>1</v>
      </c>
    </row>
    <row r="33" spans="1:2">
      <c r="A33" s="273" t="s">
        <v>106</v>
      </c>
      <c r="B33" s="275">
        <f>200-(B31+B32)</f>
        <v>177.57142857142858</v>
      </c>
    </row>
    <row r="35" spans="1:2">
      <c r="A35" s="273" t="s">
        <v>108</v>
      </c>
      <c r="B35" s="273" t="s">
        <v>32</v>
      </c>
    </row>
    <row r="36" spans="1:2">
      <c r="A36" s="273" t="s">
        <v>109</v>
      </c>
      <c r="B36" s="275">
        <f>IF(B35="","",HLOOKUP(B35,smArray,2,FALSE))*10</f>
        <v>51.428571428571431</v>
      </c>
    </row>
    <row r="37" spans="1:2">
      <c r="A37" s="273" t="s">
        <v>108</v>
      </c>
      <c r="B37" s="273">
        <v>1</v>
      </c>
    </row>
    <row r="38" spans="1:2">
      <c r="A38" s="273" t="s">
        <v>106</v>
      </c>
      <c r="B38" s="275">
        <f>200-(B36+B37)</f>
        <v>147.57142857142856</v>
      </c>
    </row>
    <row r="40" spans="1:2">
      <c r="A40" s="273" t="s">
        <v>108</v>
      </c>
      <c r="B40" s="273" t="s">
        <v>36</v>
      </c>
    </row>
    <row r="41" spans="1:2">
      <c r="A41" s="273" t="s">
        <v>109</v>
      </c>
      <c r="B41" s="275">
        <f>IF(B40="","",HLOOKUP(B40,smArray,2,FALSE))*10</f>
        <v>82.857142857142861</v>
      </c>
    </row>
    <row r="42" spans="1:2">
      <c r="A42" s="273" t="s">
        <v>108</v>
      </c>
      <c r="B42" s="273">
        <v>1</v>
      </c>
    </row>
    <row r="43" spans="1:2">
      <c r="A43" s="273" t="s">
        <v>106</v>
      </c>
      <c r="B43" s="275">
        <f>200-(B41+B42)</f>
        <v>116.14285714285714</v>
      </c>
    </row>
    <row r="45" spans="1:2">
      <c r="A45" s="273" t="s">
        <v>108</v>
      </c>
      <c r="B45" s="273" t="s">
        <v>28</v>
      </c>
    </row>
    <row r="46" spans="1:2">
      <c r="A46" s="273" t="s">
        <v>109</v>
      </c>
      <c r="B46" s="275">
        <f>IF(B45="","",HLOOKUP(B45,smArray,2,FALSE))*10</f>
        <v>27.142857142857146</v>
      </c>
    </row>
    <row r="47" spans="1:2">
      <c r="A47" s="273" t="s">
        <v>108</v>
      </c>
      <c r="B47" s="273">
        <v>1</v>
      </c>
    </row>
    <row r="48" spans="1:2">
      <c r="A48" s="273" t="s">
        <v>106</v>
      </c>
      <c r="B48" s="275">
        <f>200-(B46+B47)</f>
        <v>171.85714285714286</v>
      </c>
    </row>
  </sheetData>
  <conditionalFormatting sqref="G2">
    <cfRule type="iconSet" priority="9">
      <iconSet iconSet="3Arrows" showValue="0">
        <cfvo type="percent" val="0"/>
        <cfvo type="num" val="0"/>
        <cfvo type="num" val="1"/>
      </iconSet>
    </cfRule>
  </conditionalFormatting>
  <conditionalFormatting sqref="L2">
    <cfRule type="iconSet" priority="8">
      <iconSet iconSet="3Arrows" showValue="0">
        <cfvo type="percent" val="0"/>
        <cfvo type="num" val="0"/>
        <cfvo type="num" val="1"/>
      </iconSet>
    </cfRule>
  </conditionalFormatting>
  <conditionalFormatting sqref="Q2">
    <cfRule type="iconSet" priority="7">
      <iconSet iconSet="3Arrows" showValue="0">
        <cfvo type="percent" val="0"/>
        <cfvo type="num" val="0"/>
        <cfvo type="num" val="1"/>
      </iconSet>
    </cfRule>
  </conditionalFormatting>
  <conditionalFormatting sqref="V2">
    <cfRule type="iconSet" priority="6">
      <iconSet iconSet="3Arrows" showValue="0">
        <cfvo type="percent" val="0"/>
        <cfvo type="num" val="0"/>
        <cfvo type="num" val="1"/>
      </iconSet>
    </cfRule>
  </conditionalFormatting>
  <conditionalFormatting sqref="V14">
    <cfRule type="iconSet" priority="5">
      <iconSet iconSet="3Arrows" showValue="0">
        <cfvo type="percent" val="0"/>
        <cfvo type="num" val="0"/>
        <cfvo type="num" val="1"/>
      </iconSet>
    </cfRule>
  </conditionalFormatting>
  <conditionalFormatting sqref="Q14">
    <cfRule type="iconSet" priority="4">
      <iconSet iconSet="3Arrows" showValue="0">
        <cfvo type="percent" val="0"/>
        <cfvo type="num" val="0"/>
        <cfvo type="num" val="1"/>
      </iconSet>
    </cfRule>
  </conditionalFormatting>
  <conditionalFormatting sqref="L14">
    <cfRule type="iconSet" priority="3">
      <iconSet iconSet="3Arrows" showValue="0">
        <cfvo type="percent" val="0"/>
        <cfvo type="num" val="0"/>
        <cfvo type="num" val="1"/>
      </iconSet>
    </cfRule>
  </conditionalFormatting>
  <conditionalFormatting sqref="G14">
    <cfRule type="iconSet" priority="1">
      <iconSet iconSet="3Arrows" showValue="0">
        <cfvo type="percent" val="0"/>
        <cfvo type="num" val="0"/>
        <cfvo type="num" val="1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"/>
  <dimension ref="A1:AI34"/>
  <sheetViews>
    <sheetView workbookViewId="0">
      <selection activeCell="C4" sqref="C4"/>
    </sheetView>
  </sheetViews>
  <sheetFormatPr defaultColWidth="9.140625" defaultRowHeight="15"/>
  <sheetData>
    <row r="1" spans="1:35">
      <c r="C1" s="309" t="s">
        <v>128</v>
      </c>
    </row>
    <row r="2" spans="1:35">
      <c r="C2" s="1" t="s">
        <v>299</v>
      </c>
    </row>
    <row r="3" spans="1:35">
      <c r="C3" s="294" t="s">
        <v>300</v>
      </c>
    </row>
    <row r="4" spans="1:35">
      <c r="C4" s="1" t="s">
        <v>306</v>
      </c>
    </row>
    <row r="6" spans="1:35">
      <c r="A6" t="s">
        <v>129</v>
      </c>
      <c r="B6" t="s">
        <v>146</v>
      </c>
      <c r="C6" t="s">
        <v>147</v>
      </c>
      <c r="D6" t="s">
        <v>148</v>
      </c>
      <c r="E6" t="s">
        <v>130</v>
      </c>
      <c r="F6" t="s">
        <v>131</v>
      </c>
      <c r="G6" t="s">
        <v>132</v>
      </c>
      <c r="H6" t="s">
        <v>149</v>
      </c>
      <c r="I6" t="s">
        <v>150</v>
      </c>
      <c r="J6" t="s">
        <v>151</v>
      </c>
      <c r="K6" t="s">
        <v>133</v>
      </c>
      <c r="L6" t="s">
        <v>134</v>
      </c>
      <c r="M6" t="s">
        <v>135</v>
      </c>
      <c r="N6" t="s">
        <v>152</v>
      </c>
      <c r="O6" t="s">
        <v>153</v>
      </c>
      <c r="P6" t="s">
        <v>154</v>
      </c>
      <c r="Q6" t="s">
        <v>155</v>
      </c>
      <c r="R6" t="s">
        <v>156</v>
      </c>
      <c r="S6" t="s">
        <v>157</v>
      </c>
      <c r="T6" t="s">
        <v>136</v>
      </c>
      <c r="U6" t="s">
        <v>137</v>
      </c>
      <c r="V6" t="s">
        <v>138</v>
      </c>
      <c r="W6" t="s">
        <v>139</v>
      </c>
      <c r="X6" t="s">
        <v>140</v>
      </c>
      <c r="Y6" t="s">
        <v>141</v>
      </c>
      <c r="Z6" t="s">
        <v>142</v>
      </c>
      <c r="AA6" t="s">
        <v>158</v>
      </c>
      <c r="AB6" t="s">
        <v>159</v>
      </c>
      <c r="AC6" t="s">
        <v>143</v>
      </c>
      <c r="AD6" t="s">
        <v>144</v>
      </c>
      <c r="AE6" t="s">
        <v>145</v>
      </c>
      <c r="AF6" t="s">
        <v>292</v>
      </c>
      <c r="AG6" t="s">
        <v>293</v>
      </c>
      <c r="AH6" t="s">
        <v>294</v>
      </c>
      <c r="AI6" t="s">
        <v>295</v>
      </c>
    </row>
    <row r="7" spans="1:35">
      <c r="A7" t="s">
        <v>24</v>
      </c>
      <c r="B7">
        <v>0.95423999999999998</v>
      </c>
      <c r="C7">
        <v>0.95401000000000002</v>
      </c>
      <c r="D7">
        <v>0.95286999999999999</v>
      </c>
      <c r="E7">
        <v>0.94906000000000001</v>
      </c>
      <c r="F7">
        <v>0.94906000000000001</v>
      </c>
      <c r="G7">
        <v>0.93379000000000001</v>
      </c>
      <c r="H7">
        <v>1</v>
      </c>
      <c r="I7">
        <v>1</v>
      </c>
      <c r="J7">
        <v>0</v>
      </c>
      <c r="K7">
        <v>1</v>
      </c>
      <c r="L7">
        <v>1</v>
      </c>
      <c r="M7">
        <v>0</v>
      </c>
      <c r="N7">
        <v>0.95363405101921905</v>
      </c>
      <c r="O7">
        <v>0.95354205606404097</v>
      </c>
      <c r="P7">
        <v>0.95353430188946398</v>
      </c>
      <c r="Q7">
        <v>0.95295793950598795</v>
      </c>
      <c r="R7">
        <v>0.95206027090860001</v>
      </c>
      <c r="S7">
        <v>0.94916803767208002</v>
      </c>
      <c r="T7">
        <v>0.944409852208142</v>
      </c>
      <c r="U7">
        <v>0.94220796212025004</v>
      </c>
      <c r="V7">
        <v>0.94245163373049901</v>
      </c>
      <c r="W7">
        <v>0.94731791046327196</v>
      </c>
      <c r="X7">
        <v>0.95228623476926899</v>
      </c>
      <c r="Y7">
        <v>0.96977225253940302</v>
      </c>
      <c r="Z7">
        <v>91.230870204799601</v>
      </c>
      <c r="AA7">
        <v>77.202893737999702</v>
      </c>
      <c r="AB7">
        <v>37.293040118795098</v>
      </c>
      <c r="AC7">
        <v>76.756365086824701</v>
      </c>
      <c r="AD7">
        <v>70.817462885675795</v>
      </c>
      <c r="AE7">
        <v>10.0829466216637</v>
      </c>
      <c r="AF7">
        <v>0.94308999999999998</v>
      </c>
      <c r="AG7">
        <v>0.95369000000000004</v>
      </c>
      <c r="AH7">
        <v>0.94279999999999997</v>
      </c>
      <c r="AI7">
        <v>0.94308999999999998</v>
      </c>
    </row>
    <row r="8" spans="1:35">
      <c r="A8" t="s">
        <v>25</v>
      </c>
      <c r="B8">
        <v>0.71250000000000002</v>
      </c>
      <c r="C8">
        <v>0.71292999999999995</v>
      </c>
      <c r="D8">
        <v>0.71257000000000004</v>
      </c>
      <c r="E8">
        <v>0.70562999999999998</v>
      </c>
      <c r="F8">
        <v>0.70562999999999998</v>
      </c>
      <c r="G8">
        <v>0.68257999999999996</v>
      </c>
      <c r="H8">
        <v>0</v>
      </c>
      <c r="I8">
        <v>1</v>
      </c>
      <c r="J8">
        <v>1</v>
      </c>
      <c r="K8">
        <v>1</v>
      </c>
      <c r="L8">
        <v>1</v>
      </c>
      <c r="M8">
        <v>0</v>
      </c>
      <c r="N8">
        <v>0.71259706362341202</v>
      </c>
      <c r="O8">
        <v>0.71179813303603101</v>
      </c>
      <c r="P8">
        <v>0.71212035807996099</v>
      </c>
      <c r="Q8">
        <v>0.71026415004671595</v>
      </c>
      <c r="R8">
        <v>0.70886077253277602</v>
      </c>
      <c r="S8">
        <v>0.70364474404174604</v>
      </c>
      <c r="T8">
        <v>0.69767093227268295</v>
      </c>
      <c r="U8">
        <v>0.69477675617772106</v>
      </c>
      <c r="V8">
        <v>0.69594409530815604</v>
      </c>
      <c r="W8">
        <v>0.70464070742541096</v>
      </c>
      <c r="X8">
        <v>0.71042167504326204</v>
      </c>
      <c r="Y8">
        <v>0.72732809449765601</v>
      </c>
      <c r="Z8">
        <v>18.562144778200299</v>
      </c>
      <c r="AA8">
        <v>71.7879412924691</v>
      </c>
      <c r="AB8">
        <v>98.987523163536395</v>
      </c>
      <c r="AC8">
        <v>93.078500377809704</v>
      </c>
      <c r="AD8">
        <v>71.179629981416397</v>
      </c>
      <c r="AE8">
        <v>2.3279545889406399</v>
      </c>
      <c r="AF8">
        <v>0.70121</v>
      </c>
      <c r="AG8">
        <v>0.71191000000000004</v>
      </c>
      <c r="AH8">
        <v>0.70045000000000002</v>
      </c>
      <c r="AI8">
        <v>0.70121</v>
      </c>
    </row>
    <row r="9" spans="1:35">
      <c r="A9" t="s">
        <v>12</v>
      </c>
      <c r="B9">
        <v>87.721000000000004</v>
      </c>
      <c r="C9">
        <v>87.745999999999995</v>
      </c>
      <c r="D9">
        <v>87.733000000000004</v>
      </c>
      <c r="E9">
        <v>87.563000000000002</v>
      </c>
      <c r="F9">
        <v>87.563000000000002</v>
      </c>
      <c r="G9">
        <v>84.093000000000004</v>
      </c>
      <c r="H9">
        <v>0</v>
      </c>
      <c r="I9">
        <v>1</v>
      </c>
      <c r="J9">
        <v>1</v>
      </c>
      <c r="K9">
        <v>1</v>
      </c>
      <c r="L9">
        <v>1</v>
      </c>
      <c r="M9">
        <v>0</v>
      </c>
      <c r="N9">
        <v>87.746269422234107</v>
      </c>
      <c r="O9">
        <v>87.751701518666096</v>
      </c>
      <c r="P9">
        <v>87.756026798245799</v>
      </c>
      <c r="Q9">
        <v>87.717482207890299</v>
      </c>
      <c r="R9">
        <v>87.628829739821001</v>
      </c>
      <c r="S9">
        <v>87.331826381427803</v>
      </c>
      <c r="T9">
        <v>86.933932578010996</v>
      </c>
      <c r="U9">
        <v>86.482538180051094</v>
      </c>
      <c r="V9">
        <v>86.866069966010699</v>
      </c>
      <c r="W9">
        <v>88.761008441563902</v>
      </c>
      <c r="X9">
        <v>89.895277784990796</v>
      </c>
      <c r="Y9">
        <v>91.874174099616596</v>
      </c>
      <c r="Z9">
        <v>18.3625853962847</v>
      </c>
      <c r="AA9">
        <v>41.748665920598199</v>
      </c>
      <c r="AB9">
        <v>54.727017816632703</v>
      </c>
      <c r="AC9">
        <v>85.848208744953098</v>
      </c>
      <c r="AD9">
        <v>67.789095073729897</v>
      </c>
      <c r="AE9">
        <v>3.9748715019988401</v>
      </c>
      <c r="AF9">
        <v>86.966999999999999</v>
      </c>
      <c r="AG9">
        <v>88.096000000000004</v>
      </c>
      <c r="AH9">
        <v>86.897999999999996</v>
      </c>
      <c r="AI9">
        <v>86.966999999999999</v>
      </c>
    </row>
    <row r="10" spans="1:35">
      <c r="A10" t="s">
        <v>22</v>
      </c>
      <c r="B10">
        <v>1.06792</v>
      </c>
      <c r="C10">
        <v>1.06776</v>
      </c>
      <c r="D10">
        <v>1.06853</v>
      </c>
      <c r="E10">
        <v>1.06793</v>
      </c>
      <c r="F10">
        <v>1.06793</v>
      </c>
      <c r="G10">
        <v>1.09615</v>
      </c>
      <c r="H10">
        <v>1</v>
      </c>
      <c r="I10">
        <v>0</v>
      </c>
      <c r="J10">
        <v>0</v>
      </c>
      <c r="K10">
        <v>1</v>
      </c>
      <c r="L10">
        <v>1</v>
      </c>
      <c r="M10">
        <v>0</v>
      </c>
      <c r="N10">
        <v>1.0683446511546699</v>
      </c>
      <c r="O10">
        <v>1.06915824909413</v>
      </c>
      <c r="P10">
        <v>1.06903557095624</v>
      </c>
      <c r="Q10">
        <v>1.06923482047826</v>
      </c>
      <c r="R10">
        <v>1.0688059523262401</v>
      </c>
      <c r="S10">
        <v>1.0685003540596301</v>
      </c>
      <c r="T10">
        <v>1.0717101733629399</v>
      </c>
      <c r="U10">
        <v>1.0835278862325499</v>
      </c>
      <c r="V10">
        <v>1.0890616935484501</v>
      </c>
      <c r="W10">
        <v>1.09290500473102</v>
      </c>
      <c r="X10">
        <v>1.09331874063581</v>
      </c>
      <c r="Y10">
        <v>1.10028483856937</v>
      </c>
      <c r="Z10">
        <v>42.143910597769903</v>
      </c>
      <c r="AA10">
        <v>5.7463089547924104</v>
      </c>
      <c r="AB10">
        <v>30.7280186033497</v>
      </c>
      <c r="AC10">
        <v>51.901582153499298</v>
      </c>
      <c r="AD10">
        <v>17.738885207332999</v>
      </c>
      <c r="AE10">
        <v>35.264692490647001</v>
      </c>
      <c r="AF10">
        <v>1.0604499999999999</v>
      </c>
      <c r="AG10">
        <v>1.0713600000000001</v>
      </c>
      <c r="AH10">
        <v>1.05705</v>
      </c>
      <c r="AI10">
        <v>1.0604499999999999</v>
      </c>
    </row>
    <row r="11" spans="1:35">
      <c r="A11" t="s">
        <v>14</v>
      </c>
      <c r="B11">
        <v>0.72489999999999999</v>
      </c>
      <c r="C11">
        <v>0.72485999999999995</v>
      </c>
      <c r="D11">
        <v>0.72519</v>
      </c>
      <c r="E11">
        <v>0.72082999999999997</v>
      </c>
      <c r="F11">
        <v>0.72082999999999997</v>
      </c>
      <c r="G11">
        <v>0.70118999999999998</v>
      </c>
      <c r="H11">
        <v>0</v>
      </c>
      <c r="I11">
        <v>1</v>
      </c>
      <c r="J11">
        <v>1</v>
      </c>
      <c r="K11">
        <v>1</v>
      </c>
      <c r="L11">
        <v>0</v>
      </c>
      <c r="M11">
        <v>0</v>
      </c>
      <c r="N11">
        <v>0.72519686569229003</v>
      </c>
      <c r="O11">
        <v>0.72527343202754202</v>
      </c>
      <c r="P11">
        <v>0.725353852499111</v>
      </c>
      <c r="Q11">
        <v>0.72490137371129904</v>
      </c>
      <c r="R11">
        <v>0.72443333122030296</v>
      </c>
      <c r="S11">
        <v>0.72405287632713999</v>
      </c>
      <c r="T11">
        <v>0.72304123223182803</v>
      </c>
      <c r="U11">
        <v>0.72023059741201201</v>
      </c>
      <c r="V11">
        <v>0.71994603891977704</v>
      </c>
      <c r="W11">
        <v>0.73348268381329096</v>
      </c>
      <c r="X11">
        <v>0.75142957827929602</v>
      </c>
      <c r="Y11">
        <v>0.818403056665295</v>
      </c>
      <c r="Z11">
        <v>22.5733983673815</v>
      </c>
      <c r="AA11">
        <v>9.6173949316334699</v>
      </c>
      <c r="AB11">
        <v>52.679679210314298</v>
      </c>
      <c r="AC11">
        <v>55.772418910114098</v>
      </c>
      <c r="AD11">
        <v>47.414842400486101</v>
      </c>
      <c r="AE11">
        <v>5.0908517527380397</v>
      </c>
      <c r="AF11">
        <v>0.72075</v>
      </c>
      <c r="AG11">
        <v>0.72960999999999998</v>
      </c>
      <c r="AH11">
        <v>0.71967000000000003</v>
      </c>
      <c r="AI11">
        <v>0.72075</v>
      </c>
    </row>
    <row r="12" spans="1:35">
      <c r="A12" t="s">
        <v>26</v>
      </c>
      <c r="B12">
        <v>0.74656</v>
      </c>
      <c r="C12">
        <v>0.74719000000000002</v>
      </c>
      <c r="D12">
        <v>0.74777000000000005</v>
      </c>
      <c r="E12">
        <v>0.74280999999999997</v>
      </c>
      <c r="F12">
        <v>0.74280999999999997</v>
      </c>
      <c r="G12">
        <v>0.73072000000000004</v>
      </c>
      <c r="H12">
        <v>0</v>
      </c>
      <c r="I12">
        <v>0</v>
      </c>
      <c r="J12">
        <v>1</v>
      </c>
      <c r="K12">
        <v>1</v>
      </c>
      <c r="L12">
        <v>1</v>
      </c>
      <c r="M12">
        <v>0</v>
      </c>
      <c r="N12">
        <v>0.74715185317200095</v>
      </c>
      <c r="O12">
        <v>0.74637687333203995</v>
      </c>
      <c r="P12">
        <v>0.74672624873819904</v>
      </c>
      <c r="Q12">
        <v>0.74521397349514296</v>
      </c>
      <c r="R12">
        <v>0.74440776897453498</v>
      </c>
      <c r="S12">
        <v>0.741156043039643</v>
      </c>
      <c r="T12">
        <v>0.73832473723705305</v>
      </c>
      <c r="U12">
        <v>0.73701114577084503</v>
      </c>
      <c r="V12">
        <v>0.737679468675429</v>
      </c>
      <c r="W12">
        <v>0.74309641514671698</v>
      </c>
      <c r="X12">
        <v>0.75368135661881797</v>
      </c>
      <c r="Y12">
        <v>0.79280028620237197</v>
      </c>
      <c r="Z12">
        <v>3.9409824116793999</v>
      </c>
      <c r="AA12">
        <v>36.539535208666699</v>
      </c>
      <c r="AB12">
        <v>97.080173969333501</v>
      </c>
      <c r="AC12">
        <v>75.715694667012897</v>
      </c>
      <c r="AD12">
        <v>74.675118271456995</v>
      </c>
      <c r="AE12">
        <v>4.8448162469922602</v>
      </c>
      <c r="AF12">
        <v>0.74329000000000001</v>
      </c>
      <c r="AG12">
        <v>0.74807999999999997</v>
      </c>
      <c r="AH12">
        <v>0.73931000000000002</v>
      </c>
      <c r="AI12">
        <v>0.74329000000000001</v>
      </c>
    </row>
    <row r="13" spans="1:35">
      <c r="A13" t="s">
        <v>8</v>
      </c>
      <c r="B13">
        <v>91.914000000000001</v>
      </c>
      <c r="C13">
        <v>91.962000000000003</v>
      </c>
      <c r="D13">
        <v>92.061000000000007</v>
      </c>
      <c r="E13">
        <v>92.68</v>
      </c>
      <c r="F13">
        <v>92.191999999999894</v>
      </c>
      <c r="G13">
        <v>90.031999999999996</v>
      </c>
      <c r="H13">
        <v>0</v>
      </c>
      <c r="I13">
        <v>0</v>
      </c>
      <c r="J13">
        <v>1</v>
      </c>
      <c r="K13">
        <v>1</v>
      </c>
      <c r="L13">
        <v>0</v>
      </c>
      <c r="M13">
        <v>0</v>
      </c>
      <c r="N13">
        <v>91.998540977704096</v>
      </c>
      <c r="O13">
        <v>92.012528846773705</v>
      </c>
      <c r="P13">
        <v>92.018642779088694</v>
      </c>
      <c r="Q13">
        <v>92.032353185866995</v>
      </c>
      <c r="R13">
        <v>92.023570952890495</v>
      </c>
      <c r="S13">
        <v>91.9896305671775</v>
      </c>
      <c r="T13">
        <v>92.081106365277407</v>
      </c>
      <c r="U13">
        <v>91.856861654352599</v>
      </c>
      <c r="V13">
        <v>92.089009206485599</v>
      </c>
      <c r="W13">
        <v>93.609697713527893</v>
      </c>
      <c r="X13">
        <v>94.649438799190406</v>
      </c>
      <c r="Y13">
        <v>94.982780464173899</v>
      </c>
      <c r="Z13">
        <v>2.9810706422857098</v>
      </c>
      <c r="AA13">
        <v>23.509997152461501</v>
      </c>
      <c r="AB13">
        <v>59.907129795551803</v>
      </c>
      <c r="AC13">
        <v>93.619259050044505</v>
      </c>
      <c r="AD13">
        <v>53.510906519721303</v>
      </c>
      <c r="AE13">
        <v>4.5392643501330303</v>
      </c>
      <c r="AF13">
        <v>92.206000000000003</v>
      </c>
      <c r="AG13">
        <v>92.906999999999996</v>
      </c>
      <c r="AH13">
        <v>91.918999999999997</v>
      </c>
      <c r="AI13">
        <v>92.206000000000003</v>
      </c>
    </row>
    <row r="14" spans="1:35">
      <c r="A14" t="s">
        <v>7</v>
      </c>
      <c r="B14">
        <v>123.084</v>
      </c>
      <c r="C14">
        <v>123.04600000000001</v>
      </c>
      <c r="D14">
        <v>123.09</v>
      </c>
      <c r="E14">
        <v>124.071</v>
      </c>
      <c r="F14">
        <v>124.071</v>
      </c>
      <c r="G14">
        <v>123.15</v>
      </c>
      <c r="H14">
        <v>1</v>
      </c>
      <c r="I14">
        <v>0</v>
      </c>
      <c r="J14">
        <v>1</v>
      </c>
      <c r="K14">
        <v>0</v>
      </c>
      <c r="L14">
        <v>0</v>
      </c>
      <c r="M14">
        <v>0</v>
      </c>
      <c r="N14">
        <v>123.10566966507299</v>
      </c>
      <c r="O14">
        <v>123.253882875887</v>
      </c>
      <c r="P14">
        <v>123.204070577686</v>
      </c>
      <c r="Q14">
        <v>123.472319484945</v>
      </c>
      <c r="R14">
        <v>123.59323400494701</v>
      </c>
      <c r="S14">
        <v>124.090317309998</v>
      </c>
      <c r="T14">
        <v>124.54861738040699</v>
      </c>
      <c r="U14">
        <v>124.395547483961</v>
      </c>
      <c r="V14">
        <v>124.651776385665</v>
      </c>
      <c r="W14">
        <v>125.80521446874999</v>
      </c>
      <c r="X14">
        <v>125.555850112225</v>
      </c>
      <c r="Y14">
        <v>120.35887573068401</v>
      </c>
      <c r="Z14">
        <v>65.392047580151896</v>
      </c>
      <c r="AA14">
        <v>13.208059456901999</v>
      </c>
      <c r="AB14">
        <v>11.696258402878801</v>
      </c>
      <c r="AC14">
        <v>24.278340166492001</v>
      </c>
      <c r="AD14">
        <v>30.691148330099399</v>
      </c>
      <c r="AE14">
        <v>8.6905597837627493</v>
      </c>
      <c r="AF14">
        <v>123.992</v>
      </c>
      <c r="AG14">
        <v>124.229</v>
      </c>
      <c r="AH14">
        <v>123.443</v>
      </c>
      <c r="AI14">
        <v>123.992</v>
      </c>
    </row>
    <row r="15" spans="1:35">
      <c r="A15" t="s">
        <v>0</v>
      </c>
      <c r="B15">
        <v>1.5239</v>
      </c>
      <c r="C15">
        <v>1.52332</v>
      </c>
      <c r="D15">
        <v>1.5239499999999999</v>
      </c>
      <c r="E15">
        <v>1.5262899999999999</v>
      </c>
      <c r="F15">
        <v>1.5262899999999999</v>
      </c>
      <c r="G15">
        <v>1.5920300000000001</v>
      </c>
      <c r="H15">
        <v>1</v>
      </c>
      <c r="I15">
        <v>0</v>
      </c>
      <c r="J15">
        <v>1</v>
      </c>
      <c r="K15">
        <v>0</v>
      </c>
      <c r="L15">
        <v>0</v>
      </c>
      <c r="M15">
        <v>1</v>
      </c>
      <c r="N15">
        <v>1.52299103309566</v>
      </c>
      <c r="O15">
        <v>1.5220056087417999</v>
      </c>
      <c r="P15">
        <v>1.52203107007766</v>
      </c>
      <c r="Q15">
        <v>1.5227911712133699</v>
      </c>
      <c r="R15">
        <v>1.52529849474073</v>
      </c>
      <c r="S15">
        <v>1.53736683077567</v>
      </c>
      <c r="T15">
        <v>1.5521790449713799</v>
      </c>
      <c r="U15">
        <v>1.5592429728343</v>
      </c>
      <c r="V15">
        <v>1.5477914019976</v>
      </c>
      <c r="W15">
        <v>1.5261633075172001</v>
      </c>
      <c r="X15">
        <v>1.50784644683741</v>
      </c>
      <c r="Y15">
        <v>1.47081142931424</v>
      </c>
      <c r="Z15">
        <v>71.627061681949499</v>
      </c>
      <c r="AA15">
        <v>77.755462213057001</v>
      </c>
      <c r="AB15">
        <v>79.111052801206299</v>
      </c>
      <c r="AC15">
        <v>7.8808181190405104</v>
      </c>
      <c r="AD15">
        <v>15.854513245042099</v>
      </c>
      <c r="AE15">
        <v>33.791160499569301</v>
      </c>
      <c r="AF15">
        <v>1.5405599999999999</v>
      </c>
      <c r="AG15">
        <v>1.54193</v>
      </c>
      <c r="AH15">
        <v>1.5188299999999999</v>
      </c>
      <c r="AI15">
        <v>1.5405599999999999</v>
      </c>
    </row>
    <row r="16" spans="1:35">
      <c r="A16" t="s">
        <v>1</v>
      </c>
      <c r="B16">
        <v>1.4543999999999999</v>
      </c>
      <c r="C16">
        <v>1.4534400000000001</v>
      </c>
      <c r="D16">
        <v>1.4522999999999999</v>
      </c>
      <c r="E16">
        <v>1.4492700000000001</v>
      </c>
      <c r="F16">
        <v>1.4492700000000001</v>
      </c>
      <c r="G16">
        <v>1.4875799999999999</v>
      </c>
      <c r="H16">
        <v>1</v>
      </c>
      <c r="I16">
        <v>1</v>
      </c>
      <c r="J16">
        <v>1</v>
      </c>
      <c r="K16">
        <v>0</v>
      </c>
      <c r="L16">
        <v>1</v>
      </c>
      <c r="M16">
        <v>1</v>
      </c>
      <c r="N16">
        <v>1.4525756053457799</v>
      </c>
      <c r="O16">
        <v>1.4514964734815301</v>
      </c>
      <c r="P16">
        <v>1.4515034037580901</v>
      </c>
      <c r="Q16">
        <v>1.4513587211133001</v>
      </c>
      <c r="R16">
        <v>1.4523978095893499</v>
      </c>
      <c r="S16">
        <v>1.4594304431882199</v>
      </c>
      <c r="T16">
        <v>1.44653671595144</v>
      </c>
      <c r="U16">
        <v>1.4595365414906101</v>
      </c>
      <c r="V16">
        <v>1.4672969316747</v>
      </c>
      <c r="W16">
        <v>1.4469947202801201</v>
      </c>
      <c r="X16">
        <v>1.43268672100675</v>
      </c>
      <c r="Y16">
        <v>1.4207088151735801</v>
      </c>
      <c r="Z16">
        <v>98.764472740622494</v>
      </c>
      <c r="AA16">
        <v>92.624974871267497</v>
      </c>
      <c r="AB16">
        <v>74.787592127173497</v>
      </c>
      <c r="AC16">
        <v>16.1047656405057</v>
      </c>
      <c r="AD16">
        <v>2.60691684116343</v>
      </c>
      <c r="AE16">
        <v>97.7019303031974</v>
      </c>
      <c r="AF16">
        <v>1.45373</v>
      </c>
      <c r="AG16">
        <v>1.4581999999999999</v>
      </c>
      <c r="AH16">
        <v>1.44425</v>
      </c>
      <c r="AI16">
        <v>1.45373</v>
      </c>
    </row>
    <row r="17" spans="1:35">
      <c r="A17" t="s">
        <v>2</v>
      </c>
      <c r="B17">
        <v>1.0860000000000001</v>
      </c>
      <c r="C17">
        <v>1.08629</v>
      </c>
      <c r="D17">
        <v>1.08622</v>
      </c>
      <c r="E17">
        <v>1.08586</v>
      </c>
      <c r="F17">
        <v>1.07751</v>
      </c>
      <c r="G17">
        <v>1.0873699999999999</v>
      </c>
      <c r="H17">
        <v>0</v>
      </c>
      <c r="I17">
        <v>1</v>
      </c>
      <c r="J17">
        <v>1</v>
      </c>
      <c r="K17">
        <v>0</v>
      </c>
      <c r="L17">
        <v>1</v>
      </c>
      <c r="M17">
        <v>1</v>
      </c>
      <c r="N17">
        <v>1.0855265891108099</v>
      </c>
      <c r="O17">
        <v>1.0835930171174699</v>
      </c>
      <c r="P17">
        <v>1.0841182696498699</v>
      </c>
      <c r="Q17">
        <v>1.08181485715879</v>
      </c>
      <c r="R17">
        <v>1.08148362651228</v>
      </c>
      <c r="S17">
        <v>1.0819182210640299</v>
      </c>
      <c r="T17">
        <v>1.0859575449372301</v>
      </c>
      <c r="U17">
        <v>1.08657270488391</v>
      </c>
      <c r="V17">
        <v>1.08327063899747</v>
      </c>
      <c r="W17">
        <v>1.0755768189073101</v>
      </c>
      <c r="X17">
        <v>1.0652228472733101</v>
      </c>
      <c r="Y17">
        <v>1.06287260961429</v>
      </c>
      <c r="Z17">
        <v>28.9624071828515</v>
      </c>
      <c r="AA17">
        <v>97.012432482050599</v>
      </c>
      <c r="AB17">
        <v>98.566134291359305</v>
      </c>
      <c r="AC17">
        <v>31.230461220202901</v>
      </c>
      <c r="AD17">
        <v>7.8017485442553101</v>
      </c>
      <c r="AE17">
        <v>95.8419898430286</v>
      </c>
      <c r="AF17">
        <v>1.0860700000000001</v>
      </c>
      <c r="AG17">
        <v>1.08752</v>
      </c>
      <c r="AH17">
        <v>1.0843700000000001</v>
      </c>
      <c r="AI17">
        <v>1.0860700000000001</v>
      </c>
    </row>
    <row r="18" spans="1:35">
      <c r="A18" t="s">
        <v>3</v>
      </c>
      <c r="B18">
        <v>0.71967000000000003</v>
      </c>
      <c r="C18">
        <v>0.71948000000000001</v>
      </c>
      <c r="D18">
        <v>0.71935000000000004</v>
      </c>
      <c r="E18">
        <v>0.71089000000000002</v>
      </c>
      <c r="F18">
        <v>0.71884999999999999</v>
      </c>
      <c r="G18">
        <v>0.73877000000000004</v>
      </c>
      <c r="H18">
        <v>1</v>
      </c>
      <c r="I18">
        <v>0</v>
      </c>
      <c r="J18">
        <v>0</v>
      </c>
      <c r="K18">
        <v>0</v>
      </c>
      <c r="L18">
        <v>0</v>
      </c>
      <c r="M18">
        <v>1</v>
      </c>
      <c r="N18">
        <v>0.71933804792193801</v>
      </c>
      <c r="O18">
        <v>0.719197266999825</v>
      </c>
      <c r="P18">
        <v>0.71920003775514396</v>
      </c>
      <c r="Q18">
        <v>0.71934983340194303</v>
      </c>
      <c r="R18">
        <v>0.71981055505922997</v>
      </c>
      <c r="S18">
        <v>0.72379602505599006</v>
      </c>
      <c r="T18">
        <v>0.71731545722124301</v>
      </c>
      <c r="U18">
        <v>0.72465317235775795</v>
      </c>
      <c r="V18">
        <v>0.72958595146272198</v>
      </c>
      <c r="W18">
        <v>0.726523961141471</v>
      </c>
      <c r="X18">
        <v>0.72389681671154404</v>
      </c>
      <c r="Y18">
        <v>0.72363906115823495</v>
      </c>
      <c r="Z18">
        <v>83.922607598054398</v>
      </c>
      <c r="AA18">
        <v>82.964770527400205</v>
      </c>
      <c r="AB18">
        <v>62.955321706954798</v>
      </c>
      <c r="AC18">
        <v>11.640716592465999</v>
      </c>
      <c r="AD18">
        <v>8.8759506238776495</v>
      </c>
      <c r="AE18">
        <v>86.613015926559498</v>
      </c>
      <c r="AF18">
        <v>0.71431</v>
      </c>
      <c r="AG18">
        <v>0.71472999999999998</v>
      </c>
      <c r="AH18">
        <v>0.70994000000000002</v>
      </c>
      <c r="AI18">
        <v>0.71431</v>
      </c>
    </row>
    <row r="19" spans="1:35">
      <c r="A19" t="s">
        <v>4</v>
      </c>
      <c r="B19">
        <v>133.702</v>
      </c>
      <c r="C19">
        <v>132.38300000000001</v>
      </c>
      <c r="D19">
        <v>133.72999999999999</v>
      </c>
      <c r="E19">
        <v>132.72800000000001</v>
      </c>
      <c r="F19">
        <v>133.68899999999999</v>
      </c>
      <c r="G19">
        <v>133.97300000000001</v>
      </c>
      <c r="H19">
        <v>1</v>
      </c>
      <c r="I19">
        <v>1</v>
      </c>
      <c r="J19">
        <v>1</v>
      </c>
      <c r="K19">
        <v>0</v>
      </c>
      <c r="L19">
        <v>0</v>
      </c>
      <c r="M19">
        <v>0</v>
      </c>
      <c r="N19">
        <v>133.66401472494101</v>
      </c>
      <c r="O19">
        <v>133.58636787832199</v>
      </c>
      <c r="P19">
        <v>132.522989131439</v>
      </c>
      <c r="Q19">
        <v>132.629036048274</v>
      </c>
      <c r="R19">
        <v>133.69069202895199</v>
      </c>
      <c r="S19">
        <v>134.28704703765999</v>
      </c>
      <c r="T19">
        <v>133.23927409514801</v>
      </c>
      <c r="U19">
        <v>134.10697638388299</v>
      </c>
      <c r="V19">
        <v>135.189542596672</v>
      </c>
      <c r="W19">
        <v>135.42240801990701</v>
      </c>
      <c r="X19">
        <v>135.51906867611299</v>
      </c>
      <c r="Y19">
        <v>134.980926599632</v>
      </c>
      <c r="Z19">
        <v>39.838148523982397</v>
      </c>
      <c r="AA19">
        <v>0.77334371735229002</v>
      </c>
      <c r="AB19">
        <v>73.941064499542506</v>
      </c>
      <c r="AC19">
        <v>36.713999975766498</v>
      </c>
      <c r="AD19">
        <v>19.356934961777501</v>
      </c>
      <c r="AE19">
        <v>13.542557515684001</v>
      </c>
      <c r="AF19">
        <v>132.99299999999999</v>
      </c>
      <c r="AG19">
        <v>133.114</v>
      </c>
      <c r="AH19">
        <v>132.53299999999999</v>
      </c>
      <c r="AI19">
        <v>132.99299999999999</v>
      </c>
    </row>
    <row r="20" spans="1:35">
      <c r="A20" t="s">
        <v>5</v>
      </c>
      <c r="B20">
        <v>1.6276600000000001</v>
      </c>
      <c r="C20">
        <v>1.6267799999999999</v>
      </c>
      <c r="D20">
        <v>1.6286</v>
      </c>
      <c r="E20">
        <v>1.6447000000000001</v>
      </c>
      <c r="F20">
        <v>1.631</v>
      </c>
      <c r="G20">
        <v>1.74613</v>
      </c>
      <c r="H20">
        <v>1</v>
      </c>
      <c r="I20">
        <v>0</v>
      </c>
      <c r="J20">
        <v>0</v>
      </c>
      <c r="K20">
        <v>1</v>
      </c>
      <c r="L20">
        <v>0</v>
      </c>
      <c r="M20">
        <v>0</v>
      </c>
      <c r="N20">
        <v>1.6273404763597299</v>
      </c>
      <c r="O20">
        <v>1.62753651358305</v>
      </c>
      <c r="P20">
        <v>1.6273976451046701</v>
      </c>
      <c r="Q20">
        <v>1.62851378444712</v>
      </c>
      <c r="R20">
        <v>1.6306648163450701</v>
      </c>
      <c r="S20">
        <v>1.6431133293273099</v>
      </c>
      <c r="T20">
        <v>1.6420373324483799</v>
      </c>
      <c r="U20">
        <v>1.6663895491135301</v>
      </c>
      <c r="V20">
        <v>1.6956607413426901</v>
      </c>
      <c r="W20">
        <v>1.6703878212090699</v>
      </c>
      <c r="X20">
        <v>1.6331781657209099</v>
      </c>
      <c r="Y20">
        <v>1.5538706440011201</v>
      </c>
      <c r="Z20">
        <v>61.9577221551585</v>
      </c>
      <c r="AA20">
        <v>34.599185989254302</v>
      </c>
      <c r="AB20">
        <v>57.203818217942803</v>
      </c>
      <c r="AC20">
        <v>78.468971575720602</v>
      </c>
      <c r="AD20">
        <v>1.2729357501196801</v>
      </c>
      <c r="AE20">
        <v>77.979577419561906</v>
      </c>
      <c r="AF20">
        <v>1.6324799999999999</v>
      </c>
      <c r="AG20">
        <v>1.6475900000000001</v>
      </c>
      <c r="AH20">
        <v>1.62391</v>
      </c>
      <c r="AI20">
        <v>1.6324799999999999</v>
      </c>
    </row>
    <row r="21" spans="1:35">
      <c r="A21" t="s">
        <v>6</v>
      </c>
      <c r="B21">
        <v>1.0925100000000001</v>
      </c>
      <c r="C21">
        <v>1.1044</v>
      </c>
      <c r="D21">
        <v>1.1052599999999999</v>
      </c>
      <c r="E21">
        <v>1.0962000000000001</v>
      </c>
      <c r="F21">
        <v>1.1006499999999999</v>
      </c>
      <c r="G21">
        <v>1.117</v>
      </c>
      <c r="H21">
        <v>0</v>
      </c>
      <c r="I21">
        <v>0</v>
      </c>
      <c r="J21">
        <v>1</v>
      </c>
      <c r="K21">
        <v>0</v>
      </c>
      <c r="L21">
        <v>0</v>
      </c>
      <c r="M21">
        <v>1</v>
      </c>
      <c r="N21">
        <v>1.1019452878945699</v>
      </c>
      <c r="O21">
        <v>1.10300113340596</v>
      </c>
      <c r="P21">
        <v>1.1042035539542301</v>
      </c>
      <c r="Q21">
        <v>1.10406971011656</v>
      </c>
      <c r="R21">
        <v>1.10519921210952</v>
      </c>
      <c r="S21">
        <v>1.11337249708537</v>
      </c>
      <c r="T21">
        <v>1.1035961911933001</v>
      </c>
      <c r="U21">
        <v>1.1134991290584599</v>
      </c>
      <c r="V21">
        <v>1.12058705115691</v>
      </c>
      <c r="W21">
        <v>1.1191544001156499</v>
      </c>
      <c r="X21">
        <v>1.12862357547727</v>
      </c>
      <c r="Y21">
        <v>1.19550719048516</v>
      </c>
      <c r="Z21">
        <v>58.938002301946902</v>
      </c>
      <c r="AA21">
        <v>28.400798925783</v>
      </c>
      <c r="AB21">
        <v>85.483981659932695</v>
      </c>
      <c r="AC21">
        <v>22.386937081819799</v>
      </c>
      <c r="AD21">
        <v>11.009407241919501</v>
      </c>
      <c r="AE21">
        <v>59.177830226077297</v>
      </c>
      <c r="AF21">
        <v>1.1014900000000001</v>
      </c>
      <c r="AG21">
        <v>1.1029500000000001</v>
      </c>
      <c r="AH21">
        <v>1.09352</v>
      </c>
      <c r="AI21">
        <v>1.1014900000000001</v>
      </c>
    </row>
    <row r="22" spans="1:35">
      <c r="A22" t="s">
        <v>23</v>
      </c>
      <c r="B22">
        <v>2.1173600000000001</v>
      </c>
      <c r="C22">
        <v>2.14425</v>
      </c>
      <c r="D22">
        <v>2.1182699999999999</v>
      </c>
      <c r="E22">
        <v>2.14527</v>
      </c>
      <c r="F22">
        <v>2.1226600000000002</v>
      </c>
      <c r="G22">
        <v>2.15476</v>
      </c>
      <c r="H22">
        <v>0</v>
      </c>
      <c r="I22">
        <v>0</v>
      </c>
      <c r="J22">
        <v>1</v>
      </c>
      <c r="K22">
        <v>0</v>
      </c>
      <c r="L22">
        <v>1</v>
      </c>
      <c r="M22">
        <v>1</v>
      </c>
      <c r="N22">
        <v>2.1170309533049201</v>
      </c>
      <c r="O22">
        <v>2.1160661065893001</v>
      </c>
      <c r="P22">
        <v>2.1427044767063901</v>
      </c>
      <c r="Q22">
        <v>2.1434624122460302</v>
      </c>
      <c r="R22">
        <v>2.11880255446389</v>
      </c>
      <c r="S22">
        <v>2.12373071124268</v>
      </c>
      <c r="T22">
        <v>2.14682844795386</v>
      </c>
      <c r="U22">
        <v>2.13983157870689</v>
      </c>
      <c r="V22">
        <v>2.1313285071717698</v>
      </c>
      <c r="W22">
        <v>2.1008280813275002</v>
      </c>
      <c r="X22">
        <v>2.05774641595315</v>
      </c>
      <c r="Y22">
        <v>1.9347259542856201</v>
      </c>
      <c r="Z22">
        <v>44.299993273649797</v>
      </c>
      <c r="AA22">
        <v>54.859578992905803</v>
      </c>
      <c r="AB22">
        <v>78.682672807279701</v>
      </c>
      <c r="AC22">
        <v>19.513440835405401</v>
      </c>
      <c r="AD22">
        <v>45.452509442147701</v>
      </c>
      <c r="AE22">
        <v>94.986348245683999</v>
      </c>
      <c r="AF22">
        <v>2.1567500000000002</v>
      </c>
      <c r="AG22">
        <v>2.1636500000000001</v>
      </c>
      <c r="AH22">
        <v>2.1375799999999998</v>
      </c>
      <c r="AI22">
        <v>2.1567500000000002</v>
      </c>
    </row>
    <row r="23" spans="1:35">
      <c r="A23" t="s">
        <v>19</v>
      </c>
      <c r="B23">
        <v>2.0208400000000002</v>
      </c>
      <c r="C23">
        <v>2.0139300000000002</v>
      </c>
      <c r="D23">
        <v>2.0186799999999998</v>
      </c>
      <c r="E23">
        <v>2.0131000000000001</v>
      </c>
      <c r="F23">
        <v>2.0151500000000002</v>
      </c>
      <c r="G23">
        <v>2.01335</v>
      </c>
      <c r="H23">
        <v>1</v>
      </c>
      <c r="I23">
        <v>0</v>
      </c>
      <c r="J23">
        <v>1</v>
      </c>
      <c r="K23">
        <v>0</v>
      </c>
      <c r="L23">
        <v>1</v>
      </c>
      <c r="M23">
        <v>1</v>
      </c>
      <c r="N23">
        <v>2.0191083136430499</v>
      </c>
      <c r="O23">
        <v>2.0179810118057602</v>
      </c>
      <c r="P23">
        <v>2.01446150857721</v>
      </c>
      <c r="Q23">
        <v>2.0148973609471299</v>
      </c>
      <c r="R23">
        <v>2.0174348912153501</v>
      </c>
      <c r="S23">
        <v>2.0160470434284998</v>
      </c>
      <c r="T23">
        <v>2.0158627321100502</v>
      </c>
      <c r="U23">
        <v>2.0134451621143299</v>
      </c>
      <c r="V23">
        <v>2.0101387920345699</v>
      </c>
      <c r="W23">
        <v>1.99120486994551</v>
      </c>
      <c r="X23">
        <v>1.9721615325292701</v>
      </c>
      <c r="Y23">
        <v>1.94547873049146</v>
      </c>
      <c r="Z23">
        <v>82.509974927190797</v>
      </c>
      <c r="AA23">
        <v>22.737602565851201</v>
      </c>
      <c r="AB23">
        <v>83.963819934358995</v>
      </c>
      <c r="AC23">
        <v>22.6341086713925</v>
      </c>
      <c r="AD23">
        <v>76.507669816009397</v>
      </c>
      <c r="AE23">
        <v>62.700753851195998</v>
      </c>
      <c r="AF23">
        <v>2.0182799999999999</v>
      </c>
      <c r="AG23">
        <v>2.0232199999999998</v>
      </c>
      <c r="AH23">
        <v>2.0104299999999999</v>
      </c>
      <c r="AI23">
        <v>2.0182799999999999</v>
      </c>
    </row>
    <row r="24" spans="1:35">
      <c r="A24" t="s">
        <v>20</v>
      </c>
      <c r="B24">
        <v>1.50898</v>
      </c>
      <c r="C24">
        <v>1.5097100000000001</v>
      </c>
      <c r="D24">
        <v>1.5098400000000001</v>
      </c>
      <c r="E24">
        <v>1.5277799999999999</v>
      </c>
      <c r="F24">
        <v>1.4984200000000001</v>
      </c>
      <c r="G24">
        <v>1.4719199999999999</v>
      </c>
      <c r="H24">
        <v>0</v>
      </c>
      <c r="I24">
        <v>1</v>
      </c>
      <c r="J24">
        <v>1</v>
      </c>
      <c r="K24">
        <v>1</v>
      </c>
      <c r="L24">
        <v>1</v>
      </c>
      <c r="M24">
        <v>1</v>
      </c>
      <c r="N24">
        <v>1.5089469868813199</v>
      </c>
      <c r="O24">
        <v>1.50655643150856</v>
      </c>
      <c r="P24">
        <v>1.5072730729530599</v>
      </c>
      <c r="Q24">
        <v>1.50376016060331</v>
      </c>
      <c r="R24">
        <v>1.5023237582353499</v>
      </c>
      <c r="S24">
        <v>1.4947353001861301</v>
      </c>
      <c r="T24">
        <v>1.5138278849048801</v>
      </c>
      <c r="U24">
        <v>1.49938870146027</v>
      </c>
      <c r="V24">
        <v>1.4842862273820201</v>
      </c>
      <c r="W24">
        <v>1.4798733823658301</v>
      </c>
      <c r="X24">
        <v>1.47150559920208</v>
      </c>
      <c r="Y24">
        <v>1.4685035545754599</v>
      </c>
      <c r="Z24">
        <v>21.337680486679599</v>
      </c>
      <c r="AA24">
        <v>83.040490465881803</v>
      </c>
      <c r="AB24">
        <v>96.808206565982005</v>
      </c>
      <c r="AC24">
        <v>83.935328846103005</v>
      </c>
      <c r="AD24">
        <v>89.090842100965503</v>
      </c>
      <c r="AE24">
        <v>36.406623002999197</v>
      </c>
      <c r="AF24">
        <v>1.5202100000000001</v>
      </c>
      <c r="AG24">
        <v>1.52932</v>
      </c>
      <c r="AH24">
        <v>1.5195000000000001</v>
      </c>
      <c r="AI24">
        <v>1.5202100000000001</v>
      </c>
    </row>
    <row r="25" spans="1:35">
      <c r="A25" t="s">
        <v>11</v>
      </c>
      <c r="B25">
        <v>185.773</v>
      </c>
      <c r="C25">
        <v>185.797</v>
      </c>
      <c r="D25">
        <v>185.87799999999999</v>
      </c>
      <c r="E25">
        <v>186.67699999999999</v>
      </c>
      <c r="F25">
        <v>185.935</v>
      </c>
      <c r="G25">
        <v>181.31700000000001</v>
      </c>
      <c r="H25">
        <v>0</v>
      </c>
      <c r="I25">
        <v>1</v>
      </c>
      <c r="J25">
        <v>1</v>
      </c>
      <c r="K25">
        <v>1</v>
      </c>
      <c r="L25">
        <v>1</v>
      </c>
      <c r="M25">
        <v>0</v>
      </c>
      <c r="N25">
        <v>185.793500688096</v>
      </c>
      <c r="O25">
        <v>185.72091982469701</v>
      </c>
      <c r="P25">
        <v>185.732690203667</v>
      </c>
      <c r="Q25">
        <v>185.70330072422399</v>
      </c>
      <c r="R25">
        <v>185.70722800340101</v>
      </c>
      <c r="S25">
        <v>185.50874240940701</v>
      </c>
      <c r="T25">
        <v>185.70069813451599</v>
      </c>
      <c r="U25">
        <v>185.024693908496</v>
      </c>
      <c r="V25">
        <v>185.285059932873</v>
      </c>
      <c r="W25">
        <v>186.40958184985101</v>
      </c>
      <c r="X25">
        <v>185.29568380615501</v>
      </c>
      <c r="Y25">
        <v>178.03021141595499</v>
      </c>
      <c r="Z25">
        <v>18.198375818733599</v>
      </c>
      <c r="AA25">
        <v>48.062559970514798</v>
      </c>
      <c r="AB25">
        <v>68.197487481769201</v>
      </c>
      <c r="AC25">
        <v>94.479088055662203</v>
      </c>
      <c r="AD25">
        <v>85.728477353018604</v>
      </c>
      <c r="AE25">
        <v>12.7608614961288</v>
      </c>
      <c r="AF25">
        <v>186.13300000000001</v>
      </c>
      <c r="AG25">
        <v>186.876</v>
      </c>
      <c r="AH25">
        <v>185.86099999999999</v>
      </c>
      <c r="AI25">
        <v>186.13300000000001</v>
      </c>
    </row>
    <row r="26" spans="1:35">
      <c r="A26" t="s">
        <v>18</v>
      </c>
      <c r="B26">
        <v>2.26159</v>
      </c>
      <c r="C26">
        <v>2.3206500000000001</v>
      </c>
      <c r="D26">
        <v>2.31847</v>
      </c>
      <c r="E26">
        <v>2.3123100000000001</v>
      </c>
      <c r="F26">
        <v>2.2678199999999999</v>
      </c>
      <c r="G26">
        <v>2.36354</v>
      </c>
      <c r="H26">
        <v>0</v>
      </c>
      <c r="I26">
        <v>0</v>
      </c>
      <c r="J26">
        <v>0</v>
      </c>
      <c r="K26">
        <v>1</v>
      </c>
      <c r="L26">
        <v>1</v>
      </c>
      <c r="M26">
        <v>0</v>
      </c>
      <c r="N26">
        <v>2.27462512117124</v>
      </c>
      <c r="O26">
        <v>2.2678409526076</v>
      </c>
      <c r="P26">
        <v>2.3191179924057201</v>
      </c>
      <c r="Q26">
        <v>2.3126224544183902</v>
      </c>
      <c r="R26">
        <v>2.27694055953455</v>
      </c>
      <c r="S26">
        <v>2.2741448113042799</v>
      </c>
      <c r="T26">
        <v>2.28809357855615</v>
      </c>
      <c r="U26">
        <v>2.2984831709799698</v>
      </c>
      <c r="V26">
        <v>2.3219133841752302</v>
      </c>
      <c r="W26">
        <v>2.3006937052802199</v>
      </c>
      <c r="X26">
        <v>2.2693611014083901</v>
      </c>
      <c r="Y26">
        <v>2.1624650847314699</v>
      </c>
      <c r="Z26">
        <v>31.306251370346398</v>
      </c>
      <c r="AA26">
        <v>40.483766448939797</v>
      </c>
      <c r="AB26">
        <v>31.984907879984899</v>
      </c>
      <c r="AC26">
        <v>90.634965311996595</v>
      </c>
      <c r="AD26">
        <v>4.9057548805109397</v>
      </c>
      <c r="AE26">
        <v>21.069550302713601</v>
      </c>
      <c r="AF26">
        <v>2.2838099999999999</v>
      </c>
      <c r="AG26">
        <v>2.3170099999999998</v>
      </c>
      <c r="AH26">
        <v>2.2732100000000002</v>
      </c>
      <c r="AI26">
        <v>2.2838099999999999</v>
      </c>
    </row>
    <row r="27" spans="1:35">
      <c r="A27" t="s">
        <v>13</v>
      </c>
      <c r="B27">
        <v>1.5351300000000001</v>
      </c>
      <c r="C27">
        <v>1.53488</v>
      </c>
      <c r="D27">
        <v>1.5363500000000001</v>
      </c>
      <c r="E27">
        <v>1.5419799999999999</v>
      </c>
      <c r="F27">
        <v>1.54095</v>
      </c>
      <c r="G27">
        <v>1.51207</v>
      </c>
      <c r="H27">
        <v>0</v>
      </c>
      <c r="I27">
        <v>0</v>
      </c>
      <c r="J27">
        <v>0</v>
      </c>
      <c r="K27">
        <v>0</v>
      </c>
      <c r="L27">
        <v>1</v>
      </c>
      <c r="M27">
        <v>1</v>
      </c>
      <c r="N27">
        <v>1.5367223619485599</v>
      </c>
      <c r="O27">
        <v>1.5355229593981199</v>
      </c>
      <c r="P27">
        <v>1.53645083733211</v>
      </c>
      <c r="Q27">
        <v>1.5352232318511001</v>
      </c>
      <c r="R27">
        <v>1.5365055626467901</v>
      </c>
      <c r="S27">
        <v>1.5382921557934699</v>
      </c>
      <c r="T27">
        <v>1.5381849051115799</v>
      </c>
      <c r="U27">
        <v>1.53626690370589</v>
      </c>
      <c r="V27">
        <v>1.53671178462696</v>
      </c>
      <c r="W27">
        <v>1.5400817275155001</v>
      </c>
      <c r="X27">
        <v>1.5416665653789601</v>
      </c>
      <c r="Y27">
        <v>1.56858866113914</v>
      </c>
      <c r="Z27">
        <v>25.838637939510299</v>
      </c>
      <c r="AA27">
        <v>22.9331161914197</v>
      </c>
      <c r="AB27">
        <v>47.2358247109999</v>
      </c>
      <c r="AC27">
        <v>80.4192176184837</v>
      </c>
      <c r="AD27">
        <v>53.271959276979203</v>
      </c>
      <c r="AE27">
        <v>15.5798607307909</v>
      </c>
      <c r="AF27">
        <v>1.5416000000000001</v>
      </c>
      <c r="AG27">
        <v>1.5444599999999999</v>
      </c>
      <c r="AH27">
        <v>1.5358799999999999</v>
      </c>
      <c r="AI27">
        <v>1.5416000000000001</v>
      </c>
    </row>
    <row r="28" spans="1:35">
      <c r="A28" t="s">
        <v>21</v>
      </c>
      <c r="B28">
        <v>0.89315999999999995</v>
      </c>
      <c r="C28">
        <v>0.86767000000000005</v>
      </c>
      <c r="D28">
        <v>0.89137</v>
      </c>
      <c r="E28">
        <v>0.87014000000000002</v>
      </c>
      <c r="F28">
        <v>0.88795000000000002</v>
      </c>
      <c r="G28">
        <v>0.85150999999999999</v>
      </c>
      <c r="H28">
        <v>1</v>
      </c>
      <c r="I28">
        <v>0</v>
      </c>
      <c r="J28">
        <v>1</v>
      </c>
      <c r="K28">
        <v>0</v>
      </c>
      <c r="L28">
        <v>1</v>
      </c>
      <c r="M28">
        <v>1</v>
      </c>
      <c r="N28">
        <v>0.88692183634420096</v>
      </c>
      <c r="O28">
        <v>0.88943121150872395</v>
      </c>
      <c r="P28">
        <v>0.86843283257201298</v>
      </c>
      <c r="Q28">
        <v>0.87103881774121095</v>
      </c>
      <c r="R28">
        <v>0.88542070957437902</v>
      </c>
      <c r="S28">
        <v>0.88615505344004297</v>
      </c>
      <c r="T28">
        <v>0.88039050825339205</v>
      </c>
      <c r="U28">
        <v>0.87558492326697301</v>
      </c>
      <c r="V28">
        <v>0.86548503368642304</v>
      </c>
      <c r="W28">
        <v>0.86652348916315103</v>
      </c>
      <c r="X28">
        <v>0.87471611921196002</v>
      </c>
      <c r="Y28">
        <v>0.90484970759615901</v>
      </c>
      <c r="Z28">
        <v>94.710305783638702</v>
      </c>
      <c r="AA28">
        <v>24.414801899755702</v>
      </c>
      <c r="AB28">
        <v>81.883842481526997</v>
      </c>
      <c r="AC28">
        <v>9.2839717856213699</v>
      </c>
      <c r="AD28">
        <v>97.734287216881597</v>
      </c>
      <c r="AE28">
        <v>81.962862170764694</v>
      </c>
      <c r="AF28">
        <v>0.88292999999999999</v>
      </c>
      <c r="AG28">
        <v>0.88673000000000002</v>
      </c>
      <c r="AH28">
        <v>0.86863000000000001</v>
      </c>
      <c r="AI28">
        <v>0.88292999999999999</v>
      </c>
    </row>
    <row r="29" spans="1:35">
      <c r="A29" t="s">
        <v>27</v>
      </c>
      <c r="B29">
        <v>0.66686000000000001</v>
      </c>
      <c r="C29">
        <v>0.66737999999999997</v>
      </c>
      <c r="D29">
        <v>0.66661999999999999</v>
      </c>
      <c r="E29">
        <v>0.65973000000000004</v>
      </c>
      <c r="F29">
        <v>0.66037000000000001</v>
      </c>
      <c r="G29">
        <v>0.62217</v>
      </c>
      <c r="H29">
        <v>1</v>
      </c>
      <c r="I29">
        <v>0</v>
      </c>
      <c r="J29">
        <v>1</v>
      </c>
      <c r="K29">
        <v>0</v>
      </c>
      <c r="L29">
        <v>1</v>
      </c>
      <c r="M29">
        <v>1</v>
      </c>
      <c r="N29">
        <v>0.66467728965257999</v>
      </c>
      <c r="O29">
        <v>0.66474677810815996</v>
      </c>
      <c r="P29">
        <v>0.66400123832128699</v>
      </c>
      <c r="Q29">
        <v>0.66339734107560899</v>
      </c>
      <c r="R29">
        <v>0.66290363024010601</v>
      </c>
      <c r="S29">
        <v>0.65820517371879705</v>
      </c>
      <c r="T29">
        <v>0.66072688998953499</v>
      </c>
      <c r="U29">
        <v>0.65173693925892395</v>
      </c>
      <c r="V29">
        <v>0.63825538759354905</v>
      </c>
      <c r="W29">
        <v>0.64433925878562104</v>
      </c>
      <c r="X29">
        <v>0.65465122030270295</v>
      </c>
      <c r="Y29">
        <v>0.68636169987783202</v>
      </c>
      <c r="Z29">
        <v>38.602598490332099</v>
      </c>
      <c r="AA29">
        <v>51.796882576625997</v>
      </c>
      <c r="AB29">
        <v>98.716943118893298</v>
      </c>
      <c r="AC29">
        <v>21.744723805444401</v>
      </c>
      <c r="AD29">
        <v>99.210454297837103</v>
      </c>
      <c r="AE29">
        <v>34.539070792846999</v>
      </c>
      <c r="AF29">
        <v>0.66478000000000004</v>
      </c>
      <c r="AG29">
        <v>0.66890000000000005</v>
      </c>
      <c r="AH29">
        <v>0.65898000000000001</v>
      </c>
      <c r="AI29">
        <v>0.66478000000000004</v>
      </c>
    </row>
    <row r="30" spans="1:35">
      <c r="A30" t="s">
        <v>10</v>
      </c>
      <c r="B30">
        <v>82.100999999999999</v>
      </c>
      <c r="C30">
        <v>80.477000000000004</v>
      </c>
      <c r="D30">
        <v>82.069999999999894</v>
      </c>
      <c r="E30">
        <v>80.662000000000006</v>
      </c>
      <c r="F30">
        <v>81.95</v>
      </c>
      <c r="G30">
        <v>76.677000000000007</v>
      </c>
      <c r="H30">
        <v>0</v>
      </c>
      <c r="I30">
        <v>0</v>
      </c>
      <c r="J30">
        <v>1</v>
      </c>
      <c r="K30">
        <v>0</v>
      </c>
      <c r="L30">
        <v>1</v>
      </c>
      <c r="M30">
        <v>0</v>
      </c>
      <c r="N30">
        <v>82.096709775720001</v>
      </c>
      <c r="O30">
        <v>82.041051223993193</v>
      </c>
      <c r="P30">
        <v>80.556287395257897</v>
      </c>
      <c r="Q30">
        <v>80.715553425783099</v>
      </c>
      <c r="R30">
        <v>81.947024359278402</v>
      </c>
      <c r="S30">
        <v>81.696201708980794</v>
      </c>
      <c r="T30">
        <v>81.082912224787705</v>
      </c>
      <c r="U30">
        <v>80.455344033658605</v>
      </c>
      <c r="V30">
        <v>79.894246334142693</v>
      </c>
      <c r="W30">
        <v>81.132297071449003</v>
      </c>
      <c r="X30">
        <v>82.091610260366593</v>
      </c>
      <c r="Y30">
        <v>83.5940294199725</v>
      </c>
      <c r="Z30">
        <v>54.523116687715103</v>
      </c>
      <c r="AA30">
        <v>33.450721145501497</v>
      </c>
      <c r="AB30">
        <v>81.092663723891803</v>
      </c>
      <c r="AC30">
        <v>15.9009335760172</v>
      </c>
      <c r="AD30">
        <v>98.190863650603106</v>
      </c>
      <c r="AE30">
        <v>74.791144916152007</v>
      </c>
      <c r="AF30">
        <v>81.424000000000007</v>
      </c>
      <c r="AG30">
        <v>81.849000000000004</v>
      </c>
      <c r="AH30">
        <v>80.533000000000001</v>
      </c>
      <c r="AI30">
        <v>81.424000000000007</v>
      </c>
    </row>
    <row r="31" spans="1:35">
      <c r="A31" t="s">
        <v>15</v>
      </c>
      <c r="B31">
        <v>0.67854000000000003</v>
      </c>
      <c r="C31">
        <v>0.67866000000000004</v>
      </c>
      <c r="D31">
        <v>0.6784</v>
      </c>
      <c r="E31">
        <v>0.66632999999999998</v>
      </c>
      <c r="F31">
        <v>0.67459000000000002</v>
      </c>
      <c r="G31">
        <v>0.63968999999999998</v>
      </c>
      <c r="H31">
        <v>0</v>
      </c>
      <c r="I31">
        <v>1</v>
      </c>
      <c r="J31">
        <v>1</v>
      </c>
      <c r="K31">
        <v>0</v>
      </c>
      <c r="L31">
        <v>0</v>
      </c>
      <c r="M31">
        <v>1</v>
      </c>
      <c r="N31">
        <v>0.67857839678918597</v>
      </c>
      <c r="O31">
        <v>0.67814779328420904</v>
      </c>
      <c r="P31">
        <v>0.67830561428077796</v>
      </c>
      <c r="Q31">
        <v>0.67775614190723599</v>
      </c>
      <c r="R31">
        <v>0.67755239331586703</v>
      </c>
      <c r="S31">
        <v>0.67739695654296805</v>
      </c>
      <c r="T31">
        <v>0.67167730598119102</v>
      </c>
      <c r="U31">
        <v>0.66803124537358105</v>
      </c>
      <c r="V31">
        <v>0.660682630012417</v>
      </c>
      <c r="W31">
        <v>0.67102197008248599</v>
      </c>
      <c r="X31">
        <v>0.68790158827053005</v>
      </c>
      <c r="Y31">
        <v>0.74314417769537999</v>
      </c>
      <c r="Z31">
        <v>30.983711266166701</v>
      </c>
      <c r="AA31">
        <v>53.726874656150102</v>
      </c>
      <c r="AB31">
        <v>72.873180773460007</v>
      </c>
      <c r="AC31">
        <v>18.780357134630499</v>
      </c>
      <c r="AD31">
        <v>68.722078472508002</v>
      </c>
      <c r="AE31">
        <v>21.121819131513401</v>
      </c>
      <c r="AF31">
        <v>0.67428999999999895</v>
      </c>
      <c r="AG31">
        <v>0.67784</v>
      </c>
      <c r="AH31">
        <v>0.66505000000000003</v>
      </c>
      <c r="AI31">
        <v>0.67428999999999895</v>
      </c>
    </row>
    <row r="32" spans="1:35">
      <c r="A32" t="s">
        <v>17</v>
      </c>
      <c r="B32">
        <v>1.3163400000000001</v>
      </c>
      <c r="C32">
        <v>1.30646</v>
      </c>
      <c r="D32">
        <v>1.31393</v>
      </c>
      <c r="E32">
        <v>1.3058000000000001</v>
      </c>
      <c r="F32">
        <v>1.3166199999999999</v>
      </c>
      <c r="G32">
        <v>1.33063</v>
      </c>
      <c r="H32">
        <v>1</v>
      </c>
      <c r="I32">
        <v>0</v>
      </c>
      <c r="J32">
        <v>0</v>
      </c>
      <c r="K32">
        <v>1</v>
      </c>
      <c r="L32">
        <v>1</v>
      </c>
      <c r="M32">
        <v>1</v>
      </c>
      <c r="N32">
        <v>1.31494433580961</v>
      </c>
      <c r="O32">
        <v>1.3146857626303301</v>
      </c>
      <c r="P32">
        <v>1.3063653255838099</v>
      </c>
      <c r="Q32">
        <v>1.3068327546324101</v>
      </c>
      <c r="R32">
        <v>1.3141494441669399</v>
      </c>
      <c r="S32">
        <v>1.3108746657646799</v>
      </c>
      <c r="T32">
        <v>1.3106901697250899</v>
      </c>
      <c r="U32">
        <v>1.31078611653846</v>
      </c>
      <c r="V32">
        <v>1.30961364774387</v>
      </c>
      <c r="W32">
        <v>1.29339706062868</v>
      </c>
      <c r="X32">
        <v>1.28451431713439</v>
      </c>
      <c r="Y32">
        <v>1.26521564654664</v>
      </c>
      <c r="Z32">
        <v>97.813449789936499</v>
      </c>
      <c r="AA32">
        <v>34.5521304570198</v>
      </c>
      <c r="AB32">
        <v>30.809718857825398</v>
      </c>
      <c r="AC32">
        <v>13.9851975731192</v>
      </c>
      <c r="AD32">
        <v>73.670373277308201</v>
      </c>
      <c r="AE32">
        <v>90.678951879515097</v>
      </c>
      <c r="AF32">
        <v>1.3092600000000001</v>
      </c>
      <c r="AG32">
        <v>1.3164400000000001</v>
      </c>
      <c r="AH32">
        <v>1.30369</v>
      </c>
      <c r="AI32">
        <v>1.3092600000000001</v>
      </c>
    </row>
    <row r="33" spans="1:35">
      <c r="A33" t="s">
        <v>16</v>
      </c>
      <c r="B33">
        <v>0.9829</v>
      </c>
      <c r="C33">
        <v>0.99016999999999999</v>
      </c>
      <c r="D33">
        <v>0.98272000000000004</v>
      </c>
      <c r="E33">
        <v>0.99056</v>
      </c>
      <c r="F33">
        <v>0.97882999999999998</v>
      </c>
      <c r="G33">
        <v>0.97294999999999998</v>
      </c>
      <c r="H33">
        <v>0</v>
      </c>
      <c r="I33">
        <v>0</v>
      </c>
      <c r="J33">
        <v>0</v>
      </c>
      <c r="K33">
        <v>1</v>
      </c>
      <c r="L33">
        <v>1</v>
      </c>
      <c r="M33">
        <v>1</v>
      </c>
      <c r="N33">
        <v>0.98264919449897503</v>
      </c>
      <c r="O33">
        <v>0.98142850598323705</v>
      </c>
      <c r="P33">
        <v>0.99126453305726203</v>
      </c>
      <c r="Q33">
        <v>0.99083017384247596</v>
      </c>
      <c r="R33">
        <v>0.97850143533289902</v>
      </c>
      <c r="S33">
        <v>0.97181520702282798</v>
      </c>
      <c r="T33">
        <v>0.98408488633321101</v>
      </c>
      <c r="U33">
        <v>0.97596145199930295</v>
      </c>
      <c r="V33">
        <v>0.96689386828467205</v>
      </c>
      <c r="W33">
        <v>0.96122480806425703</v>
      </c>
      <c r="X33">
        <v>0.95693539217672197</v>
      </c>
      <c r="Y33">
        <v>0.94345610970743998</v>
      </c>
      <c r="Z33">
        <v>31.956141969333299</v>
      </c>
      <c r="AA33">
        <v>10.545675145386801</v>
      </c>
      <c r="AB33">
        <v>93.244234381151102</v>
      </c>
      <c r="AC33">
        <v>75.369138909524494</v>
      </c>
      <c r="AD33">
        <v>77.7408983998683</v>
      </c>
      <c r="AE33">
        <v>88.780304163625203</v>
      </c>
      <c r="AF33">
        <v>0.9859</v>
      </c>
      <c r="AG33">
        <v>0.99243000000000003</v>
      </c>
      <c r="AH33">
        <v>0.98431999999999997</v>
      </c>
      <c r="AI33">
        <v>0.9859</v>
      </c>
    </row>
    <row r="34" spans="1:35">
      <c r="A34" t="s">
        <v>9</v>
      </c>
      <c r="B34">
        <v>121.009</v>
      </c>
      <c r="C34">
        <v>121.19</v>
      </c>
      <c r="D34">
        <v>120.986</v>
      </c>
      <c r="E34">
        <v>121.053</v>
      </c>
      <c r="F34">
        <v>121.461</v>
      </c>
      <c r="G34">
        <v>119.815</v>
      </c>
      <c r="H34">
        <v>0</v>
      </c>
      <c r="I34">
        <v>0</v>
      </c>
      <c r="J34">
        <v>1</v>
      </c>
      <c r="K34">
        <v>1</v>
      </c>
      <c r="L34">
        <v>1</v>
      </c>
      <c r="M34">
        <v>0</v>
      </c>
      <c r="N34">
        <v>120.993172771038</v>
      </c>
      <c r="O34">
        <v>120.987765512343</v>
      </c>
      <c r="P34">
        <v>121.19160753596201</v>
      </c>
      <c r="Q34">
        <v>121.110039297065</v>
      </c>
      <c r="R34">
        <v>120.959409767197</v>
      </c>
      <c r="S34">
        <v>120.61267855469799</v>
      </c>
      <c r="T34">
        <v>120.721616514676</v>
      </c>
      <c r="U34">
        <v>120.432460909746</v>
      </c>
      <c r="V34">
        <v>120.64655360920899</v>
      </c>
      <c r="W34">
        <v>121.02994634841301</v>
      </c>
      <c r="X34">
        <v>120.222607903914</v>
      </c>
      <c r="Y34">
        <v>113.724160598669</v>
      </c>
      <c r="Z34">
        <v>35.241547525600701</v>
      </c>
      <c r="AA34">
        <v>35.649569727746297</v>
      </c>
      <c r="AB34">
        <v>52.657259008738301</v>
      </c>
      <c r="AC34">
        <v>75.192622564720807</v>
      </c>
      <c r="AD34">
        <v>80.028663961851706</v>
      </c>
      <c r="AE34">
        <v>18.829071794010598</v>
      </c>
      <c r="AF34">
        <v>120.742</v>
      </c>
      <c r="AG34">
        <v>121.226</v>
      </c>
      <c r="AH34">
        <v>120.59099999999999</v>
      </c>
      <c r="AI34">
        <v>120.742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3"/>
  <dimension ref="A1:P30"/>
  <sheetViews>
    <sheetView workbookViewId="0">
      <selection activeCell="B4" sqref="B4"/>
    </sheetView>
  </sheetViews>
  <sheetFormatPr defaultColWidth="9.140625" defaultRowHeight="15"/>
  <cols>
    <col min="2" max="2" width="11.42578125" customWidth="1"/>
    <col min="11" max="11" width="12.28515625" bestFit="1" customWidth="1"/>
  </cols>
  <sheetData>
    <row r="1" spans="1:16">
      <c r="L1" s="308" t="s">
        <v>181</v>
      </c>
      <c r="M1" s="308"/>
    </row>
    <row r="2" spans="1:16">
      <c r="A2" t="s">
        <v>160</v>
      </c>
      <c r="B2" t="s">
        <v>40</v>
      </c>
      <c r="C2" t="s">
        <v>161</v>
      </c>
      <c r="D2" t="s">
        <v>162</v>
      </c>
      <c r="E2" t="s">
        <v>163</v>
      </c>
      <c r="F2" t="s">
        <v>164</v>
      </c>
      <c r="G2" t="s">
        <v>165</v>
      </c>
      <c r="H2" t="s">
        <v>166</v>
      </c>
      <c r="K2" s="315" t="s">
        <v>167</v>
      </c>
      <c r="L2" s="315" t="s">
        <v>168</v>
      </c>
      <c r="M2" s="315" t="s">
        <v>169</v>
      </c>
      <c r="N2" s="315" t="s">
        <v>170</v>
      </c>
      <c r="O2" s="315" t="s">
        <v>171</v>
      </c>
      <c r="P2" s="315" t="s">
        <v>172</v>
      </c>
    </row>
    <row r="3" spans="1:16">
      <c r="A3" s="291" t="s">
        <v>24</v>
      </c>
      <c r="B3" s="310">
        <f t="shared" ref="B3:B30" si="0">IF(A3="","",HLOOKUP(A3,pArray,4,FALSE))</f>
        <v>0.98753000000000002</v>
      </c>
      <c r="C3">
        <f t="shared" ref="C3:C30" si="1">IF(A3="","",VLOOKUP(A3,arrayHeatMap,2,FALSE))</f>
        <v>0.95423999999999998</v>
      </c>
      <c r="D3">
        <f t="shared" ref="D3:D30" si="2">IF(A3="","",VLOOKUP(A3,arrayHeatMap,3,FALSE))</f>
        <v>0.95401000000000002</v>
      </c>
      <c r="E3">
        <f t="shared" ref="E3:E30" si="3">IF(A3="","",VLOOKUP(A3,arrayHeatMap,4,FALSE))</f>
        <v>0.95286999999999999</v>
      </c>
      <c r="F3">
        <f t="shared" ref="F3:F30" si="4">IF(A3="","",VLOOKUP(A3,arrayHeatMap,5,FALSE))</f>
        <v>0.94906000000000001</v>
      </c>
      <c r="G3">
        <f t="shared" ref="G3:G30" si="5">IF(A3="","",VLOOKUP(A3,arrayHeatMap,6,FALSE))</f>
        <v>0.94906000000000001</v>
      </c>
      <c r="H3">
        <f t="shared" ref="H3:H30" si="6">IF(A3="","",VLOOKUP(A3,arrayHeatMap,7,FALSE))</f>
        <v>0.93379000000000001</v>
      </c>
      <c r="K3" s="312">
        <f>((SUM(B3-C3)*10000)/C3)*1/100</f>
        <v>3.4886401743796154</v>
      </c>
      <c r="L3" s="312">
        <f>((SUM(B3-D3)*10000)/D3)*1/100</f>
        <v>3.5135900042976482</v>
      </c>
      <c r="M3" s="312">
        <f>((SUM(B3-E3)*10000)/E3)*1/100</f>
        <v>3.637432178576304</v>
      </c>
      <c r="N3" s="312">
        <f>((SUM(B3-F3)*10000)/F3)*1/100</f>
        <v>4.05348450045308</v>
      </c>
      <c r="O3" s="312">
        <f>((SUM(B3-G3)*10000)/G3)*1/100</f>
        <v>4.05348450045308</v>
      </c>
      <c r="P3" s="312">
        <f>((SUM(B3-H3)*10000)/H3)*1/100</f>
        <v>5.7550412833720657</v>
      </c>
    </row>
    <row r="4" spans="1:16">
      <c r="A4" s="291" t="s">
        <v>25</v>
      </c>
      <c r="B4" s="310">
        <f t="shared" si="0"/>
        <v>0.74431000000000003</v>
      </c>
      <c r="C4">
        <f t="shared" si="1"/>
        <v>0.71250000000000002</v>
      </c>
      <c r="D4">
        <f t="shared" si="2"/>
        <v>0.71292999999999995</v>
      </c>
      <c r="E4">
        <f t="shared" si="3"/>
        <v>0.71257000000000004</v>
      </c>
      <c r="F4">
        <f t="shared" si="4"/>
        <v>0.70562999999999998</v>
      </c>
      <c r="G4">
        <f t="shared" si="5"/>
        <v>0.70562999999999998</v>
      </c>
      <c r="H4">
        <f t="shared" si="6"/>
        <v>0.68257999999999996</v>
      </c>
      <c r="K4" s="312">
        <f t="shared" ref="K4:K30" si="7">((SUM(B4-C4)*10000)/C4)*1/100</f>
        <v>4.464561403508772</v>
      </c>
      <c r="L4" s="312">
        <f t="shared" ref="L4:L30" si="8">((SUM(B4-D4)*10000)/D4)*1/100</f>
        <v>4.4015541497762856</v>
      </c>
      <c r="M4" s="312">
        <f t="shared" ref="M4:M30" si="9">((SUM(B4-E4)*10000)/E4)*1/100</f>
        <v>4.4542992267426342</v>
      </c>
      <c r="N4" s="312">
        <f t="shared" ref="N4:N30" si="10">((SUM(B4-F4)*10000)/F4)*1/100</f>
        <v>5.481626348086114</v>
      </c>
      <c r="O4" s="312">
        <f t="shared" ref="O4:O30" si="11">((SUM(B4-G4)*10000)/G4)*1/100</f>
        <v>5.481626348086114</v>
      </c>
      <c r="P4" s="312">
        <f t="shared" ref="P4:P30" si="12">((SUM(B4-H4)*10000)/H4)*1/100</f>
        <v>9.0436285856602989</v>
      </c>
    </row>
    <row r="5" spans="1:16">
      <c r="A5" s="291" t="s">
        <v>12</v>
      </c>
      <c r="B5" s="311">
        <f t="shared" si="0"/>
        <v>78.001999999999995</v>
      </c>
      <c r="C5">
        <f t="shared" si="1"/>
        <v>87.721000000000004</v>
      </c>
      <c r="D5">
        <f t="shared" si="2"/>
        <v>87.745999999999995</v>
      </c>
      <c r="E5">
        <f t="shared" si="3"/>
        <v>87.733000000000004</v>
      </c>
      <c r="F5">
        <f t="shared" si="4"/>
        <v>87.563000000000002</v>
      </c>
      <c r="G5">
        <f t="shared" si="5"/>
        <v>87.563000000000002</v>
      </c>
      <c r="H5">
        <f t="shared" si="6"/>
        <v>84.093000000000004</v>
      </c>
      <c r="K5" s="312">
        <f>((SUM(B5-C5)*10000)/C5)*1/100</f>
        <v>-11.079445058765868</v>
      </c>
      <c r="L5" s="312">
        <f t="shared" si="8"/>
        <v>-11.104779705057782</v>
      </c>
      <c r="M5" s="312">
        <f t="shared" si="9"/>
        <v>-11.091607490909929</v>
      </c>
      <c r="N5" s="312">
        <f t="shared" si="10"/>
        <v>-10.918995466121544</v>
      </c>
      <c r="O5" s="312">
        <f t="shared" si="11"/>
        <v>-10.918995466121544</v>
      </c>
      <c r="P5" s="312">
        <f t="shared" si="12"/>
        <v>-7.2431712508770145</v>
      </c>
    </row>
    <row r="6" spans="1:16">
      <c r="A6" s="291" t="s">
        <v>22</v>
      </c>
      <c r="B6" s="310">
        <f t="shared" si="0"/>
        <v>1.02799</v>
      </c>
      <c r="C6">
        <f t="shared" si="1"/>
        <v>1.06792</v>
      </c>
      <c r="D6">
        <f t="shared" si="2"/>
        <v>1.06776</v>
      </c>
      <c r="E6">
        <f t="shared" si="3"/>
        <v>1.06853</v>
      </c>
      <c r="F6">
        <f t="shared" si="4"/>
        <v>1.06793</v>
      </c>
      <c r="G6">
        <f t="shared" si="5"/>
        <v>1.06793</v>
      </c>
      <c r="H6">
        <f t="shared" si="6"/>
        <v>1.09615</v>
      </c>
      <c r="K6" s="312">
        <f t="shared" si="7"/>
        <v>-3.7390441231552942</v>
      </c>
      <c r="L6" s="312">
        <f t="shared" si="8"/>
        <v>-3.7246197647411479</v>
      </c>
      <c r="M6" s="312">
        <f t="shared" si="9"/>
        <v>-3.7939973608602493</v>
      </c>
      <c r="N6" s="312">
        <f t="shared" si="10"/>
        <v>-3.7399455020460226</v>
      </c>
      <c r="O6" s="312">
        <f t="shared" si="11"/>
        <v>-3.7399455020460226</v>
      </c>
      <c r="P6" s="312">
        <f t="shared" si="12"/>
        <v>-6.218127081147653</v>
      </c>
    </row>
    <row r="7" spans="1:16">
      <c r="A7" s="291" t="s">
        <v>14</v>
      </c>
      <c r="B7" s="310">
        <f t="shared" si="0"/>
        <v>0.76876</v>
      </c>
      <c r="C7">
        <f t="shared" si="1"/>
        <v>0.72489999999999999</v>
      </c>
      <c r="D7">
        <f t="shared" si="2"/>
        <v>0.72485999999999995</v>
      </c>
      <c r="E7">
        <f t="shared" si="3"/>
        <v>0.72519</v>
      </c>
      <c r="F7">
        <f t="shared" si="4"/>
        <v>0.72082999999999997</v>
      </c>
      <c r="G7">
        <f t="shared" si="5"/>
        <v>0.72082999999999997</v>
      </c>
      <c r="H7">
        <f t="shared" si="6"/>
        <v>0.70118999999999998</v>
      </c>
      <c r="K7" s="312">
        <f t="shared" si="7"/>
        <v>6.0504897227203767</v>
      </c>
      <c r="L7" s="312">
        <f t="shared" si="8"/>
        <v>6.0563419143006998</v>
      </c>
      <c r="M7" s="312">
        <f t="shared" si="9"/>
        <v>6.0080806409354786</v>
      </c>
      <c r="N7" s="312">
        <f t="shared" si="10"/>
        <v>6.6492793030256827</v>
      </c>
      <c r="O7" s="312">
        <f t="shared" si="11"/>
        <v>6.6492793030256827</v>
      </c>
      <c r="P7" s="312">
        <f t="shared" si="12"/>
        <v>9.6364751351274283</v>
      </c>
    </row>
    <row r="8" spans="1:16">
      <c r="A8" s="291" t="s">
        <v>26</v>
      </c>
      <c r="B8" s="310">
        <f t="shared" si="0"/>
        <v>0.75366999999999995</v>
      </c>
      <c r="C8">
        <f t="shared" si="1"/>
        <v>0.74656</v>
      </c>
      <c r="D8">
        <f t="shared" si="2"/>
        <v>0.74719000000000002</v>
      </c>
      <c r="E8">
        <f t="shared" si="3"/>
        <v>0.74777000000000005</v>
      </c>
      <c r="F8">
        <f t="shared" si="4"/>
        <v>0.74280999999999997</v>
      </c>
      <c r="G8">
        <f t="shared" si="5"/>
        <v>0.74280999999999997</v>
      </c>
      <c r="H8">
        <f t="shared" si="6"/>
        <v>0.73072000000000004</v>
      </c>
      <c r="K8" s="312">
        <f t="shared" si="7"/>
        <v>0.95236819545648699</v>
      </c>
      <c r="L8" s="312">
        <f t="shared" si="8"/>
        <v>0.86724929402159145</v>
      </c>
      <c r="M8" s="312">
        <f t="shared" si="9"/>
        <v>0.78901266432190453</v>
      </c>
      <c r="N8" s="312">
        <f t="shared" si="10"/>
        <v>1.4620158586987224</v>
      </c>
      <c r="O8" s="312">
        <f t="shared" si="11"/>
        <v>1.4620158586987224</v>
      </c>
      <c r="P8" s="312">
        <f t="shared" si="12"/>
        <v>3.1407379023428832</v>
      </c>
    </row>
    <row r="9" spans="1:16">
      <c r="A9" s="291" t="s">
        <v>8</v>
      </c>
      <c r="B9" s="311">
        <f t="shared" si="0"/>
        <v>78.980999999999995</v>
      </c>
      <c r="C9">
        <f t="shared" si="1"/>
        <v>91.914000000000001</v>
      </c>
      <c r="D9">
        <f t="shared" si="2"/>
        <v>91.962000000000003</v>
      </c>
      <c r="E9">
        <f t="shared" si="3"/>
        <v>92.061000000000007</v>
      </c>
      <c r="F9">
        <f t="shared" si="4"/>
        <v>92.68</v>
      </c>
      <c r="G9">
        <f t="shared" si="5"/>
        <v>92.191999999999894</v>
      </c>
      <c r="H9">
        <f t="shared" si="6"/>
        <v>90.031999999999996</v>
      </c>
      <c r="K9" s="312">
        <f t="shared" si="7"/>
        <v>-14.070761799073054</v>
      </c>
      <c r="L9" s="312">
        <f t="shared" si="8"/>
        <v>-14.115612970574812</v>
      </c>
      <c r="M9" s="312">
        <f t="shared" si="9"/>
        <v>-14.207970801968274</v>
      </c>
      <c r="N9" s="312">
        <f t="shared" si="10"/>
        <v>-14.780966767371613</v>
      </c>
      <c r="O9" s="312">
        <f t="shared" si="11"/>
        <v>-14.329876778896123</v>
      </c>
      <c r="P9" s="312">
        <f t="shared" si="12"/>
        <v>-12.274524613470769</v>
      </c>
    </row>
    <row r="10" spans="1:16">
      <c r="A10" s="291" t="s">
        <v>7</v>
      </c>
      <c r="B10" s="311">
        <f t="shared" si="0"/>
        <v>104.791</v>
      </c>
      <c r="C10">
        <f t="shared" si="1"/>
        <v>123.084</v>
      </c>
      <c r="D10">
        <f t="shared" si="2"/>
        <v>123.04600000000001</v>
      </c>
      <c r="E10">
        <f t="shared" si="3"/>
        <v>123.09</v>
      </c>
      <c r="F10">
        <f t="shared" si="4"/>
        <v>124.071</v>
      </c>
      <c r="G10">
        <f t="shared" si="5"/>
        <v>124.071</v>
      </c>
      <c r="H10">
        <f t="shared" si="6"/>
        <v>123.15</v>
      </c>
      <c r="K10" s="312">
        <f t="shared" si="7"/>
        <v>-14.86220792304443</v>
      </c>
      <c r="L10" s="312">
        <f t="shared" si="8"/>
        <v>-14.835915023649697</v>
      </c>
      <c r="M10" s="312">
        <f t="shared" si="9"/>
        <v>-14.866357949467874</v>
      </c>
      <c r="N10" s="312">
        <f t="shared" si="10"/>
        <v>-15.539489485858903</v>
      </c>
      <c r="O10" s="312">
        <f t="shared" si="11"/>
        <v>-15.539489485858903</v>
      </c>
      <c r="P10" s="312">
        <f t="shared" si="12"/>
        <v>-14.9078359723914</v>
      </c>
    </row>
    <row r="11" spans="1:16">
      <c r="A11" s="291" t="s">
        <v>0</v>
      </c>
      <c r="B11" s="310">
        <f t="shared" si="0"/>
        <v>1.46326</v>
      </c>
      <c r="C11">
        <f t="shared" si="1"/>
        <v>1.5239</v>
      </c>
      <c r="D11">
        <f t="shared" si="2"/>
        <v>1.52332</v>
      </c>
      <c r="E11">
        <f t="shared" si="3"/>
        <v>1.5239499999999999</v>
      </c>
      <c r="F11">
        <f t="shared" si="4"/>
        <v>1.5262899999999999</v>
      </c>
      <c r="G11">
        <f t="shared" si="5"/>
        <v>1.5262899999999999</v>
      </c>
      <c r="H11">
        <f t="shared" si="6"/>
        <v>1.5920300000000001</v>
      </c>
      <c r="K11" s="312">
        <f t="shared" si="7"/>
        <v>-3.9792637312159611</v>
      </c>
      <c r="L11" s="312">
        <f t="shared" si="8"/>
        <v>-3.9427040936900983</v>
      </c>
      <c r="M11" s="312">
        <f t="shared" si="9"/>
        <v>-3.9824141211981963</v>
      </c>
      <c r="N11" s="312">
        <f t="shared" si="10"/>
        <v>-4.1296215005012105</v>
      </c>
      <c r="O11" s="312">
        <f t="shared" si="11"/>
        <v>-4.1296215005012105</v>
      </c>
      <c r="P11" s="312">
        <f t="shared" si="12"/>
        <v>-8.0884154193074274</v>
      </c>
    </row>
    <row r="12" spans="1:16">
      <c r="A12" s="291" t="s">
        <v>1</v>
      </c>
      <c r="B12" s="310">
        <f t="shared" si="0"/>
        <v>1.4451099999999999</v>
      </c>
      <c r="C12">
        <f t="shared" si="1"/>
        <v>1.4543999999999999</v>
      </c>
      <c r="D12">
        <f t="shared" si="2"/>
        <v>1.4534400000000001</v>
      </c>
      <c r="E12">
        <f t="shared" si="3"/>
        <v>1.4522999999999999</v>
      </c>
      <c r="F12">
        <f t="shared" si="4"/>
        <v>1.4492700000000001</v>
      </c>
      <c r="G12">
        <f t="shared" si="5"/>
        <v>1.4492700000000001</v>
      </c>
      <c r="H12">
        <f t="shared" si="6"/>
        <v>1.4875799999999999</v>
      </c>
      <c r="K12" s="312">
        <f t="shared" si="7"/>
        <v>-0.63875137513751523</v>
      </c>
      <c r="L12" s="312">
        <f t="shared" si="8"/>
        <v>-0.57312307353589897</v>
      </c>
      <c r="M12" s="312">
        <f t="shared" si="9"/>
        <v>-0.49507677477105483</v>
      </c>
      <c r="N12" s="312">
        <f t="shared" si="10"/>
        <v>-0.28704106205194085</v>
      </c>
      <c r="O12" s="312">
        <f t="shared" si="11"/>
        <v>-0.28704106205194085</v>
      </c>
      <c r="P12" s="312">
        <f t="shared" si="12"/>
        <v>-2.8549725056803674</v>
      </c>
    </row>
    <row r="13" spans="1:16">
      <c r="A13" s="291" t="s">
        <v>2</v>
      </c>
      <c r="B13" s="310">
        <f t="shared" si="0"/>
        <v>1.0891900000000001</v>
      </c>
      <c r="C13">
        <f t="shared" si="1"/>
        <v>1.0860000000000001</v>
      </c>
      <c r="D13">
        <f t="shared" si="2"/>
        <v>1.08629</v>
      </c>
      <c r="E13">
        <f t="shared" si="3"/>
        <v>1.08622</v>
      </c>
      <c r="F13">
        <f t="shared" si="4"/>
        <v>1.08586</v>
      </c>
      <c r="G13">
        <f t="shared" si="5"/>
        <v>1.07751</v>
      </c>
      <c r="H13">
        <f t="shared" si="6"/>
        <v>1.0873699999999999</v>
      </c>
      <c r="K13" s="312">
        <f t="shared" si="7"/>
        <v>0.29373848987108891</v>
      </c>
      <c r="L13" s="312">
        <f t="shared" si="8"/>
        <v>0.26696370214216503</v>
      </c>
      <c r="M13" s="312">
        <f t="shared" si="9"/>
        <v>0.27342527296497388</v>
      </c>
      <c r="N13" s="312">
        <f t="shared" si="10"/>
        <v>0.30666936805850248</v>
      </c>
      <c r="O13" s="312">
        <f t="shared" si="11"/>
        <v>1.083980659112225</v>
      </c>
      <c r="P13" s="312">
        <f t="shared" si="12"/>
        <v>0.16737633004406549</v>
      </c>
    </row>
    <row r="14" spans="1:16">
      <c r="A14" s="291" t="s">
        <v>3</v>
      </c>
      <c r="B14" s="310">
        <f t="shared" si="0"/>
        <v>0.84038999999999997</v>
      </c>
      <c r="C14">
        <f t="shared" si="1"/>
        <v>0.71967000000000003</v>
      </c>
      <c r="D14">
        <f t="shared" si="2"/>
        <v>0.71948000000000001</v>
      </c>
      <c r="E14">
        <f t="shared" si="3"/>
        <v>0.71935000000000004</v>
      </c>
      <c r="F14">
        <f t="shared" si="4"/>
        <v>0.71089000000000002</v>
      </c>
      <c r="G14">
        <f t="shared" si="5"/>
        <v>0.71884999999999999</v>
      </c>
      <c r="H14">
        <f t="shared" si="6"/>
        <v>0.73877000000000004</v>
      </c>
      <c r="K14" s="312">
        <f t="shared" si="7"/>
        <v>16.774354912668297</v>
      </c>
      <c r="L14" s="312">
        <f t="shared" si="8"/>
        <v>16.805192639128254</v>
      </c>
      <c r="M14" s="312">
        <f t="shared" si="9"/>
        <v>16.826301522207537</v>
      </c>
      <c r="N14" s="312">
        <f t="shared" si="10"/>
        <v>18.216601724598736</v>
      </c>
      <c r="O14" s="312">
        <f t="shared" si="11"/>
        <v>16.907560687208733</v>
      </c>
      <c r="P14" s="312">
        <f t="shared" si="12"/>
        <v>13.755295964914646</v>
      </c>
    </row>
    <row r="15" spans="1:16">
      <c r="A15" s="291" t="s">
        <v>4</v>
      </c>
      <c r="B15" s="311">
        <f t="shared" si="0"/>
        <v>114.143</v>
      </c>
      <c r="C15">
        <f t="shared" si="1"/>
        <v>133.702</v>
      </c>
      <c r="D15">
        <f t="shared" si="2"/>
        <v>132.38300000000001</v>
      </c>
      <c r="E15">
        <f t="shared" si="3"/>
        <v>133.72999999999999</v>
      </c>
      <c r="F15">
        <f t="shared" si="4"/>
        <v>132.72800000000001</v>
      </c>
      <c r="G15">
        <f t="shared" si="5"/>
        <v>133.68899999999999</v>
      </c>
      <c r="H15">
        <f t="shared" si="6"/>
        <v>133.97300000000001</v>
      </c>
      <c r="K15" s="312">
        <f t="shared" si="7"/>
        <v>-14.628801364227909</v>
      </c>
      <c r="L15" s="312">
        <f t="shared" si="8"/>
        <v>-13.778204150079699</v>
      </c>
      <c r="M15" s="312">
        <f t="shared" si="9"/>
        <v>-14.64667613848799</v>
      </c>
      <c r="N15" s="312">
        <f t="shared" si="10"/>
        <v>-14.002320535229948</v>
      </c>
      <c r="O15" s="312">
        <f t="shared" si="11"/>
        <v>-14.620499816738842</v>
      </c>
      <c r="P15" s="312">
        <f t="shared" si="12"/>
        <v>-14.80148985243296</v>
      </c>
    </row>
    <row r="16" spans="1:16">
      <c r="A16" s="291" t="s">
        <v>5</v>
      </c>
      <c r="B16" s="310">
        <f t="shared" si="0"/>
        <v>1.50423</v>
      </c>
      <c r="C16">
        <f t="shared" si="1"/>
        <v>1.6276600000000001</v>
      </c>
      <c r="D16">
        <f t="shared" si="2"/>
        <v>1.6267799999999999</v>
      </c>
      <c r="E16">
        <f t="shared" si="3"/>
        <v>1.6286</v>
      </c>
      <c r="F16">
        <f t="shared" si="4"/>
        <v>1.6447000000000001</v>
      </c>
      <c r="G16">
        <f t="shared" si="5"/>
        <v>1.631</v>
      </c>
      <c r="H16">
        <f t="shared" si="6"/>
        <v>1.74613</v>
      </c>
      <c r="K16" s="312">
        <f t="shared" si="7"/>
        <v>-7.5832790631950253</v>
      </c>
      <c r="L16" s="312">
        <f t="shared" si="8"/>
        <v>-7.5332866152768005</v>
      </c>
      <c r="M16" s="312">
        <f t="shared" si="9"/>
        <v>-7.6366204101682476</v>
      </c>
      <c r="N16" s="312">
        <f t="shared" si="10"/>
        <v>-8.5407673131878212</v>
      </c>
      <c r="O16" s="312">
        <f t="shared" si="11"/>
        <v>-7.772532188841204</v>
      </c>
      <c r="P16" s="312">
        <f t="shared" si="12"/>
        <v>-13.85349315343073</v>
      </c>
    </row>
    <row r="17" spans="1:16">
      <c r="A17" s="291" t="s">
        <v>6</v>
      </c>
      <c r="B17" s="310">
        <f t="shared" si="0"/>
        <v>1.12496</v>
      </c>
      <c r="C17">
        <f t="shared" si="1"/>
        <v>1.0925100000000001</v>
      </c>
      <c r="D17">
        <f t="shared" si="2"/>
        <v>1.1044</v>
      </c>
      <c r="E17">
        <f t="shared" si="3"/>
        <v>1.1052599999999999</v>
      </c>
      <c r="F17">
        <f t="shared" si="4"/>
        <v>1.0962000000000001</v>
      </c>
      <c r="G17">
        <f t="shared" si="5"/>
        <v>1.1006499999999999</v>
      </c>
      <c r="H17">
        <f t="shared" si="6"/>
        <v>1.117</v>
      </c>
      <c r="K17" s="312">
        <f t="shared" si="7"/>
        <v>2.9702245288372522</v>
      </c>
      <c r="L17" s="312">
        <f t="shared" si="8"/>
        <v>1.8616443317638456</v>
      </c>
      <c r="M17" s="312">
        <f t="shared" si="9"/>
        <v>1.7823860449125142</v>
      </c>
      <c r="N17" s="312">
        <f t="shared" si="10"/>
        <v>2.6236088305053729</v>
      </c>
      <c r="O17" s="312">
        <f t="shared" si="11"/>
        <v>2.2086948621269302</v>
      </c>
      <c r="P17" s="312">
        <f t="shared" si="12"/>
        <v>0.71262309758280806</v>
      </c>
    </row>
    <row r="18" spans="1:16">
      <c r="A18" s="291" t="s">
        <v>23</v>
      </c>
      <c r="B18" s="310">
        <f t="shared" si="0"/>
        <v>1.7410600000000001</v>
      </c>
      <c r="C18">
        <f t="shared" si="1"/>
        <v>2.1173600000000001</v>
      </c>
      <c r="D18">
        <f t="shared" si="2"/>
        <v>2.14425</v>
      </c>
      <c r="E18">
        <f t="shared" si="3"/>
        <v>2.1182699999999999</v>
      </c>
      <c r="F18">
        <f t="shared" si="4"/>
        <v>2.14527</v>
      </c>
      <c r="G18">
        <f t="shared" si="5"/>
        <v>2.1226600000000002</v>
      </c>
      <c r="H18">
        <f t="shared" si="6"/>
        <v>2.15476</v>
      </c>
      <c r="K18" s="312">
        <f t="shared" si="7"/>
        <v>-17.772131333358526</v>
      </c>
      <c r="L18" s="312">
        <f t="shared" si="8"/>
        <v>-18.803311181065638</v>
      </c>
      <c r="M18" s="312">
        <f t="shared" si="9"/>
        <v>-17.807456084446262</v>
      </c>
      <c r="N18" s="312">
        <f t="shared" si="10"/>
        <v>-18.841917334414781</v>
      </c>
      <c r="O18" s="312">
        <f t="shared" si="11"/>
        <v>-17.977443396493086</v>
      </c>
      <c r="P18" s="312">
        <f t="shared" si="12"/>
        <v>-19.199353988379215</v>
      </c>
    </row>
    <row r="19" spans="1:16">
      <c r="A19" s="291" t="s">
        <v>19</v>
      </c>
      <c r="B19" s="310">
        <f t="shared" si="0"/>
        <v>1.7195100000000001</v>
      </c>
      <c r="C19">
        <f t="shared" si="1"/>
        <v>2.0208400000000002</v>
      </c>
      <c r="D19">
        <f t="shared" si="2"/>
        <v>2.0139300000000002</v>
      </c>
      <c r="E19">
        <f t="shared" si="3"/>
        <v>2.0186799999999998</v>
      </c>
      <c r="F19">
        <f t="shared" si="4"/>
        <v>2.0131000000000001</v>
      </c>
      <c r="G19">
        <f t="shared" si="5"/>
        <v>2.0151500000000002</v>
      </c>
      <c r="H19">
        <f t="shared" si="6"/>
        <v>2.01335</v>
      </c>
      <c r="K19" s="312">
        <f t="shared" si="7"/>
        <v>-14.911126066388238</v>
      </c>
      <c r="L19" s="312">
        <f t="shared" si="8"/>
        <v>-14.619177429205587</v>
      </c>
      <c r="M19" s="312">
        <f t="shared" si="9"/>
        <v>-14.82008044860997</v>
      </c>
      <c r="N19" s="312">
        <f t="shared" si="10"/>
        <v>-14.583974963985893</v>
      </c>
      <c r="O19" s="312">
        <f t="shared" si="11"/>
        <v>-14.670868173585099</v>
      </c>
      <c r="P19" s="312">
        <f t="shared" si="12"/>
        <v>-14.594581170685666</v>
      </c>
    </row>
    <row r="20" spans="1:16">
      <c r="A20" s="291" t="s">
        <v>20</v>
      </c>
      <c r="B20" s="310">
        <f t="shared" si="0"/>
        <v>1.2959499999999999</v>
      </c>
      <c r="C20">
        <f t="shared" si="1"/>
        <v>1.50898</v>
      </c>
      <c r="D20">
        <f t="shared" si="2"/>
        <v>1.5097100000000001</v>
      </c>
      <c r="E20">
        <f t="shared" si="3"/>
        <v>1.5098400000000001</v>
      </c>
      <c r="F20">
        <f t="shared" si="4"/>
        <v>1.5277799999999999</v>
      </c>
      <c r="G20">
        <f t="shared" si="5"/>
        <v>1.4984200000000001</v>
      </c>
      <c r="H20">
        <f t="shared" si="6"/>
        <v>1.4719199999999999</v>
      </c>
      <c r="K20" s="312">
        <f t="shared" si="7"/>
        <v>-14.117483333112439</v>
      </c>
      <c r="L20" s="312">
        <f t="shared" si="8"/>
        <v>-14.159010670923564</v>
      </c>
      <c r="M20" s="312">
        <f t="shared" si="9"/>
        <v>-14.166401737932507</v>
      </c>
      <c r="N20" s="312">
        <f t="shared" si="10"/>
        <v>-15.174305201010617</v>
      </c>
      <c r="O20" s="312">
        <f t="shared" si="11"/>
        <v>-13.512232885305863</v>
      </c>
      <c r="P20" s="312">
        <f t="shared" si="12"/>
        <v>-11.955133431164736</v>
      </c>
    </row>
    <row r="21" spans="1:16">
      <c r="A21" s="291" t="s">
        <v>11</v>
      </c>
      <c r="B21" s="311">
        <f t="shared" si="0"/>
        <v>135.815</v>
      </c>
      <c r="C21">
        <f t="shared" si="1"/>
        <v>185.773</v>
      </c>
      <c r="D21">
        <f t="shared" si="2"/>
        <v>185.797</v>
      </c>
      <c r="E21">
        <f t="shared" si="3"/>
        <v>185.87799999999999</v>
      </c>
      <c r="F21">
        <f t="shared" si="4"/>
        <v>186.67699999999999</v>
      </c>
      <c r="G21">
        <f t="shared" si="5"/>
        <v>185.935</v>
      </c>
      <c r="H21">
        <f t="shared" si="6"/>
        <v>181.31700000000001</v>
      </c>
      <c r="K21" s="312">
        <f t="shared" si="7"/>
        <v>-26.891959542021713</v>
      </c>
      <c r="L21" s="312">
        <f t="shared" si="8"/>
        <v>-26.901403144291891</v>
      </c>
      <c r="M21" s="312">
        <f t="shared" si="9"/>
        <v>-26.933257297797478</v>
      </c>
      <c r="N21" s="312">
        <f t="shared" si="10"/>
        <v>-27.245991739742976</v>
      </c>
      <c r="O21" s="312">
        <f t="shared" si="11"/>
        <v>-26.955656546642643</v>
      </c>
      <c r="P21" s="312">
        <f t="shared" si="12"/>
        <v>-25.095275125884505</v>
      </c>
    </row>
    <row r="22" spans="1:16">
      <c r="A22" s="291" t="s">
        <v>18</v>
      </c>
      <c r="B22" s="310">
        <f t="shared" si="0"/>
        <v>1.7899</v>
      </c>
      <c r="C22">
        <f t="shared" si="1"/>
        <v>2.26159</v>
      </c>
      <c r="D22">
        <f t="shared" si="2"/>
        <v>2.3206500000000001</v>
      </c>
      <c r="E22">
        <f t="shared" si="3"/>
        <v>2.31847</v>
      </c>
      <c r="F22">
        <f t="shared" si="4"/>
        <v>2.3123100000000001</v>
      </c>
      <c r="G22">
        <f t="shared" si="5"/>
        <v>2.2678199999999999</v>
      </c>
      <c r="H22">
        <f t="shared" si="6"/>
        <v>2.36354</v>
      </c>
      <c r="K22" s="312">
        <f t="shared" si="7"/>
        <v>-20.856565513643055</v>
      </c>
      <c r="L22" s="312">
        <f t="shared" si="8"/>
        <v>-22.87074741990391</v>
      </c>
      <c r="M22" s="312">
        <f t="shared" si="9"/>
        <v>-22.798224691283476</v>
      </c>
      <c r="N22" s="312">
        <f t="shared" si="10"/>
        <v>-22.592558956195322</v>
      </c>
      <c r="O22" s="312">
        <f t="shared" si="11"/>
        <v>-21.073982943972624</v>
      </c>
      <c r="P22" s="312">
        <f t="shared" si="12"/>
        <v>-24.270374099867148</v>
      </c>
    </row>
    <row r="23" spans="1:16">
      <c r="A23" s="291" t="s">
        <v>13</v>
      </c>
      <c r="B23" s="310">
        <f t="shared" si="0"/>
        <v>1.3385400000000001</v>
      </c>
      <c r="C23">
        <f t="shared" si="1"/>
        <v>1.5351300000000001</v>
      </c>
      <c r="D23">
        <f t="shared" si="2"/>
        <v>1.53488</v>
      </c>
      <c r="E23">
        <f t="shared" si="3"/>
        <v>1.5363500000000001</v>
      </c>
      <c r="F23">
        <f t="shared" si="4"/>
        <v>1.5419799999999999</v>
      </c>
      <c r="G23">
        <f t="shared" si="5"/>
        <v>1.54095</v>
      </c>
      <c r="H23">
        <f t="shared" si="6"/>
        <v>1.51207</v>
      </c>
      <c r="K23" s="312">
        <f t="shared" si="7"/>
        <v>-12.806081569639055</v>
      </c>
      <c r="L23" s="312">
        <f t="shared" si="8"/>
        <v>-12.791879495465441</v>
      </c>
      <c r="M23" s="312">
        <f t="shared" si="9"/>
        <v>-12.875321378592119</v>
      </c>
      <c r="N23" s="312">
        <f t="shared" si="10"/>
        <v>-13.193426633289658</v>
      </c>
      <c r="O23" s="312">
        <f t="shared" si="11"/>
        <v>-13.135403484863232</v>
      </c>
      <c r="P23" s="312">
        <f t="shared" si="12"/>
        <v>-11.476320540715706</v>
      </c>
    </row>
    <row r="24" spans="1:16">
      <c r="A24" s="291" t="s">
        <v>21</v>
      </c>
      <c r="B24" s="310">
        <f t="shared" si="0"/>
        <v>0.96053999999999995</v>
      </c>
      <c r="C24">
        <f t="shared" si="1"/>
        <v>0.89315999999999995</v>
      </c>
      <c r="D24">
        <f t="shared" si="2"/>
        <v>0.86767000000000005</v>
      </c>
      <c r="E24">
        <f t="shared" si="3"/>
        <v>0.89137</v>
      </c>
      <c r="F24">
        <f t="shared" si="4"/>
        <v>0.87014000000000002</v>
      </c>
      <c r="G24">
        <f t="shared" si="5"/>
        <v>0.88795000000000002</v>
      </c>
      <c r="H24">
        <f t="shared" si="6"/>
        <v>0.85150999999999999</v>
      </c>
      <c r="K24" s="312">
        <f t="shared" si="7"/>
        <v>7.5440010748354158</v>
      </c>
      <c r="L24" s="312">
        <f t="shared" si="8"/>
        <v>10.703378012377966</v>
      </c>
      <c r="M24" s="312">
        <f t="shared" si="9"/>
        <v>7.7599649977001652</v>
      </c>
      <c r="N24" s="312">
        <f t="shared" si="10"/>
        <v>10.389132783230275</v>
      </c>
      <c r="O24" s="312">
        <f t="shared" si="11"/>
        <v>8.1750098541584464</v>
      </c>
      <c r="P24" s="312">
        <f t="shared" si="12"/>
        <v>12.804312339256139</v>
      </c>
    </row>
    <row r="25" spans="1:16">
      <c r="A25" s="291" t="s">
        <v>27</v>
      </c>
      <c r="B25" s="310">
        <f t="shared" si="0"/>
        <v>0.72392999999999996</v>
      </c>
      <c r="C25">
        <f t="shared" si="1"/>
        <v>0.66686000000000001</v>
      </c>
      <c r="D25">
        <f t="shared" si="2"/>
        <v>0.66737999999999997</v>
      </c>
      <c r="E25">
        <f t="shared" si="3"/>
        <v>0.66661999999999999</v>
      </c>
      <c r="F25">
        <f t="shared" si="4"/>
        <v>0.65973000000000004</v>
      </c>
      <c r="G25">
        <f t="shared" si="5"/>
        <v>0.66037000000000001</v>
      </c>
      <c r="H25">
        <f t="shared" si="6"/>
        <v>0.62217</v>
      </c>
      <c r="K25" s="312">
        <f t="shared" si="7"/>
        <v>8.5580181747293231</v>
      </c>
      <c r="L25" s="312">
        <f t="shared" si="8"/>
        <v>8.4734334262339281</v>
      </c>
      <c r="M25" s="312">
        <f t="shared" si="9"/>
        <v>8.5971017971257933</v>
      </c>
      <c r="N25" s="312">
        <f t="shared" si="10"/>
        <v>9.7312536946932706</v>
      </c>
      <c r="O25" s="312">
        <f t="shared" si="11"/>
        <v>9.6249072489664798</v>
      </c>
      <c r="P25" s="312">
        <f t="shared" si="12"/>
        <v>16.355658421331785</v>
      </c>
    </row>
    <row r="26" spans="1:16">
      <c r="A26" s="291" t="s">
        <v>10</v>
      </c>
      <c r="B26" s="311">
        <f t="shared" si="0"/>
        <v>75.867999999999995</v>
      </c>
      <c r="C26">
        <f t="shared" si="1"/>
        <v>82.100999999999999</v>
      </c>
      <c r="D26">
        <f t="shared" si="2"/>
        <v>80.477000000000004</v>
      </c>
      <c r="E26">
        <f t="shared" si="3"/>
        <v>82.069999999999894</v>
      </c>
      <c r="F26">
        <f t="shared" si="4"/>
        <v>80.662000000000006</v>
      </c>
      <c r="G26">
        <f t="shared" si="5"/>
        <v>81.95</v>
      </c>
      <c r="H26">
        <f t="shared" si="6"/>
        <v>76.677000000000007</v>
      </c>
      <c r="K26" s="312">
        <f t="shared" si="7"/>
        <v>-7.5918685521491875</v>
      </c>
      <c r="L26" s="312">
        <f t="shared" si="8"/>
        <v>-5.7271021534103026</v>
      </c>
      <c r="M26" s="312">
        <f t="shared" si="9"/>
        <v>-7.5569635676860081</v>
      </c>
      <c r="N26" s="312">
        <f t="shared" si="10"/>
        <v>-5.9433190349855076</v>
      </c>
      <c r="O26" s="312">
        <f t="shared" si="11"/>
        <v>-7.4215985356925049</v>
      </c>
      <c r="P26" s="312">
        <f t="shared" si="12"/>
        <v>-1.0550751855184888</v>
      </c>
    </row>
    <row r="27" spans="1:16">
      <c r="A27" s="291" t="s">
        <v>15</v>
      </c>
      <c r="B27" s="310">
        <f t="shared" si="0"/>
        <v>0.74775000000000003</v>
      </c>
      <c r="C27">
        <f t="shared" si="1"/>
        <v>0.67854000000000003</v>
      </c>
      <c r="D27">
        <f t="shared" si="2"/>
        <v>0.67866000000000004</v>
      </c>
      <c r="E27">
        <f t="shared" si="3"/>
        <v>0.6784</v>
      </c>
      <c r="F27">
        <f t="shared" si="4"/>
        <v>0.66632999999999998</v>
      </c>
      <c r="G27">
        <f t="shared" si="5"/>
        <v>0.67459000000000002</v>
      </c>
      <c r="H27">
        <f t="shared" si="6"/>
        <v>0.63968999999999998</v>
      </c>
      <c r="K27" s="312">
        <f t="shared" si="7"/>
        <v>10.199840834733397</v>
      </c>
      <c r="L27" s="312">
        <f t="shared" si="8"/>
        <v>10.180355406241709</v>
      </c>
      <c r="M27" s="312">
        <f t="shared" si="9"/>
        <v>10.222582547169814</v>
      </c>
      <c r="N27" s="312">
        <f t="shared" si="10"/>
        <v>12.219170681194012</v>
      </c>
      <c r="O27" s="312">
        <f t="shared" si="11"/>
        <v>10.845105916186128</v>
      </c>
      <c r="P27" s="312">
        <f t="shared" si="12"/>
        <v>16.892557332457915</v>
      </c>
    </row>
    <row r="28" spans="1:16">
      <c r="A28" s="291" t="s">
        <v>17</v>
      </c>
      <c r="B28" s="310">
        <f t="shared" si="0"/>
        <v>1.2845800000000001</v>
      </c>
      <c r="C28">
        <f t="shared" si="1"/>
        <v>1.3163400000000001</v>
      </c>
      <c r="D28">
        <f t="shared" si="2"/>
        <v>1.30646</v>
      </c>
      <c r="E28">
        <f t="shared" si="3"/>
        <v>1.31393</v>
      </c>
      <c r="F28">
        <f t="shared" si="4"/>
        <v>1.3058000000000001</v>
      </c>
      <c r="G28">
        <f t="shared" si="5"/>
        <v>1.3166199999999999</v>
      </c>
      <c r="H28">
        <f t="shared" si="6"/>
        <v>1.33063</v>
      </c>
      <c r="K28" s="312">
        <f t="shared" si="7"/>
        <v>-2.4127505051886295</v>
      </c>
      <c r="L28" s="312">
        <f t="shared" si="8"/>
        <v>-1.6747546805872282</v>
      </c>
      <c r="M28" s="312">
        <f t="shared" si="9"/>
        <v>-2.2337567450320783</v>
      </c>
      <c r="N28" s="312">
        <f t="shared" si="10"/>
        <v>-1.6250574360545271</v>
      </c>
      <c r="O28" s="312">
        <f t="shared" si="11"/>
        <v>-2.433503972292677</v>
      </c>
      <c r="P28" s="312">
        <f t="shared" si="12"/>
        <v>-3.4607667044933548</v>
      </c>
    </row>
    <row r="29" spans="1:16">
      <c r="A29" s="291" t="s">
        <v>16</v>
      </c>
      <c r="B29" s="310">
        <f t="shared" si="0"/>
        <v>0.96819999999999995</v>
      </c>
      <c r="C29">
        <f t="shared" si="1"/>
        <v>0.9829</v>
      </c>
      <c r="D29">
        <f t="shared" si="2"/>
        <v>0.99016999999999999</v>
      </c>
      <c r="E29">
        <f t="shared" si="3"/>
        <v>0.98272000000000004</v>
      </c>
      <c r="F29">
        <f t="shared" si="4"/>
        <v>0.99056</v>
      </c>
      <c r="G29">
        <f t="shared" si="5"/>
        <v>0.97882999999999998</v>
      </c>
      <c r="H29">
        <f t="shared" si="6"/>
        <v>0.97294999999999998</v>
      </c>
      <c r="K29" s="312">
        <f t="shared" si="7"/>
        <v>-1.4955743208871752</v>
      </c>
      <c r="L29" s="312">
        <f t="shared" si="8"/>
        <v>-2.2188109112576675</v>
      </c>
      <c r="M29" s="312">
        <f t="shared" si="9"/>
        <v>-1.477531748616095</v>
      </c>
      <c r="N29" s="312">
        <f t="shared" si="10"/>
        <v>-2.2573089969310338</v>
      </c>
      <c r="O29" s="312">
        <f t="shared" si="11"/>
        <v>-1.0859904171306589</v>
      </c>
      <c r="P29" s="312">
        <f t="shared" si="12"/>
        <v>-0.4882059715298866</v>
      </c>
    </row>
    <row r="30" spans="1:16">
      <c r="A30" s="291" t="s">
        <v>9</v>
      </c>
      <c r="B30" s="311">
        <f t="shared" si="0"/>
        <v>101.465</v>
      </c>
      <c r="C30">
        <f t="shared" si="1"/>
        <v>121.009</v>
      </c>
      <c r="D30">
        <f t="shared" si="2"/>
        <v>121.19</v>
      </c>
      <c r="E30">
        <f t="shared" si="3"/>
        <v>120.986</v>
      </c>
      <c r="F30">
        <f t="shared" si="4"/>
        <v>121.053</v>
      </c>
      <c r="G30">
        <f t="shared" si="5"/>
        <v>121.461</v>
      </c>
      <c r="H30">
        <f t="shared" si="6"/>
        <v>119.815</v>
      </c>
      <c r="K30" s="312">
        <f t="shared" si="7"/>
        <v>-16.150864811708217</v>
      </c>
      <c r="L30" s="312">
        <f t="shared" si="8"/>
        <v>-16.276095387408198</v>
      </c>
      <c r="M30" s="312">
        <f t="shared" si="9"/>
        <v>-16.13492470203164</v>
      </c>
      <c r="N30" s="312">
        <f t="shared" si="10"/>
        <v>-16.181342056785041</v>
      </c>
      <c r="O30" s="312">
        <f t="shared" si="11"/>
        <v>-16.462897555593972</v>
      </c>
      <c r="P30" s="312">
        <f t="shared" si="12"/>
        <v>-15.315277719818049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4"/>
  <dimension ref="A3:G31"/>
  <sheetViews>
    <sheetView workbookViewId="0">
      <selection activeCell="B5" sqref="B5"/>
    </sheetView>
  </sheetViews>
  <sheetFormatPr defaultColWidth="9.140625" defaultRowHeight="15"/>
  <sheetData>
    <row r="3" spans="1:7">
      <c r="A3" t="s">
        <v>160</v>
      </c>
      <c r="B3" t="s">
        <v>142</v>
      </c>
      <c r="C3" t="s">
        <v>158</v>
      </c>
      <c r="D3" t="s">
        <v>159</v>
      </c>
      <c r="E3" t="s">
        <v>143</v>
      </c>
      <c r="F3" t="s">
        <v>144</v>
      </c>
      <c r="G3" t="s">
        <v>145</v>
      </c>
    </row>
    <row r="4" spans="1:7">
      <c r="A4" s="291" t="s">
        <v>24</v>
      </c>
      <c r="B4">
        <f t="shared" ref="B4:B31" si="0">IF(A4="","",VLOOKUP(A4,Array_getValues,26,FALSE))</f>
        <v>91.230870204799601</v>
      </c>
      <c r="C4">
        <f t="shared" ref="C4:C31" si="1">IF(A4="","",VLOOKUP(A4,Array_getValues,27,FALSE))</f>
        <v>77.202893737999702</v>
      </c>
      <c r="D4">
        <f t="shared" ref="D4:D31" si="2">IF(A4="","",VLOOKUP(A4,Array_getValues,28,FALSE))</f>
        <v>37.293040118795098</v>
      </c>
      <c r="E4">
        <f t="shared" ref="E4:E31" si="3">IF(A4="","",VLOOKUP(A4,Array_getValues,29,FALSE))</f>
        <v>76.756365086824701</v>
      </c>
      <c r="F4">
        <f t="shared" ref="F4:F31" si="4">IF(A4="","",VLOOKUP(A4,Array_getValues,30,FALSE))</f>
        <v>70.817462885675795</v>
      </c>
      <c r="G4">
        <f t="shared" ref="G4:G31" si="5">IF(A4="","",VLOOKUP(A4,Array_getValues,31,FALSE))</f>
        <v>10.0829466216637</v>
      </c>
    </row>
    <row r="5" spans="1:7">
      <c r="A5" s="291" t="s">
        <v>25</v>
      </c>
      <c r="B5">
        <f t="shared" si="0"/>
        <v>18.562144778200299</v>
      </c>
      <c r="C5">
        <f t="shared" si="1"/>
        <v>71.7879412924691</v>
      </c>
      <c r="D5">
        <f t="shared" si="2"/>
        <v>98.987523163536395</v>
      </c>
      <c r="E5">
        <f t="shared" si="3"/>
        <v>93.078500377809704</v>
      </c>
      <c r="F5">
        <f t="shared" si="4"/>
        <v>71.179629981416397</v>
      </c>
      <c r="G5">
        <f t="shared" si="5"/>
        <v>2.3279545889406399</v>
      </c>
    </row>
    <row r="6" spans="1:7">
      <c r="A6" s="291" t="s">
        <v>12</v>
      </c>
      <c r="B6">
        <f t="shared" si="0"/>
        <v>18.3625853962847</v>
      </c>
      <c r="C6">
        <f t="shared" si="1"/>
        <v>41.748665920598199</v>
      </c>
      <c r="D6">
        <f t="shared" si="2"/>
        <v>54.727017816632703</v>
      </c>
      <c r="E6">
        <f t="shared" si="3"/>
        <v>85.848208744953098</v>
      </c>
      <c r="F6">
        <f t="shared" si="4"/>
        <v>67.789095073729897</v>
      </c>
      <c r="G6">
        <f t="shared" si="5"/>
        <v>3.9748715019988401</v>
      </c>
    </row>
    <row r="7" spans="1:7">
      <c r="A7" s="291" t="s">
        <v>22</v>
      </c>
      <c r="B7">
        <f t="shared" si="0"/>
        <v>42.143910597769903</v>
      </c>
      <c r="C7">
        <f t="shared" si="1"/>
        <v>5.7463089547924104</v>
      </c>
      <c r="D7">
        <f t="shared" si="2"/>
        <v>30.7280186033497</v>
      </c>
      <c r="E7">
        <f t="shared" si="3"/>
        <v>51.901582153499298</v>
      </c>
      <c r="F7">
        <f t="shared" si="4"/>
        <v>17.738885207332999</v>
      </c>
      <c r="G7">
        <f t="shared" si="5"/>
        <v>35.264692490647001</v>
      </c>
    </row>
    <row r="8" spans="1:7">
      <c r="A8" s="291" t="s">
        <v>14</v>
      </c>
      <c r="B8">
        <f t="shared" si="0"/>
        <v>22.5733983673815</v>
      </c>
      <c r="C8">
        <f t="shared" si="1"/>
        <v>9.6173949316334699</v>
      </c>
      <c r="D8">
        <f t="shared" si="2"/>
        <v>52.679679210314298</v>
      </c>
      <c r="E8">
        <f t="shared" si="3"/>
        <v>55.772418910114098</v>
      </c>
      <c r="F8">
        <f t="shared" si="4"/>
        <v>47.414842400486101</v>
      </c>
      <c r="G8">
        <f t="shared" si="5"/>
        <v>5.0908517527380397</v>
      </c>
    </row>
    <row r="9" spans="1:7">
      <c r="A9" s="291" t="s">
        <v>26</v>
      </c>
      <c r="B9">
        <f t="shared" si="0"/>
        <v>3.9409824116793999</v>
      </c>
      <c r="C9">
        <f t="shared" si="1"/>
        <v>36.539535208666699</v>
      </c>
      <c r="D9">
        <f t="shared" si="2"/>
        <v>97.080173969333501</v>
      </c>
      <c r="E9">
        <f t="shared" si="3"/>
        <v>75.715694667012897</v>
      </c>
      <c r="F9">
        <f t="shared" si="4"/>
        <v>74.675118271456995</v>
      </c>
      <c r="G9">
        <f t="shared" si="5"/>
        <v>4.8448162469922602</v>
      </c>
    </row>
    <row r="10" spans="1:7">
      <c r="A10" s="291" t="s">
        <v>8</v>
      </c>
      <c r="B10">
        <f t="shared" si="0"/>
        <v>2.9810706422857098</v>
      </c>
      <c r="C10">
        <f t="shared" si="1"/>
        <v>23.509997152461501</v>
      </c>
      <c r="D10">
        <f t="shared" si="2"/>
        <v>59.907129795551803</v>
      </c>
      <c r="E10">
        <f t="shared" si="3"/>
        <v>93.619259050044505</v>
      </c>
      <c r="F10">
        <f t="shared" si="4"/>
        <v>53.510906519721303</v>
      </c>
      <c r="G10">
        <f t="shared" si="5"/>
        <v>4.5392643501330303</v>
      </c>
    </row>
    <row r="11" spans="1:7">
      <c r="A11" s="291" t="s">
        <v>7</v>
      </c>
      <c r="B11">
        <f t="shared" si="0"/>
        <v>65.392047580151896</v>
      </c>
      <c r="C11">
        <f t="shared" si="1"/>
        <v>13.208059456901999</v>
      </c>
      <c r="D11">
        <f t="shared" si="2"/>
        <v>11.696258402878801</v>
      </c>
      <c r="E11">
        <f t="shared" si="3"/>
        <v>24.278340166492001</v>
      </c>
      <c r="F11">
        <f t="shared" si="4"/>
        <v>30.691148330099399</v>
      </c>
      <c r="G11">
        <f t="shared" si="5"/>
        <v>8.6905597837627493</v>
      </c>
    </row>
    <row r="12" spans="1:7">
      <c r="A12" s="291" t="s">
        <v>0</v>
      </c>
      <c r="B12">
        <f t="shared" si="0"/>
        <v>71.627061681949499</v>
      </c>
      <c r="C12">
        <f t="shared" si="1"/>
        <v>77.755462213057001</v>
      </c>
      <c r="D12">
        <f t="shared" si="2"/>
        <v>79.111052801206299</v>
      </c>
      <c r="E12">
        <f t="shared" si="3"/>
        <v>7.8808181190405104</v>
      </c>
      <c r="F12">
        <f t="shared" si="4"/>
        <v>15.854513245042099</v>
      </c>
      <c r="G12">
        <f t="shared" si="5"/>
        <v>33.791160499569301</v>
      </c>
    </row>
    <row r="13" spans="1:7">
      <c r="A13" s="291" t="s">
        <v>1</v>
      </c>
      <c r="B13">
        <f t="shared" si="0"/>
        <v>98.764472740622494</v>
      </c>
      <c r="C13">
        <f t="shared" si="1"/>
        <v>92.624974871267497</v>
      </c>
      <c r="D13">
        <f t="shared" si="2"/>
        <v>74.787592127173497</v>
      </c>
      <c r="E13">
        <f t="shared" si="3"/>
        <v>16.1047656405057</v>
      </c>
      <c r="F13">
        <f t="shared" si="4"/>
        <v>2.60691684116343</v>
      </c>
      <c r="G13">
        <f t="shared" si="5"/>
        <v>97.7019303031974</v>
      </c>
    </row>
    <row r="14" spans="1:7">
      <c r="A14" s="291" t="s">
        <v>2</v>
      </c>
      <c r="B14">
        <f t="shared" si="0"/>
        <v>28.9624071828515</v>
      </c>
      <c r="C14">
        <f t="shared" si="1"/>
        <v>97.012432482050599</v>
      </c>
      <c r="D14">
        <f t="shared" si="2"/>
        <v>98.566134291359305</v>
      </c>
      <c r="E14">
        <f t="shared" si="3"/>
        <v>31.230461220202901</v>
      </c>
      <c r="F14">
        <f t="shared" si="4"/>
        <v>7.8017485442553101</v>
      </c>
      <c r="G14">
        <f t="shared" si="5"/>
        <v>95.8419898430286</v>
      </c>
    </row>
    <row r="15" spans="1:7">
      <c r="A15" s="291" t="s">
        <v>3</v>
      </c>
      <c r="B15">
        <f t="shared" si="0"/>
        <v>83.922607598054398</v>
      </c>
      <c r="C15">
        <f t="shared" si="1"/>
        <v>82.964770527400205</v>
      </c>
      <c r="D15">
        <f t="shared" si="2"/>
        <v>62.955321706954798</v>
      </c>
      <c r="E15">
        <f t="shared" si="3"/>
        <v>11.640716592465999</v>
      </c>
      <c r="F15">
        <f t="shared" si="4"/>
        <v>8.8759506238776495</v>
      </c>
      <c r="G15">
        <f t="shared" si="5"/>
        <v>86.613015926559498</v>
      </c>
    </row>
    <row r="16" spans="1:7">
      <c r="A16" s="291" t="s">
        <v>4</v>
      </c>
      <c r="B16">
        <f t="shared" si="0"/>
        <v>39.838148523982397</v>
      </c>
      <c r="C16">
        <f t="shared" si="1"/>
        <v>0.77334371735229002</v>
      </c>
      <c r="D16">
        <f t="shared" si="2"/>
        <v>73.941064499542506</v>
      </c>
      <c r="E16">
        <f t="shared" si="3"/>
        <v>36.713999975766498</v>
      </c>
      <c r="F16">
        <f t="shared" si="4"/>
        <v>19.356934961777501</v>
      </c>
      <c r="G16">
        <f t="shared" si="5"/>
        <v>13.542557515684001</v>
      </c>
    </row>
    <row r="17" spans="1:7">
      <c r="A17" s="291" t="s">
        <v>5</v>
      </c>
      <c r="B17">
        <f t="shared" si="0"/>
        <v>61.9577221551585</v>
      </c>
      <c r="C17">
        <f t="shared" si="1"/>
        <v>34.599185989254302</v>
      </c>
      <c r="D17">
        <f t="shared" si="2"/>
        <v>57.203818217942803</v>
      </c>
      <c r="E17">
        <f t="shared" si="3"/>
        <v>78.468971575720602</v>
      </c>
      <c r="F17">
        <f t="shared" si="4"/>
        <v>1.2729357501196801</v>
      </c>
      <c r="G17">
        <f t="shared" si="5"/>
        <v>77.979577419561906</v>
      </c>
    </row>
    <row r="18" spans="1:7">
      <c r="A18" s="291" t="s">
        <v>6</v>
      </c>
      <c r="B18">
        <f t="shared" si="0"/>
        <v>58.938002301946902</v>
      </c>
      <c r="C18">
        <f t="shared" si="1"/>
        <v>28.400798925783</v>
      </c>
      <c r="D18">
        <f t="shared" si="2"/>
        <v>85.483981659932695</v>
      </c>
      <c r="E18">
        <f t="shared" si="3"/>
        <v>22.386937081819799</v>
      </c>
      <c r="F18">
        <f t="shared" si="4"/>
        <v>11.009407241919501</v>
      </c>
      <c r="G18">
        <f t="shared" si="5"/>
        <v>59.177830226077297</v>
      </c>
    </row>
    <row r="19" spans="1:7">
      <c r="A19" s="291" t="s">
        <v>23</v>
      </c>
      <c r="B19">
        <f t="shared" si="0"/>
        <v>44.299993273649797</v>
      </c>
      <c r="C19">
        <f t="shared" si="1"/>
        <v>54.859578992905803</v>
      </c>
      <c r="D19">
        <f t="shared" si="2"/>
        <v>78.682672807279701</v>
      </c>
      <c r="E19">
        <f t="shared" si="3"/>
        <v>19.513440835405401</v>
      </c>
      <c r="F19">
        <f t="shared" si="4"/>
        <v>45.452509442147701</v>
      </c>
      <c r="G19">
        <f t="shared" si="5"/>
        <v>94.986348245683999</v>
      </c>
    </row>
    <row r="20" spans="1:7">
      <c r="A20" s="291" t="s">
        <v>19</v>
      </c>
      <c r="B20">
        <f t="shared" si="0"/>
        <v>82.509974927190797</v>
      </c>
      <c r="C20">
        <f t="shared" si="1"/>
        <v>22.737602565851201</v>
      </c>
      <c r="D20">
        <f t="shared" si="2"/>
        <v>83.963819934358995</v>
      </c>
      <c r="E20">
        <f t="shared" si="3"/>
        <v>22.6341086713925</v>
      </c>
      <c r="F20">
        <f t="shared" si="4"/>
        <v>76.507669816009397</v>
      </c>
      <c r="G20">
        <f t="shared" si="5"/>
        <v>62.700753851195998</v>
      </c>
    </row>
    <row r="21" spans="1:7">
      <c r="A21" s="291" t="s">
        <v>20</v>
      </c>
      <c r="B21">
        <f t="shared" si="0"/>
        <v>21.337680486679599</v>
      </c>
      <c r="C21">
        <f t="shared" si="1"/>
        <v>83.040490465881803</v>
      </c>
      <c r="D21">
        <f t="shared" si="2"/>
        <v>96.808206565982005</v>
      </c>
      <c r="E21">
        <f t="shared" si="3"/>
        <v>83.935328846103005</v>
      </c>
      <c r="F21">
        <f t="shared" si="4"/>
        <v>89.090842100965503</v>
      </c>
      <c r="G21">
        <f t="shared" si="5"/>
        <v>36.406623002999197</v>
      </c>
    </row>
    <row r="22" spans="1:7">
      <c r="A22" s="291" t="s">
        <v>11</v>
      </c>
      <c r="B22">
        <f t="shared" si="0"/>
        <v>18.198375818733599</v>
      </c>
      <c r="C22">
        <f t="shared" si="1"/>
        <v>48.062559970514798</v>
      </c>
      <c r="D22">
        <f t="shared" si="2"/>
        <v>68.197487481769201</v>
      </c>
      <c r="E22">
        <f t="shared" si="3"/>
        <v>94.479088055662203</v>
      </c>
      <c r="F22">
        <f t="shared" si="4"/>
        <v>85.728477353018604</v>
      </c>
      <c r="G22">
        <f t="shared" si="5"/>
        <v>12.7608614961288</v>
      </c>
    </row>
    <row r="23" spans="1:7">
      <c r="A23" s="291" t="s">
        <v>18</v>
      </c>
      <c r="B23">
        <f t="shared" si="0"/>
        <v>31.306251370346398</v>
      </c>
      <c r="C23">
        <f t="shared" si="1"/>
        <v>40.483766448939797</v>
      </c>
      <c r="D23">
        <f t="shared" si="2"/>
        <v>31.984907879984899</v>
      </c>
      <c r="E23">
        <f t="shared" si="3"/>
        <v>90.634965311996595</v>
      </c>
      <c r="F23">
        <f t="shared" si="4"/>
        <v>4.9057548805109397</v>
      </c>
      <c r="G23">
        <f t="shared" si="5"/>
        <v>21.069550302713601</v>
      </c>
    </row>
    <row r="24" spans="1:7">
      <c r="A24" s="291" t="s">
        <v>13</v>
      </c>
      <c r="B24">
        <f t="shared" si="0"/>
        <v>25.838637939510299</v>
      </c>
      <c r="C24">
        <f t="shared" si="1"/>
        <v>22.9331161914197</v>
      </c>
      <c r="D24">
        <f t="shared" si="2"/>
        <v>47.2358247109999</v>
      </c>
      <c r="E24">
        <f t="shared" si="3"/>
        <v>80.4192176184837</v>
      </c>
      <c r="F24">
        <f t="shared" si="4"/>
        <v>53.271959276979203</v>
      </c>
      <c r="G24">
        <f t="shared" si="5"/>
        <v>15.5798607307909</v>
      </c>
    </row>
    <row r="25" spans="1:7">
      <c r="A25" s="291" t="s">
        <v>21</v>
      </c>
      <c r="B25">
        <f t="shared" si="0"/>
        <v>94.710305783638702</v>
      </c>
      <c r="C25">
        <f t="shared" si="1"/>
        <v>24.414801899755702</v>
      </c>
      <c r="D25">
        <f t="shared" si="2"/>
        <v>81.883842481526997</v>
      </c>
      <c r="E25">
        <f t="shared" si="3"/>
        <v>9.2839717856213699</v>
      </c>
      <c r="F25">
        <f t="shared" si="4"/>
        <v>97.734287216881597</v>
      </c>
      <c r="G25">
        <f t="shared" si="5"/>
        <v>81.962862170764694</v>
      </c>
    </row>
    <row r="26" spans="1:7">
      <c r="A26" s="291" t="s">
        <v>27</v>
      </c>
      <c r="B26">
        <f t="shared" si="0"/>
        <v>38.602598490332099</v>
      </c>
      <c r="C26">
        <f t="shared" si="1"/>
        <v>51.796882576625997</v>
      </c>
      <c r="D26">
        <f t="shared" si="2"/>
        <v>98.716943118893298</v>
      </c>
      <c r="E26">
        <f t="shared" si="3"/>
        <v>21.744723805444401</v>
      </c>
      <c r="F26">
        <f t="shared" si="4"/>
        <v>99.210454297837103</v>
      </c>
      <c r="G26">
        <f t="shared" si="5"/>
        <v>34.539070792846999</v>
      </c>
    </row>
    <row r="27" spans="1:7">
      <c r="A27" s="291" t="s">
        <v>10</v>
      </c>
      <c r="B27">
        <f t="shared" si="0"/>
        <v>54.523116687715103</v>
      </c>
      <c r="C27">
        <f t="shared" si="1"/>
        <v>33.450721145501497</v>
      </c>
      <c r="D27">
        <f t="shared" si="2"/>
        <v>81.092663723891803</v>
      </c>
      <c r="E27">
        <f t="shared" si="3"/>
        <v>15.9009335760172</v>
      </c>
      <c r="F27">
        <f t="shared" si="4"/>
        <v>98.190863650603106</v>
      </c>
      <c r="G27">
        <f t="shared" si="5"/>
        <v>74.791144916152007</v>
      </c>
    </row>
    <row r="28" spans="1:7">
      <c r="A28" s="291" t="s">
        <v>15</v>
      </c>
      <c r="B28">
        <f t="shared" si="0"/>
        <v>30.983711266166701</v>
      </c>
      <c r="C28">
        <f t="shared" si="1"/>
        <v>53.726874656150102</v>
      </c>
      <c r="D28">
        <f t="shared" si="2"/>
        <v>72.873180773460007</v>
      </c>
      <c r="E28">
        <f t="shared" si="3"/>
        <v>18.780357134630499</v>
      </c>
      <c r="F28">
        <f t="shared" si="4"/>
        <v>68.722078472508002</v>
      </c>
      <c r="G28">
        <f t="shared" si="5"/>
        <v>21.121819131513401</v>
      </c>
    </row>
    <row r="29" spans="1:7">
      <c r="A29" s="291" t="s">
        <v>17</v>
      </c>
      <c r="B29">
        <f t="shared" si="0"/>
        <v>97.813449789936499</v>
      </c>
      <c r="C29">
        <f t="shared" si="1"/>
        <v>34.5521304570198</v>
      </c>
      <c r="D29">
        <f t="shared" si="2"/>
        <v>30.809718857825398</v>
      </c>
      <c r="E29">
        <f t="shared" si="3"/>
        <v>13.9851975731192</v>
      </c>
      <c r="F29">
        <f t="shared" si="4"/>
        <v>73.670373277308201</v>
      </c>
      <c r="G29">
        <f t="shared" si="5"/>
        <v>90.678951879515097</v>
      </c>
    </row>
    <row r="30" spans="1:7">
      <c r="A30" s="291" t="s">
        <v>16</v>
      </c>
      <c r="B30">
        <f t="shared" si="0"/>
        <v>31.956141969333299</v>
      </c>
      <c r="C30">
        <f t="shared" si="1"/>
        <v>10.545675145386801</v>
      </c>
      <c r="D30">
        <f t="shared" si="2"/>
        <v>93.244234381151102</v>
      </c>
      <c r="E30">
        <f t="shared" si="3"/>
        <v>75.369138909524494</v>
      </c>
      <c r="F30">
        <f t="shared" si="4"/>
        <v>77.7408983998683</v>
      </c>
      <c r="G30">
        <f t="shared" si="5"/>
        <v>88.780304163625203</v>
      </c>
    </row>
    <row r="31" spans="1:7">
      <c r="A31" s="291" t="s">
        <v>9</v>
      </c>
      <c r="B31">
        <f t="shared" si="0"/>
        <v>35.241547525600701</v>
      </c>
      <c r="C31">
        <f t="shared" si="1"/>
        <v>35.649569727746297</v>
      </c>
      <c r="D31">
        <f t="shared" si="2"/>
        <v>52.657259008738301</v>
      </c>
      <c r="E31">
        <f t="shared" si="3"/>
        <v>75.192622564720807</v>
      </c>
      <c r="F31">
        <f t="shared" si="4"/>
        <v>80.028663961851706</v>
      </c>
      <c r="G31">
        <f t="shared" si="5"/>
        <v>18.829071794010598</v>
      </c>
    </row>
  </sheetData>
  <conditionalFormatting sqref="B4:G4">
    <cfRule type="expression" dxfId="0" priority="1">
      <formula>"if($B$4:$G$4,""&gt;0"")"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5"/>
  <dimension ref="A3:E31"/>
  <sheetViews>
    <sheetView workbookViewId="0">
      <selection activeCell="E2" sqref="E2"/>
    </sheetView>
  </sheetViews>
  <sheetFormatPr defaultColWidth="9.140625" defaultRowHeight="15"/>
  <sheetData>
    <row r="3" spans="1:5">
      <c r="A3" t="s">
        <v>160</v>
      </c>
      <c r="B3" t="s">
        <v>40</v>
      </c>
      <c r="C3" t="s">
        <v>152</v>
      </c>
      <c r="D3" t="s">
        <v>153</v>
      </c>
      <c r="E3" t="s">
        <v>191</v>
      </c>
    </row>
    <row r="4" spans="1:5">
      <c r="A4" s="291" t="s">
        <v>24</v>
      </c>
      <c r="B4">
        <f t="shared" ref="B4:B31" si="0">IF(A4="","",HLOOKUP(A4,pArray,4,FALSE))</f>
        <v>0.98753000000000002</v>
      </c>
      <c r="C4">
        <f t="shared" ref="C4:C31" si="1">IF(A4="","",VLOOKUP(A4,Array_getValues,14,FALSE))</f>
        <v>0.95363405101921905</v>
      </c>
      <c r="D4">
        <f t="shared" ref="D4:D31" si="2">IF(A4="","",VLOOKUP(A4,Array_getValues,15,FALSE))</f>
        <v>0.95354205606404097</v>
      </c>
      <c r="E4" t="b">
        <f>IF(A4="","",IF(D4&gt;C4,IF(C4&gt;B4,"Down",IF(D4&lt;C4,IF(C4&lt;B4,"Up",IF(D4=C4,IF(C4=B4,"")))))))</f>
        <v>0</v>
      </c>
    </row>
    <row r="5" spans="1:5">
      <c r="A5" s="291" t="s">
        <v>25</v>
      </c>
      <c r="B5">
        <f t="shared" si="0"/>
        <v>0.74431000000000003</v>
      </c>
      <c r="C5">
        <f t="shared" si="1"/>
        <v>0.71259706362341202</v>
      </c>
      <c r="D5">
        <f t="shared" si="2"/>
        <v>0.71179813303603101</v>
      </c>
      <c r="E5" t="b">
        <f t="shared" ref="E5:E31" si="3">IF(A5="","",IF(D5&gt;C5,IF(C5&gt;B5,"Down",IF(D5&lt;C5,IF(C5&lt;B5,"Up",IF(D5=C5,IF(C5=B5,"")))))))</f>
        <v>0</v>
      </c>
    </row>
    <row r="6" spans="1:5">
      <c r="A6" s="291" t="s">
        <v>12</v>
      </c>
      <c r="B6">
        <f t="shared" si="0"/>
        <v>78.001999999999995</v>
      </c>
      <c r="C6">
        <f t="shared" si="1"/>
        <v>87.746269422234107</v>
      </c>
      <c r="D6">
        <f t="shared" si="2"/>
        <v>87.751701518666096</v>
      </c>
      <c r="E6" t="str">
        <f t="shared" si="3"/>
        <v>Down</v>
      </c>
    </row>
    <row r="7" spans="1:5">
      <c r="A7" s="291" t="s">
        <v>22</v>
      </c>
      <c r="B7">
        <f t="shared" si="0"/>
        <v>1.02799</v>
      </c>
      <c r="C7">
        <f t="shared" si="1"/>
        <v>1.0683446511546699</v>
      </c>
      <c r="D7">
        <f t="shared" si="2"/>
        <v>1.06915824909413</v>
      </c>
      <c r="E7" t="str">
        <f t="shared" si="3"/>
        <v>Down</v>
      </c>
    </row>
    <row r="8" spans="1:5">
      <c r="A8" s="291" t="s">
        <v>14</v>
      </c>
      <c r="B8">
        <f t="shared" si="0"/>
        <v>0.76876</v>
      </c>
      <c r="C8">
        <f t="shared" si="1"/>
        <v>0.72519686569229003</v>
      </c>
      <c r="D8">
        <f t="shared" si="2"/>
        <v>0.72527343202754202</v>
      </c>
      <c r="E8" t="b">
        <f t="shared" si="3"/>
        <v>0</v>
      </c>
    </row>
    <row r="9" spans="1:5">
      <c r="A9" s="291" t="s">
        <v>26</v>
      </c>
      <c r="B9">
        <f t="shared" si="0"/>
        <v>0.75366999999999995</v>
      </c>
      <c r="C9">
        <f t="shared" si="1"/>
        <v>0.74715185317200095</v>
      </c>
      <c r="D9">
        <f t="shared" si="2"/>
        <v>0.74637687333203995</v>
      </c>
      <c r="E9" t="b">
        <f t="shared" si="3"/>
        <v>0</v>
      </c>
    </row>
    <row r="10" spans="1:5">
      <c r="A10" s="291" t="s">
        <v>8</v>
      </c>
      <c r="B10">
        <f t="shared" si="0"/>
        <v>78.980999999999995</v>
      </c>
      <c r="C10">
        <f t="shared" si="1"/>
        <v>91.998540977704096</v>
      </c>
      <c r="D10">
        <f t="shared" si="2"/>
        <v>92.012528846773705</v>
      </c>
      <c r="E10" t="str">
        <f t="shared" si="3"/>
        <v>Down</v>
      </c>
    </row>
    <row r="11" spans="1:5">
      <c r="A11" s="291" t="s">
        <v>7</v>
      </c>
      <c r="B11">
        <f t="shared" si="0"/>
        <v>104.791</v>
      </c>
      <c r="C11">
        <f t="shared" si="1"/>
        <v>123.10566966507299</v>
      </c>
      <c r="D11">
        <f t="shared" si="2"/>
        <v>123.253882875887</v>
      </c>
      <c r="E11" t="str">
        <f t="shared" si="3"/>
        <v>Down</v>
      </c>
    </row>
    <row r="12" spans="1:5">
      <c r="A12" s="291" t="s">
        <v>0</v>
      </c>
      <c r="B12">
        <f t="shared" si="0"/>
        <v>1.46326</v>
      </c>
      <c r="C12">
        <f t="shared" si="1"/>
        <v>1.52299103309566</v>
      </c>
      <c r="D12">
        <f t="shared" si="2"/>
        <v>1.5220056087417999</v>
      </c>
      <c r="E12" t="b">
        <f t="shared" si="3"/>
        <v>0</v>
      </c>
    </row>
    <row r="13" spans="1:5">
      <c r="A13" s="291" t="s">
        <v>1</v>
      </c>
      <c r="B13">
        <f t="shared" si="0"/>
        <v>1.4451099999999999</v>
      </c>
      <c r="C13">
        <f t="shared" si="1"/>
        <v>1.4525756053457799</v>
      </c>
      <c r="D13">
        <f t="shared" si="2"/>
        <v>1.4514964734815301</v>
      </c>
      <c r="E13" t="b">
        <f t="shared" si="3"/>
        <v>0</v>
      </c>
    </row>
    <row r="14" spans="1:5">
      <c r="A14" s="291" t="s">
        <v>2</v>
      </c>
      <c r="B14">
        <f t="shared" si="0"/>
        <v>1.0891900000000001</v>
      </c>
      <c r="C14">
        <f t="shared" si="1"/>
        <v>1.0855265891108099</v>
      </c>
      <c r="D14">
        <f t="shared" si="2"/>
        <v>1.0835930171174699</v>
      </c>
      <c r="E14" t="b">
        <f t="shared" si="3"/>
        <v>0</v>
      </c>
    </row>
    <row r="15" spans="1:5">
      <c r="A15" s="291" t="s">
        <v>3</v>
      </c>
      <c r="B15">
        <f t="shared" si="0"/>
        <v>0.84038999999999997</v>
      </c>
      <c r="C15">
        <f t="shared" si="1"/>
        <v>0.71933804792193801</v>
      </c>
      <c r="D15">
        <f t="shared" si="2"/>
        <v>0.719197266999825</v>
      </c>
      <c r="E15" t="b">
        <f t="shared" si="3"/>
        <v>0</v>
      </c>
    </row>
    <row r="16" spans="1:5">
      <c r="A16" s="291" t="s">
        <v>4</v>
      </c>
      <c r="B16">
        <f t="shared" si="0"/>
        <v>114.143</v>
      </c>
      <c r="C16">
        <f t="shared" si="1"/>
        <v>133.66401472494101</v>
      </c>
      <c r="D16">
        <f t="shared" si="2"/>
        <v>133.58636787832199</v>
      </c>
      <c r="E16" t="b">
        <f t="shared" si="3"/>
        <v>0</v>
      </c>
    </row>
    <row r="17" spans="1:5">
      <c r="A17" s="291" t="s">
        <v>5</v>
      </c>
      <c r="B17">
        <f t="shared" si="0"/>
        <v>1.50423</v>
      </c>
      <c r="C17">
        <f t="shared" si="1"/>
        <v>1.6273404763597299</v>
      </c>
      <c r="D17">
        <f t="shared" si="2"/>
        <v>1.62753651358305</v>
      </c>
      <c r="E17" t="str">
        <f t="shared" si="3"/>
        <v>Down</v>
      </c>
    </row>
    <row r="18" spans="1:5">
      <c r="A18" s="291" t="s">
        <v>6</v>
      </c>
      <c r="B18">
        <f t="shared" si="0"/>
        <v>1.12496</v>
      </c>
      <c r="C18">
        <f t="shared" si="1"/>
        <v>1.1019452878945699</v>
      </c>
      <c r="D18">
        <f t="shared" si="2"/>
        <v>1.10300113340596</v>
      </c>
      <c r="E18" t="b">
        <f t="shared" si="3"/>
        <v>0</v>
      </c>
    </row>
    <row r="19" spans="1:5">
      <c r="A19" s="291" t="s">
        <v>23</v>
      </c>
      <c r="B19">
        <f t="shared" si="0"/>
        <v>1.7410600000000001</v>
      </c>
      <c r="C19">
        <f t="shared" si="1"/>
        <v>2.1170309533049201</v>
      </c>
      <c r="D19">
        <f t="shared" si="2"/>
        <v>2.1160661065893001</v>
      </c>
      <c r="E19" t="b">
        <f t="shared" si="3"/>
        <v>0</v>
      </c>
    </row>
    <row r="20" spans="1:5">
      <c r="A20" s="291" t="s">
        <v>19</v>
      </c>
      <c r="B20">
        <f t="shared" si="0"/>
        <v>1.7195100000000001</v>
      </c>
      <c r="C20">
        <f t="shared" si="1"/>
        <v>2.0191083136430499</v>
      </c>
      <c r="D20">
        <f t="shared" si="2"/>
        <v>2.0179810118057602</v>
      </c>
      <c r="E20" t="b">
        <f t="shared" si="3"/>
        <v>0</v>
      </c>
    </row>
    <row r="21" spans="1:5">
      <c r="A21" s="291" t="s">
        <v>20</v>
      </c>
      <c r="B21">
        <f t="shared" si="0"/>
        <v>1.2959499999999999</v>
      </c>
      <c r="C21">
        <f t="shared" si="1"/>
        <v>1.5089469868813199</v>
      </c>
      <c r="D21">
        <f t="shared" si="2"/>
        <v>1.50655643150856</v>
      </c>
      <c r="E21" t="b">
        <f t="shared" si="3"/>
        <v>0</v>
      </c>
    </row>
    <row r="22" spans="1:5">
      <c r="A22" s="291" t="s">
        <v>11</v>
      </c>
      <c r="B22">
        <f t="shared" si="0"/>
        <v>135.815</v>
      </c>
      <c r="C22">
        <f t="shared" si="1"/>
        <v>185.793500688096</v>
      </c>
      <c r="D22">
        <f t="shared" si="2"/>
        <v>185.72091982469701</v>
      </c>
      <c r="E22" t="b">
        <f t="shared" si="3"/>
        <v>0</v>
      </c>
    </row>
    <row r="23" spans="1:5">
      <c r="A23" s="291" t="s">
        <v>18</v>
      </c>
      <c r="B23">
        <f t="shared" si="0"/>
        <v>1.7899</v>
      </c>
      <c r="C23">
        <f t="shared" si="1"/>
        <v>2.27462512117124</v>
      </c>
      <c r="D23">
        <f t="shared" si="2"/>
        <v>2.2678409526076</v>
      </c>
      <c r="E23" t="b">
        <f t="shared" si="3"/>
        <v>0</v>
      </c>
    </row>
    <row r="24" spans="1:5">
      <c r="A24" s="291" t="s">
        <v>13</v>
      </c>
      <c r="B24">
        <f t="shared" si="0"/>
        <v>1.3385400000000001</v>
      </c>
      <c r="C24">
        <f t="shared" si="1"/>
        <v>1.5367223619485599</v>
      </c>
      <c r="D24">
        <f t="shared" si="2"/>
        <v>1.5355229593981199</v>
      </c>
      <c r="E24" t="b">
        <f t="shared" si="3"/>
        <v>0</v>
      </c>
    </row>
    <row r="25" spans="1:5">
      <c r="A25" s="291" t="s">
        <v>21</v>
      </c>
      <c r="B25">
        <f t="shared" si="0"/>
        <v>0.96053999999999995</v>
      </c>
      <c r="C25">
        <f t="shared" si="1"/>
        <v>0.88692183634420096</v>
      </c>
      <c r="D25">
        <f t="shared" si="2"/>
        <v>0.88943121150872395</v>
      </c>
      <c r="E25" t="b">
        <f t="shared" si="3"/>
        <v>0</v>
      </c>
    </row>
    <row r="26" spans="1:5">
      <c r="A26" s="291" t="s">
        <v>27</v>
      </c>
      <c r="B26">
        <f t="shared" si="0"/>
        <v>0.72392999999999996</v>
      </c>
      <c r="C26">
        <f t="shared" si="1"/>
        <v>0.66467728965257999</v>
      </c>
      <c r="D26">
        <f t="shared" si="2"/>
        <v>0.66474677810815996</v>
      </c>
      <c r="E26" t="b">
        <f t="shared" si="3"/>
        <v>0</v>
      </c>
    </row>
    <row r="27" spans="1:5">
      <c r="A27" s="291" t="s">
        <v>10</v>
      </c>
      <c r="B27">
        <f t="shared" si="0"/>
        <v>75.867999999999995</v>
      </c>
      <c r="C27">
        <f t="shared" si="1"/>
        <v>82.096709775720001</v>
      </c>
      <c r="D27">
        <f t="shared" si="2"/>
        <v>82.041051223993193</v>
      </c>
      <c r="E27" t="b">
        <f t="shared" si="3"/>
        <v>0</v>
      </c>
    </row>
    <row r="28" spans="1:5">
      <c r="A28" s="291" t="s">
        <v>15</v>
      </c>
      <c r="B28">
        <f t="shared" si="0"/>
        <v>0.74775000000000003</v>
      </c>
      <c r="C28">
        <f t="shared" si="1"/>
        <v>0.67857839678918597</v>
      </c>
      <c r="D28">
        <f t="shared" si="2"/>
        <v>0.67814779328420904</v>
      </c>
      <c r="E28" t="b">
        <f t="shared" si="3"/>
        <v>0</v>
      </c>
    </row>
    <row r="29" spans="1:5">
      <c r="A29" s="291" t="s">
        <v>17</v>
      </c>
      <c r="B29">
        <f t="shared" si="0"/>
        <v>1.2845800000000001</v>
      </c>
      <c r="C29">
        <f t="shared" si="1"/>
        <v>1.31494433580961</v>
      </c>
      <c r="D29">
        <f t="shared" si="2"/>
        <v>1.3146857626303301</v>
      </c>
      <c r="E29" t="b">
        <f t="shared" si="3"/>
        <v>0</v>
      </c>
    </row>
    <row r="30" spans="1:5">
      <c r="A30" s="291" t="s">
        <v>16</v>
      </c>
      <c r="B30">
        <f t="shared" si="0"/>
        <v>0.96819999999999995</v>
      </c>
      <c r="C30">
        <f t="shared" si="1"/>
        <v>0.98264919449897503</v>
      </c>
      <c r="D30">
        <f t="shared" si="2"/>
        <v>0.98142850598323705</v>
      </c>
      <c r="E30" t="b">
        <f t="shared" si="3"/>
        <v>0</v>
      </c>
    </row>
    <row r="31" spans="1:5">
      <c r="A31" s="291" t="s">
        <v>9</v>
      </c>
      <c r="B31">
        <f t="shared" si="0"/>
        <v>101.465</v>
      </c>
      <c r="C31">
        <f t="shared" si="1"/>
        <v>120.993172771038</v>
      </c>
      <c r="D31">
        <f t="shared" si="2"/>
        <v>120.987765512343</v>
      </c>
      <c r="E31" t="b">
        <f t="shared" si="3"/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8"/>
  <dimension ref="B1:X41"/>
  <sheetViews>
    <sheetView topLeftCell="A2" zoomScale="78" zoomScaleNormal="78" workbookViewId="0">
      <selection activeCell="K5" sqref="K5"/>
    </sheetView>
  </sheetViews>
  <sheetFormatPr defaultColWidth="9.140625" defaultRowHeight="12"/>
  <cols>
    <col min="1" max="1" width="4.140625" style="1" customWidth="1"/>
    <col min="2" max="3" width="9.140625" style="1"/>
    <col min="4" max="4" width="5.5703125" style="2" customWidth="1"/>
    <col min="5" max="5" width="2" style="1" customWidth="1"/>
    <col min="6" max="6" width="4.85546875" style="1" customWidth="1"/>
    <col min="7" max="10" width="9.140625" style="1"/>
    <col min="11" max="11" width="5.42578125" style="1" customWidth="1"/>
    <col min="12" max="12" width="4.7109375" style="1" customWidth="1"/>
    <col min="13" max="13" width="4.5703125" style="1" customWidth="1"/>
    <col min="14" max="14" width="5.28515625" style="1" customWidth="1"/>
    <col min="15" max="15" width="9.140625" style="1"/>
    <col min="16" max="16" width="9.140625" style="1" customWidth="1"/>
    <col min="17" max="17" width="5.7109375" style="1" customWidth="1"/>
    <col min="18" max="18" width="2.5703125" style="1" customWidth="1"/>
    <col min="19" max="19" width="4" style="1" customWidth="1"/>
    <col min="20" max="16384" width="9.140625" style="1"/>
  </cols>
  <sheetData>
    <row r="1" spans="2:24" hidden="1">
      <c r="E1" s="1" t="s">
        <v>182</v>
      </c>
    </row>
    <row r="3" spans="2:24">
      <c r="B3" s="1" t="s">
        <v>28</v>
      </c>
      <c r="O3" s="1" t="s">
        <v>33</v>
      </c>
    </row>
    <row r="4" spans="2:24">
      <c r="C4" s="1" t="s">
        <v>6</v>
      </c>
      <c r="D4" s="2">
        <f t="shared" ref="D4:D10" si="0">IF(C4="","",VLOOKUP(C4,HM_Calc_Array,13,FALSE))</f>
        <v>1.7823860449125142</v>
      </c>
      <c r="E4" s="1" t="s">
        <v>29</v>
      </c>
      <c r="F4" s="316"/>
      <c r="K4" s="1" t="str">
        <f t="shared" ref="K4:K10" si="1">IF(C4="","",IF(D4&gt;0.25,"Buy",IF(D4&lt;-0.25,"Sell",IF(D4=0,"",IF(D4&lt;0.25,"")))))</f>
        <v>Buy</v>
      </c>
      <c r="P4" s="1" t="s">
        <v>13</v>
      </c>
      <c r="Q4" s="2">
        <f t="shared" ref="Q4:Q10" si="2">IF(P4="","",VLOOKUP(P4,HM_Calc_Array,13,FALSE))</f>
        <v>-12.875321378592119</v>
      </c>
      <c r="R4" s="1" t="s">
        <v>29</v>
      </c>
      <c r="S4" s="316"/>
      <c r="X4" s="1" t="str">
        <f t="shared" ref="X4:X10" si="3">IF(P4="","",IF(Q4&gt;0.25,"Buy",IF(Q4&lt;-0.25,"Sell",IF(Q4=0,"",IF(Q4&lt;0.25,"")))))</f>
        <v>Sell</v>
      </c>
    </row>
    <row r="5" spans="2:24">
      <c r="C5" s="1" t="s">
        <v>13</v>
      </c>
      <c r="D5" s="2">
        <f t="shared" si="0"/>
        <v>-12.875321378592119</v>
      </c>
      <c r="E5" s="1" t="s">
        <v>29</v>
      </c>
      <c r="F5" s="316"/>
      <c r="K5" s="1" t="str">
        <f t="shared" si="1"/>
        <v>Sell</v>
      </c>
      <c r="P5" s="1" t="s">
        <v>18</v>
      </c>
      <c r="Q5" s="2">
        <f t="shared" si="2"/>
        <v>-22.798224691283476</v>
      </c>
      <c r="R5" s="1" t="s">
        <v>29</v>
      </c>
      <c r="S5" s="316"/>
      <c r="X5" s="1" t="str">
        <f t="shared" si="3"/>
        <v>Sell</v>
      </c>
    </row>
    <row r="6" spans="2:24">
      <c r="C6" s="1" t="s">
        <v>14</v>
      </c>
      <c r="D6" s="2">
        <f t="shared" si="0"/>
        <v>6.0080806409354786</v>
      </c>
      <c r="E6" s="1" t="s">
        <v>29</v>
      </c>
      <c r="F6" s="316"/>
      <c r="K6" s="1" t="str">
        <f t="shared" si="1"/>
        <v>Buy</v>
      </c>
      <c r="P6" s="1" t="s">
        <v>19</v>
      </c>
      <c r="Q6" s="2">
        <f t="shared" si="2"/>
        <v>-14.82008044860997</v>
      </c>
      <c r="R6" s="1" t="s">
        <v>29</v>
      </c>
      <c r="S6" s="316"/>
      <c r="X6" s="1" t="str">
        <f t="shared" si="3"/>
        <v>Sell</v>
      </c>
    </row>
    <row r="7" spans="2:24">
      <c r="C7" s="1" t="s">
        <v>15</v>
      </c>
      <c r="D7" s="2">
        <f t="shared" si="0"/>
        <v>10.222582547169814</v>
      </c>
      <c r="E7" s="1" t="s">
        <v>29</v>
      </c>
      <c r="F7" s="316"/>
      <c r="K7" s="1" t="str">
        <f t="shared" si="1"/>
        <v>Buy</v>
      </c>
      <c r="P7" s="1" t="s">
        <v>23</v>
      </c>
      <c r="Q7" s="2">
        <f t="shared" si="2"/>
        <v>-17.807456084446262</v>
      </c>
      <c r="R7" s="1" t="s">
        <v>29</v>
      </c>
      <c r="S7" s="316"/>
      <c r="X7" s="1" t="str">
        <f t="shared" si="3"/>
        <v>Sell</v>
      </c>
    </row>
    <row r="8" spans="2:24">
      <c r="C8" s="1" t="s">
        <v>16</v>
      </c>
      <c r="D8" s="2">
        <f t="shared" si="0"/>
        <v>-1.477531748616095</v>
      </c>
      <c r="E8" s="1" t="s">
        <v>29</v>
      </c>
      <c r="F8" s="316"/>
      <c r="K8" s="1" t="str">
        <f t="shared" si="1"/>
        <v>Sell</v>
      </c>
      <c r="P8" s="1" t="s">
        <v>20</v>
      </c>
      <c r="Q8" s="2">
        <f t="shared" si="2"/>
        <v>-14.166401737932507</v>
      </c>
      <c r="R8" s="1" t="s">
        <v>29</v>
      </c>
      <c r="S8" s="316"/>
      <c r="X8" s="1" t="str">
        <f t="shared" si="3"/>
        <v>Sell</v>
      </c>
    </row>
    <row r="9" spans="2:24">
      <c r="C9" s="1" t="s">
        <v>9</v>
      </c>
      <c r="D9" s="2">
        <f t="shared" si="0"/>
        <v>-16.13492470203164</v>
      </c>
      <c r="E9" s="1" t="s">
        <v>29</v>
      </c>
      <c r="F9" s="316"/>
      <c r="K9" s="1" t="str">
        <f t="shared" si="1"/>
        <v>Sell</v>
      </c>
      <c r="P9" s="1" t="s">
        <v>11</v>
      </c>
      <c r="Q9" s="2">
        <f t="shared" si="2"/>
        <v>-26.933257297797478</v>
      </c>
      <c r="R9" s="1" t="s">
        <v>29</v>
      </c>
      <c r="S9" s="316"/>
      <c r="X9" s="1" t="str">
        <f t="shared" si="3"/>
        <v>Sell</v>
      </c>
    </row>
    <row r="10" spans="2:24">
      <c r="C10" s="1" t="s">
        <v>17</v>
      </c>
      <c r="D10" s="2">
        <f t="shared" si="0"/>
        <v>-2.2337567450320783</v>
      </c>
      <c r="E10" s="1" t="s">
        <v>29</v>
      </c>
      <c r="F10" s="316"/>
      <c r="K10" s="1" t="str">
        <f t="shared" si="1"/>
        <v>Sell</v>
      </c>
      <c r="P10" s="1" t="s">
        <v>3</v>
      </c>
      <c r="Q10" s="2">
        <f t="shared" si="2"/>
        <v>16.826301522207537</v>
      </c>
      <c r="R10" s="1" t="s">
        <v>29</v>
      </c>
      <c r="S10" s="316"/>
      <c r="X10" s="1" t="str">
        <f t="shared" si="3"/>
        <v>Buy</v>
      </c>
    </row>
    <row r="11" spans="2:24" ht="12.75" thickBot="1">
      <c r="D11" s="317">
        <f>SUM(D4:D10)</f>
        <v>-14.708485341254125</v>
      </c>
      <c r="Q11" s="317">
        <f>SUM(Q4:Q10)</f>
        <v>-92.574440116454269</v>
      </c>
    </row>
    <row r="12" spans="2:24">
      <c r="Q12" s="2"/>
    </row>
    <row r="13" spans="2:24">
      <c r="B13" s="1" t="s">
        <v>30</v>
      </c>
      <c r="O13" s="1" t="s">
        <v>34</v>
      </c>
      <c r="Q13" s="2"/>
    </row>
    <row r="14" spans="2:24">
      <c r="C14" s="1" t="s">
        <v>25</v>
      </c>
      <c r="D14" s="2">
        <f t="shared" ref="D14:D20" si="4">IF(C14="","",VLOOKUP(C14,HM_Calc_Array,13,FALSE))</f>
        <v>4.4542992267426342</v>
      </c>
      <c r="E14" s="1" t="s">
        <v>29</v>
      </c>
      <c r="F14" s="316"/>
      <c r="K14" s="1" t="str">
        <f t="shared" ref="K14:K20" si="5">IF(C14="","",IF(D14&gt;0.25,"Buy",IF(D14&lt;-0.25,"Sell",IF(D14=0,"",IF(D14&lt;0.25,"")))))</f>
        <v>Buy</v>
      </c>
      <c r="P14" s="1" t="s">
        <v>14</v>
      </c>
      <c r="Q14" s="2">
        <f t="shared" ref="Q14:Q20" si="6">IF(P14="","",VLOOKUP(P14,HM_Calc_Array,13,FALSE))</f>
        <v>6.0080806409354786</v>
      </c>
      <c r="R14" s="1" t="s">
        <v>29</v>
      </c>
      <c r="S14" s="316"/>
      <c r="X14" s="1" t="str">
        <f t="shared" ref="X14:X20" si="7">IF(P14="","",IF(Q14&gt;0.25,"Buy",IF(Q14&lt;-0.25,"Sell",IF(Q14=0,"",IF(Q14&lt;0.25,"")))))</f>
        <v>Buy</v>
      </c>
    </row>
    <row r="15" spans="2:24">
      <c r="C15" s="1" t="s">
        <v>26</v>
      </c>
      <c r="D15" s="2">
        <f t="shared" si="4"/>
        <v>0.78901266432190453</v>
      </c>
      <c r="E15" s="1" t="s">
        <v>29</v>
      </c>
      <c r="F15" s="316"/>
      <c r="K15" s="1" t="str">
        <f t="shared" si="5"/>
        <v>Buy</v>
      </c>
      <c r="P15" s="1" t="s">
        <v>25</v>
      </c>
      <c r="Q15" s="2">
        <f t="shared" si="6"/>
        <v>4.4542992267426342</v>
      </c>
      <c r="R15" s="1" t="s">
        <v>29</v>
      </c>
      <c r="S15" s="316"/>
      <c r="X15" s="1" t="str">
        <f t="shared" si="7"/>
        <v>Buy</v>
      </c>
    </row>
    <row r="16" spans="2:24">
      <c r="C16" s="1" t="s">
        <v>27</v>
      </c>
      <c r="D16" s="2">
        <f t="shared" si="4"/>
        <v>8.5971017971257933</v>
      </c>
      <c r="E16" s="1" t="s">
        <v>29</v>
      </c>
      <c r="F16" s="316"/>
      <c r="K16" s="1" t="str">
        <f t="shared" si="5"/>
        <v>Buy</v>
      </c>
      <c r="P16" s="1" t="s">
        <v>24</v>
      </c>
      <c r="Q16" s="2">
        <f t="shared" si="6"/>
        <v>3.637432178576304</v>
      </c>
      <c r="R16" s="1" t="s">
        <v>29</v>
      </c>
      <c r="S16" s="316"/>
      <c r="X16" s="1" t="str">
        <f t="shared" si="7"/>
        <v>Buy</v>
      </c>
    </row>
    <row r="17" spans="2:24">
      <c r="C17" s="1" t="s">
        <v>2</v>
      </c>
      <c r="D17" s="2">
        <f t="shared" si="4"/>
        <v>0.27342527296497388</v>
      </c>
      <c r="E17" s="1" t="s">
        <v>29</v>
      </c>
      <c r="F17" s="316"/>
      <c r="K17" s="1" t="str">
        <f t="shared" si="5"/>
        <v>Buy</v>
      </c>
      <c r="P17" s="1" t="s">
        <v>12</v>
      </c>
      <c r="Q17" s="2">
        <f t="shared" si="6"/>
        <v>-11.091607490909929</v>
      </c>
      <c r="R17" s="1" t="s">
        <v>29</v>
      </c>
      <c r="S17" s="316"/>
      <c r="X17" s="1" t="str">
        <f t="shared" si="7"/>
        <v>Sell</v>
      </c>
    </row>
    <row r="18" spans="2:24">
      <c r="C18" s="1" t="s">
        <v>20</v>
      </c>
      <c r="D18" s="2">
        <f t="shared" si="4"/>
        <v>-14.166401737932507</v>
      </c>
      <c r="E18" s="1" t="s">
        <v>29</v>
      </c>
      <c r="F18" s="316"/>
      <c r="K18" s="1" t="str">
        <f t="shared" si="5"/>
        <v>Sell</v>
      </c>
      <c r="P18" s="1" t="s">
        <v>22</v>
      </c>
      <c r="Q18" s="2">
        <f t="shared" si="6"/>
        <v>-3.7939973608602493</v>
      </c>
      <c r="R18" s="1" t="s">
        <v>29</v>
      </c>
      <c r="S18" s="316"/>
      <c r="X18" s="1" t="str">
        <f t="shared" si="7"/>
        <v>Sell</v>
      </c>
    </row>
    <row r="19" spans="2:24">
      <c r="C19" s="1" t="s">
        <v>16</v>
      </c>
      <c r="D19" s="2">
        <f t="shared" si="4"/>
        <v>-1.477531748616095</v>
      </c>
      <c r="E19" s="1" t="s">
        <v>29</v>
      </c>
      <c r="F19" s="316"/>
      <c r="K19" s="1" t="str">
        <f t="shared" si="5"/>
        <v>Sell</v>
      </c>
      <c r="P19" s="1" t="s">
        <v>0</v>
      </c>
      <c r="Q19" s="2">
        <f t="shared" si="6"/>
        <v>-3.9824141211981963</v>
      </c>
      <c r="R19" s="1" t="s">
        <v>29</v>
      </c>
      <c r="S19" s="316"/>
      <c r="X19" s="1" t="str">
        <f t="shared" si="7"/>
        <v>Sell</v>
      </c>
    </row>
    <row r="20" spans="2:24">
      <c r="C20" s="1" t="s">
        <v>7</v>
      </c>
      <c r="D20" s="2">
        <f t="shared" si="4"/>
        <v>-14.866357949467874</v>
      </c>
      <c r="E20" s="1" t="s">
        <v>29</v>
      </c>
      <c r="F20" s="316"/>
      <c r="K20" s="1" t="str">
        <f t="shared" si="5"/>
        <v>Sell</v>
      </c>
      <c r="P20" s="1" t="s">
        <v>23</v>
      </c>
      <c r="Q20" s="2">
        <f t="shared" si="6"/>
        <v>-17.807456084446262</v>
      </c>
      <c r="R20" s="1" t="s">
        <v>29</v>
      </c>
      <c r="S20" s="316"/>
      <c r="X20" s="1" t="str">
        <f t="shared" si="7"/>
        <v>Sell</v>
      </c>
    </row>
    <row r="21" spans="2:24" ht="12.75" thickBot="1">
      <c r="D21" s="317">
        <f>SUM(D14:D20)</f>
        <v>-16.396452474861171</v>
      </c>
      <c r="Q21" s="317">
        <f>SUM(Q14:Q20)</f>
        <v>-22.57566301116022</v>
      </c>
    </row>
    <row r="22" spans="2:24">
      <c r="Q22" s="2"/>
    </row>
    <row r="23" spans="2:24">
      <c r="B23" s="1" t="s">
        <v>31</v>
      </c>
      <c r="O23" s="1" t="s">
        <v>35</v>
      </c>
      <c r="Q23" s="2"/>
    </row>
    <row r="24" spans="2:24">
      <c r="C24" s="1" t="s">
        <v>6</v>
      </c>
      <c r="D24" s="2">
        <f t="shared" ref="D24:D30" si="8">IF(C24="","",VLOOKUP(C24,HM_Calc_Array,13,FALSE))</f>
        <v>1.7823860449125142</v>
      </c>
      <c r="E24" s="1" t="s">
        <v>29</v>
      </c>
      <c r="F24" s="316"/>
      <c r="K24" s="1" t="str">
        <f t="shared" ref="K24:K30" si="9">IF(C24="","",IF(D24&gt;0.25,"Buy",IF(D24&lt;-0.25,"Sell",IF(D24=0,"",IF(D24&lt;0.25,"")))))</f>
        <v>Buy</v>
      </c>
      <c r="P24" s="1" t="s">
        <v>17</v>
      </c>
      <c r="Q24" s="2">
        <f t="shared" ref="Q24:Q30" si="10">IF(P24="","",VLOOKUP(P24,HM_Calc_Array,13,FALSE))</f>
        <v>-2.2337567450320783</v>
      </c>
      <c r="R24" s="1" t="s">
        <v>29</v>
      </c>
      <c r="S24" s="316"/>
      <c r="X24" s="1" t="str">
        <f t="shared" ref="X24:X30" si="11">IF(P24="","",IF(Q24&gt;0.25,"Buy",IF(Q24&lt;-0.25,"Sell",IF(Q24=0,"",IF(Q24&lt;0.25,"")))))</f>
        <v>Sell</v>
      </c>
    </row>
    <row r="25" spans="2:24">
      <c r="C25" s="1" t="s">
        <v>3</v>
      </c>
      <c r="D25" s="2">
        <f t="shared" si="8"/>
        <v>16.826301522207537</v>
      </c>
      <c r="E25" s="1" t="s">
        <v>29</v>
      </c>
      <c r="F25" s="316"/>
      <c r="K25" s="1" t="str">
        <f t="shared" si="9"/>
        <v>Buy</v>
      </c>
      <c r="P25" s="1" t="s">
        <v>21</v>
      </c>
      <c r="Q25" s="2">
        <f t="shared" si="10"/>
        <v>7.7599649977001652</v>
      </c>
      <c r="R25" s="1" t="s">
        <v>29</v>
      </c>
      <c r="S25" s="316"/>
      <c r="X25" s="1" t="str">
        <f t="shared" si="11"/>
        <v>Buy</v>
      </c>
    </row>
    <row r="26" spans="2:24">
      <c r="C26" s="1" t="s">
        <v>4</v>
      </c>
      <c r="D26" s="2">
        <f t="shared" si="8"/>
        <v>-14.64667613848799</v>
      </c>
      <c r="E26" s="1" t="s">
        <v>29</v>
      </c>
      <c r="F26" s="316"/>
      <c r="K26" s="1" t="str">
        <f t="shared" si="9"/>
        <v>Sell</v>
      </c>
      <c r="P26" s="1" t="s">
        <v>19</v>
      </c>
      <c r="Q26" s="2">
        <f t="shared" si="10"/>
        <v>-14.82008044860997</v>
      </c>
      <c r="R26" s="1" t="s">
        <v>29</v>
      </c>
      <c r="S26" s="316"/>
      <c r="X26" s="1" t="str">
        <f t="shared" si="11"/>
        <v>Sell</v>
      </c>
    </row>
    <row r="27" spans="2:24">
      <c r="C27" s="1" t="s">
        <v>2</v>
      </c>
      <c r="D27" s="2">
        <f t="shared" si="8"/>
        <v>0.27342527296497388</v>
      </c>
      <c r="E27" s="1" t="s">
        <v>29</v>
      </c>
      <c r="F27" s="316"/>
      <c r="K27" s="1" t="str">
        <f t="shared" si="9"/>
        <v>Buy</v>
      </c>
      <c r="P27" s="1" t="s">
        <v>1</v>
      </c>
      <c r="Q27" s="2">
        <f t="shared" si="10"/>
        <v>-0.49507677477105483</v>
      </c>
      <c r="R27" s="1" t="s">
        <v>29</v>
      </c>
      <c r="S27" s="316"/>
      <c r="X27" s="1" t="str">
        <f t="shared" si="11"/>
        <v>Sell</v>
      </c>
    </row>
    <row r="28" spans="2:24">
      <c r="C28" s="1" t="s">
        <v>1</v>
      </c>
      <c r="D28" s="2">
        <f t="shared" si="8"/>
        <v>-0.49507677477105483</v>
      </c>
      <c r="E28" s="1" t="s">
        <v>29</v>
      </c>
      <c r="F28" s="316"/>
      <c r="K28" s="1" t="str">
        <f t="shared" si="9"/>
        <v>Sell</v>
      </c>
      <c r="P28" s="1" t="s">
        <v>24</v>
      </c>
      <c r="Q28" s="2">
        <f t="shared" si="10"/>
        <v>3.637432178576304</v>
      </c>
      <c r="R28" s="1" t="s">
        <v>29</v>
      </c>
      <c r="S28" s="316"/>
      <c r="X28" s="1" t="str">
        <f t="shared" si="11"/>
        <v>Buy</v>
      </c>
    </row>
    <row r="29" spans="2:24">
      <c r="C29" s="1" t="s">
        <v>0</v>
      </c>
      <c r="D29" s="2">
        <f t="shared" si="8"/>
        <v>-3.9824141211981963</v>
      </c>
      <c r="E29" s="1" t="s">
        <v>29</v>
      </c>
      <c r="F29" s="316"/>
      <c r="K29" s="1" t="str">
        <f t="shared" si="9"/>
        <v>Sell</v>
      </c>
      <c r="P29" s="1" t="s">
        <v>26</v>
      </c>
      <c r="Q29" s="2">
        <f t="shared" si="10"/>
        <v>0.78901266432190453</v>
      </c>
      <c r="R29" s="1" t="s">
        <v>29</v>
      </c>
      <c r="S29" s="316"/>
      <c r="X29" s="1" t="str">
        <f t="shared" si="11"/>
        <v>Buy</v>
      </c>
    </row>
    <row r="30" spans="2:24">
      <c r="C30" s="1" t="s">
        <v>5</v>
      </c>
      <c r="D30" s="2">
        <f t="shared" si="8"/>
        <v>-7.6366204101682476</v>
      </c>
      <c r="E30" s="1" t="s">
        <v>29</v>
      </c>
      <c r="F30" s="316"/>
      <c r="K30" s="1" t="str">
        <f t="shared" si="9"/>
        <v>Sell</v>
      </c>
      <c r="P30" s="1" t="s">
        <v>8</v>
      </c>
      <c r="Q30" s="2">
        <f t="shared" si="10"/>
        <v>-14.207970801968274</v>
      </c>
      <c r="R30" s="1" t="s">
        <v>29</v>
      </c>
      <c r="S30" s="316"/>
      <c r="X30" s="1" t="str">
        <f t="shared" si="11"/>
        <v>Sell</v>
      </c>
    </row>
    <row r="31" spans="2:24" ht="12.75" thickBot="1">
      <c r="D31" s="317">
        <f>SUM(D24:D30)</f>
        <v>-7.878674604540465</v>
      </c>
      <c r="Q31" s="317">
        <f>SUM(Q24:Q30)</f>
        <v>-19.570474929783003</v>
      </c>
    </row>
    <row r="32" spans="2:24">
      <c r="Q32" s="2"/>
    </row>
    <row r="33" spans="2:24">
      <c r="B33" s="1" t="s">
        <v>32</v>
      </c>
      <c r="O33" s="1" t="s">
        <v>36</v>
      </c>
      <c r="Q33" s="2"/>
    </row>
    <row r="34" spans="2:24">
      <c r="C34" s="1" t="s">
        <v>9</v>
      </c>
      <c r="D34" s="2">
        <f t="shared" ref="D34:D40" si="12">IF(C34="","",VLOOKUP(C34,HM_Calc_Array,13,FALSE))</f>
        <v>-16.13492470203164</v>
      </c>
      <c r="E34" s="1" t="s">
        <v>29</v>
      </c>
      <c r="F34" s="316"/>
      <c r="K34" s="1" t="str">
        <f t="shared" ref="K34:K40" si="13">IF(C34="","",IF(D34&gt;0.25,"Buy",IF(D34&lt;-0.25,"Sell",IF(D34=0,"",IF(D34&lt;0.25,"")))))</f>
        <v>Sell</v>
      </c>
      <c r="P34" s="1" t="s">
        <v>15</v>
      </c>
      <c r="Q34" s="2">
        <f t="shared" ref="Q34:Q40" si="14">IF(P34="","",VLOOKUP(P34,HM_Calc_Array,13,FALSE))</f>
        <v>10.222582547169814</v>
      </c>
      <c r="R34" s="1" t="s">
        <v>29</v>
      </c>
      <c r="S34" s="316"/>
      <c r="X34" s="1" t="str">
        <f t="shared" ref="X34:X40" si="15">IF(P34="","",IF(Q34&gt;0.25,"Buy",IF(Q34&lt;-0.25,"Sell",IF(Q34=0,"",IF(Q34&lt;0.25,"")))))</f>
        <v>Buy</v>
      </c>
    </row>
    <row r="35" spans="2:24">
      <c r="C35" s="1" t="s">
        <v>4</v>
      </c>
      <c r="D35" s="2">
        <f t="shared" si="12"/>
        <v>-14.64667613848799</v>
      </c>
      <c r="E35" s="1" t="s">
        <v>29</v>
      </c>
      <c r="F35" s="316"/>
      <c r="K35" s="1" t="str">
        <f t="shared" si="13"/>
        <v>Sell</v>
      </c>
      <c r="P35" s="1" t="s">
        <v>27</v>
      </c>
      <c r="Q35" s="2">
        <f t="shared" si="14"/>
        <v>8.5971017971257933</v>
      </c>
      <c r="R35" s="1" t="s">
        <v>29</v>
      </c>
      <c r="S35" s="316"/>
      <c r="X35" s="1" t="str">
        <f t="shared" si="15"/>
        <v>Buy</v>
      </c>
    </row>
    <row r="36" spans="2:24">
      <c r="C36" s="1" t="s">
        <v>11</v>
      </c>
      <c r="D36" s="2">
        <f t="shared" si="12"/>
        <v>-26.933257297797478</v>
      </c>
      <c r="E36" s="1" t="s">
        <v>29</v>
      </c>
      <c r="F36" s="316"/>
      <c r="K36" s="1" t="str">
        <f t="shared" si="13"/>
        <v>Sell</v>
      </c>
      <c r="P36" s="1" t="s">
        <v>21</v>
      </c>
      <c r="Q36" s="2">
        <f t="shared" si="14"/>
        <v>7.7599649977001652</v>
      </c>
      <c r="R36" s="1" t="s">
        <v>29</v>
      </c>
      <c r="S36" s="316"/>
      <c r="X36" s="1" t="str">
        <f t="shared" si="15"/>
        <v>Buy</v>
      </c>
    </row>
    <row r="37" spans="2:24">
      <c r="C37" s="1" t="s">
        <v>12</v>
      </c>
      <c r="D37" s="2">
        <f t="shared" si="12"/>
        <v>-11.091607490909929</v>
      </c>
      <c r="E37" s="1" t="s">
        <v>29</v>
      </c>
      <c r="F37" s="316"/>
      <c r="K37" s="1" t="str">
        <f t="shared" si="13"/>
        <v>Sell</v>
      </c>
      <c r="P37" s="1" t="s">
        <v>10</v>
      </c>
      <c r="Q37" s="2">
        <f t="shared" si="14"/>
        <v>-7.5569635676860081</v>
      </c>
      <c r="R37" s="1" t="s">
        <v>29</v>
      </c>
      <c r="S37" s="316"/>
      <c r="X37" s="1" t="str">
        <f t="shared" si="15"/>
        <v>Sell</v>
      </c>
    </row>
    <row r="38" spans="2:24">
      <c r="C38" s="1" t="s">
        <v>7</v>
      </c>
      <c r="D38" s="2">
        <f t="shared" si="12"/>
        <v>-14.866357949467874</v>
      </c>
      <c r="E38" s="1" t="s">
        <v>29</v>
      </c>
      <c r="F38" s="316"/>
      <c r="K38" s="1" t="str">
        <f t="shared" si="13"/>
        <v>Sell</v>
      </c>
      <c r="P38" s="1" t="s">
        <v>22</v>
      </c>
      <c r="Q38" s="2">
        <f t="shared" si="14"/>
        <v>-3.7939973608602493</v>
      </c>
      <c r="R38" s="1" t="s">
        <v>29</v>
      </c>
      <c r="S38" s="316"/>
      <c r="X38" s="1" t="str">
        <f t="shared" si="15"/>
        <v>Sell</v>
      </c>
    </row>
    <row r="39" spans="2:24">
      <c r="C39" s="1" t="s">
        <v>10</v>
      </c>
      <c r="D39" s="2">
        <f t="shared" si="12"/>
        <v>-7.5569635676860081</v>
      </c>
      <c r="E39" s="1" t="s">
        <v>29</v>
      </c>
      <c r="F39" s="316"/>
      <c r="K39" s="1" t="str">
        <f t="shared" si="13"/>
        <v>Sell</v>
      </c>
      <c r="P39" s="1" t="s">
        <v>18</v>
      </c>
      <c r="Q39" s="2">
        <f t="shared" si="14"/>
        <v>-22.798224691283476</v>
      </c>
      <c r="R39" s="1" t="s">
        <v>29</v>
      </c>
      <c r="S39" s="316"/>
      <c r="X39" s="1" t="str">
        <f t="shared" si="15"/>
        <v>Sell</v>
      </c>
    </row>
    <row r="40" spans="2:24">
      <c r="C40" s="1" t="s">
        <v>8</v>
      </c>
      <c r="D40" s="2">
        <f t="shared" si="12"/>
        <v>-14.207970801968274</v>
      </c>
      <c r="E40" s="1" t="s">
        <v>29</v>
      </c>
      <c r="F40" s="316"/>
      <c r="K40" s="1" t="str">
        <f t="shared" si="13"/>
        <v>Sell</v>
      </c>
      <c r="P40" s="1" t="s">
        <v>5</v>
      </c>
      <c r="Q40" s="2">
        <f t="shared" si="14"/>
        <v>-7.6366204101682476</v>
      </c>
      <c r="R40" s="1" t="s">
        <v>29</v>
      </c>
      <c r="S40" s="316"/>
      <c r="X40" s="1" t="str">
        <f t="shared" si="15"/>
        <v>Sell</v>
      </c>
    </row>
    <row r="41" spans="2:24" ht="12.75" thickBot="1">
      <c r="D41" s="317">
        <f>SUM(D34:D40)</f>
        <v>-105.43775794834919</v>
      </c>
      <c r="Q41" s="317">
        <f>SUM(Q34:Q40)</f>
        <v>-15.206156688002206</v>
      </c>
    </row>
  </sheetData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09221FEE-66B9-4AA6-AD15-AF2F39350BE4}">
            <xm:f>NOT(ISERROR(SEARCH($K$6=buy,L6)))</xm:f>
            <xm:f>$K$6=buy</xm:f>
            <x14:dxf>
              <fill>
                <patternFill>
                  <bgColor rgb="FF0070C0"/>
                </patternFill>
              </fill>
            </x14:dxf>
          </x14:cfRule>
          <xm:sqref>L6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9"/>
  <dimension ref="A4:P39"/>
  <sheetViews>
    <sheetView workbookViewId="0">
      <selection activeCell="E39" sqref="E39"/>
    </sheetView>
  </sheetViews>
  <sheetFormatPr defaultColWidth="9.140625" defaultRowHeight="15"/>
  <cols>
    <col min="13" max="13" width="9.5703125" bestFit="1" customWidth="1"/>
  </cols>
  <sheetData>
    <row r="4" spans="1:16">
      <c r="E4" t="s">
        <v>192</v>
      </c>
    </row>
    <row r="5" spans="1:16">
      <c r="B5" t="s">
        <v>183</v>
      </c>
    </row>
    <row r="7" spans="1:16" ht="15.75" thickBot="1">
      <c r="A7" s="184" t="s">
        <v>42</v>
      </c>
      <c r="B7" s="318" t="s">
        <v>37</v>
      </c>
      <c r="C7" s="184" t="s">
        <v>64</v>
      </c>
      <c r="D7" s="185" t="s">
        <v>190</v>
      </c>
      <c r="E7" s="319">
        <v>0</v>
      </c>
      <c r="F7" s="185" t="s">
        <v>184</v>
      </c>
      <c r="G7" s="319">
        <v>0.16666666666666666</v>
      </c>
      <c r="H7" s="320" t="s">
        <v>185</v>
      </c>
      <c r="I7" s="319">
        <v>0.33333333333333331</v>
      </c>
      <c r="J7" s="320" t="s">
        <v>186</v>
      </c>
      <c r="K7" s="320">
        <v>0.5</v>
      </c>
      <c r="L7" s="320" t="s">
        <v>187</v>
      </c>
      <c r="M7" s="320">
        <v>0.66666666666666663</v>
      </c>
      <c r="N7" s="321" t="s">
        <v>188</v>
      </c>
      <c r="O7" s="320">
        <v>0.83333333333333337</v>
      </c>
      <c r="P7" s="321" t="s">
        <v>189</v>
      </c>
    </row>
    <row r="8" spans="1:16">
      <c r="A8" s="186">
        <f t="shared" ref="A8:A35" si="0">IF(B8="","",HLOOKUP(B8,pArray,6,FALSE))</f>
        <v>0.90000000000034497</v>
      </c>
      <c r="B8" s="322" t="s">
        <v>24</v>
      </c>
      <c r="C8" s="187">
        <f t="shared" ref="C8:C35" si="1">IF(B8="","",HLOOKUP(B8,pArray,9,FALSE))</f>
        <v>0.93957115009746039</v>
      </c>
      <c r="D8" s="2">
        <f t="shared" ref="D8:D35" si="2">IF(B8="","",VLOOKUP(B8,HM_Calc_Array,13,FALSE))</f>
        <v>3.637432178576304</v>
      </c>
      <c r="E8" s="187">
        <v>0.67692307692306819</v>
      </c>
      <c r="F8" s="323" t="str">
        <f>IF(B8="","",IF(E8&gt;O8,"Buy",IF(E8&lt;O8,"Sell",IF(E8=O8,"Wait"))))</f>
        <v>Buy</v>
      </c>
      <c r="G8" s="187">
        <v>0.41342756183745755</v>
      </c>
      <c r="H8" s="323" t="str">
        <f>IF(B8="","",IF(G8&gt;E8,"Buy",IF(G8&lt;E8,"Sell",IF(G8=E8,"Wait"))))</f>
        <v>Sell</v>
      </c>
      <c r="I8" s="187">
        <v>0.57142857142860271</v>
      </c>
      <c r="J8" s="323" t="str">
        <f>IF(B8="","",IF(I8&gt;G8,"Buy",IF(I8&lt;G8,"Sell",IF(I8=G8,"Wait"))))</f>
        <v>Buy</v>
      </c>
      <c r="K8" s="187">
        <v>0.70808678500985589</v>
      </c>
      <c r="L8" s="323" t="str">
        <f>IF(B8="","",IF(K8&gt;I8,"Buy",IF(K8&lt;I8,"Sell",IF(K8=I8,"Wait"))))</f>
        <v>Buy</v>
      </c>
      <c r="M8" s="187">
        <v>0.96684350132626373</v>
      </c>
      <c r="N8" s="323" t="str">
        <f>IF(B8="","",IF(M8&gt;K8,"Buy",IF(M8&lt;K8,"Sell",IF(M8=K8,"Wait"))))</f>
        <v>Buy</v>
      </c>
      <c r="O8" s="187">
        <v>0.5692307692307671</v>
      </c>
      <c r="P8" s="323" t="str">
        <f>IF(B8="","",IF(O8&gt;M8,"Buy",IF(O8&lt;M8,"Sell",IF(O8=M8,"Wait"))))</f>
        <v>Sell</v>
      </c>
    </row>
    <row r="9" spans="1:16">
      <c r="A9" s="186">
        <f t="shared" si="0"/>
        <v>0.99999999999988987</v>
      </c>
      <c r="B9" s="324" t="s">
        <v>25</v>
      </c>
      <c r="C9" s="187">
        <f t="shared" si="1"/>
        <v>0.62935323383085007</v>
      </c>
      <c r="D9" s="2">
        <f t="shared" si="2"/>
        <v>4.4542992267426342</v>
      </c>
      <c r="E9" s="187">
        <v>0.91881443298968801</v>
      </c>
      <c r="F9" s="323" t="str">
        <f t="shared" ref="F9:F35" si="3">IF(B9="","",IF(E9&gt;O9,"Buy",IF(E9&lt;O9,"Sell",IF(E9=O9,"Wait"))))</f>
        <v>Buy</v>
      </c>
      <c r="G9" s="187">
        <v>0.61057692307689593</v>
      </c>
      <c r="H9" s="323" t="str">
        <f t="shared" ref="H9:H35" si="4">IF(B9="","",IF(G9&gt;E9,"Buy",IF(G9&lt;E9,"Sell",IF(G9=E9,"Wait"))))</f>
        <v>Sell</v>
      </c>
      <c r="I9" s="187">
        <v>0.89781021897810209</v>
      </c>
      <c r="J9" s="323" t="str">
        <f t="shared" ref="J9:J35" si="5">IF(B9="","",IF(I9&gt;G9,"Buy",IF(I9&lt;G9,"Sell",IF(I9=G9,"Wait"))))</f>
        <v>Buy</v>
      </c>
      <c r="K9" s="187">
        <v>0.64864864864865157</v>
      </c>
      <c r="L9" s="323" t="str">
        <f t="shared" ref="L9:L35" si="6">IF(B9="","",IF(K9&gt;I9,"Buy",IF(K9&lt;I9,"Sell",IF(K9=I9,"Wait"))))</f>
        <v>Sell</v>
      </c>
      <c r="M9" s="187">
        <v>0.61496598639455624</v>
      </c>
      <c r="N9" s="323" t="str">
        <f t="shared" ref="N9:N35" si="7">IF(B9="","",IF(M9&gt;K9,"Buy",IF(M9&lt;K9,"Sell",IF(M9=K9,"Wait"))))</f>
        <v>Sell</v>
      </c>
      <c r="O9" s="187">
        <v>0.65721649484536093</v>
      </c>
      <c r="P9" s="323" t="str">
        <f t="shared" ref="P9:P35" si="8">IF(B9="","",IF(O9&gt;M9,"Buy",IF(O9&lt;M9,"Sell",IF(O9=M9,"Wait"))))</f>
        <v>Buy</v>
      </c>
    </row>
    <row r="10" spans="1:16">
      <c r="A10" s="186">
        <f t="shared" si="0"/>
        <v>0.70000000000050022</v>
      </c>
      <c r="B10" s="325" t="s">
        <v>12</v>
      </c>
      <c r="C10" s="187">
        <f t="shared" si="1"/>
        <v>0.48670520231213271</v>
      </c>
      <c r="D10" s="2">
        <f t="shared" si="2"/>
        <v>-11.091607490909929</v>
      </c>
      <c r="E10" s="187">
        <v>0.87927424982554014</v>
      </c>
      <c r="F10" s="323" t="str">
        <f t="shared" si="3"/>
        <v>Buy</v>
      </c>
      <c r="G10" s="187">
        <v>0.63207547169814149</v>
      </c>
      <c r="H10" s="323" t="str">
        <f t="shared" si="4"/>
        <v>Sell</v>
      </c>
      <c r="I10" s="187">
        <v>0.87500000000001277</v>
      </c>
      <c r="J10" s="323" t="str">
        <f t="shared" si="5"/>
        <v>Buy</v>
      </c>
      <c r="K10" s="187">
        <v>0.65553869499241002</v>
      </c>
      <c r="L10" s="323" t="str">
        <f t="shared" si="6"/>
        <v>Sell</v>
      </c>
      <c r="M10" s="187">
        <v>0.86043265875784936</v>
      </c>
      <c r="N10" s="323" t="str">
        <f t="shared" si="7"/>
        <v>Buy</v>
      </c>
      <c r="O10" s="187">
        <v>0.87648290300069376</v>
      </c>
      <c r="P10" s="323" t="str">
        <f t="shared" si="8"/>
        <v>Buy</v>
      </c>
    </row>
    <row r="11" spans="1:16">
      <c r="A11" s="186">
        <f t="shared" si="0"/>
        <v>1.5999999999993797</v>
      </c>
      <c r="B11" s="324" t="s">
        <v>22</v>
      </c>
      <c r="C11" s="187">
        <f t="shared" si="1"/>
        <v>0.14773776546629996</v>
      </c>
      <c r="D11" s="2">
        <f t="shared" si="2"/>
        <v>-3.7939973608602493</v>
      </c>
      <c r="E11" s="187">
        <v>0.84198645598193522</v>
      </c>
      <c r="F11" s="323" t="str">
        <f t="shared" si="3"/>
        <v>Buy</v>
      </c>
      <c r="G11" s="187">
        <v>0.67015706806277242</v>
      </c>
      <c r="H11" s="323" t="str">
        <f t="shared" si="4"/>
        <v>Sell</v>
      </c>
      <c r="I11" s="187">
        <v>0.94811320754714423</v>
      </c>
      <c r="J11" s="323" t="str">
        <f t="shared" si="5"/>
        <v>Buy</v>
      </c>
      <c r="K11" s="187">
        <v>0.33988439306357532</v>
      </c>
      <c r="L11" s="323" t="str">
        <f t="shared" si="6"/>
        <v>Sell</v>
      </c>
      <c r="M11" s="187">
        <v>0.98362573099414885</v>
      </c>
      <c r="N11" s="323" t="str">
        <f t="shared" si="7"/>
        <v>Buy</v>
      </c>
      <c r="O11" s="187">
        <v>0.75282167042888093</v>
      </c>
      <c r="P11" s="323" t="str">
        <f t="shared" si="8"/>
        <v>Sell</v>
      </c>
    </row>
    <row r="12" spans="1:16">
      <c r="A12" s="186">
        <f t="shared" si="0"/>
        <v>0.20000000000020002</v>
      </c>
      <c r="B12" s="325" t="s">
        <v>14</v>
      </c>
      <c r="C12" s="187">
        <f t="shared" si="1"/>
        <v>0.97587131367291313</v>
      </c>
      <c r="D12" s="2">
        <f t="shared" si="2"/>
        <v>6.0080806409354786</v>
      </c>
      <c r="E12" s="187">
        <v>0.92901234567901614</v>
      </c>
      <c r="F12" s="323" t="str">
        <f t="shared" si="3"/>
        <v>Buy</v>
      </c>
      <c r="G12" s="187">
        <v>0.72332015810275685</v>
      </c>
      <c r="H12" s="323" t="str">
        <f t="shared" si="4"/>
        <v>Sell</v>
      </c>
      <c r="I12" s="187">
        <v>0.88729016786571469</v>
      </c>
      <c r="J12" s="323" t="str">
        <f t="shared" si="5"/>
        <v>Buy</v>
      </c>
      <c r="K12" s="187">
        <v>0.70060790273557139</v>
      </c>
      <c r="L12" s="323" t="str">
        <f t="shared" si="6"/>
        <v>Sell</v>
      </c>
      <c r="M12" s="187">
        <v>0.84876543209876931</v>
      </c>
      <c r="N12" s="323" t="str">
        <f t="shared" si="7"/>
        <v>Buy</v>
      </c>
      <c r="O12" s="187">
        <v>0.8641975308641997</v>
      </c>
      <c r="P12" s="323" t="str">
        <f t="shared" si="8"/>
        <v>Buy</v>
      </c>
    </row>
    <row r="13" spans="1:16">
      <c r="A13" s="186">
        <f t="shared" si="0"/>
        <v>1.2000000000000899</v>
      </c>
      <c r="B13" s="324" t="s">
        <v>26</v>
      </c>
      <c r="C13" s="187">
        <f t="shared" si="1"/>
        <v>0.19130434782607858</v>
      </c>
      <c r="D13" s="2">
        <f t="shared" si="2"/>
        <v>0.78901266432190453</v>
      </c>
      <c r="E13" s="187">
        <v>0.51420029895366404</v>
      </c>
      <c r="F13" s="323" t="str">
        <f t="shared" si="3"/>
        <v>Buy</v>
      </c>
      <c r="G13" s="187">
        <v>0.84000000000002284</v>
      </c>
      <c r="H13" s="323" t="str">
        <f t="shared" si="4"/>
        <v>Buy</v>
      </c>
      <c r="I13" s="187">
        <v>0.95287958115183391</v>
      </c>
      <c r="J13" s="323" t="str">
        <f t="shared" si="5"/>
        <v>Buy</v>
      </c>
      <c r="K13" s="187">
        <v>0.60287081339712678</v>
      </c>
      <c r="L13" s="323" t="str">
        <f t="shared" si="6"/>
        <v>Sell</v>
      </c>
      <c r="M13" s="187">
        <v>4.0358744394617868E-2</v>
      </c>
      <c r="N13" s="323" t="str">
        <f t="shared" si="7"/>
        <v>Sell</v>
      </c>
      <c r="O13" s="187">
        <v>0.46188340807175626</v>
      </c>
      <c r="P13" s="323" t="str">
        <f t="shared" si="8"/>
        <v>Buy</v>
      </c>
    </row>
    <row r="14" spans="1:16">
      <c r="A14" s="186">
        <f t="shared" si="0"/>
        <v>0.60000000000002274</v>
      </c>
      <c r="B14" s="326" t="s">
        <v>8</v>
      </c>
      <c r="C14" s="187">
        <f t="shared" si="1"/>
        <v>0.32503457814661102</v>
      </c>
      <c r="D14" s="2">
        <f t="shared" si="2"/>
        <v>-14.207970801968274</v>
      </c>
      <c r="E14" s="187">
        <v>0.65453005927180175</v>
      </c>
      <c r="F14" s="323" t="str">
        <f t="shared" si="3"/>
        <v>Sell</v>
      </c>
      <c r="G14" s="187">
        <v>0.63033175355448579</v>
      </c>
      <c r="H14" s="323" t="str">
        <f t="shared" si="4"/>
        <v>Sell</v>
      </c>
      <c r="I14" s="187">
        <v>0.94704684317719701</v>
      </c>
      <c r="J14" s="323" t="str">
        <f t="shared" si="5"/>
        <v>Buy</v>
      </c>
      <c r="K14" s="187">
        <v>0.659722222222211</v>
      </c>
      <c r="L14" s="323" t="str">
        <f t="shared" si="6"/>
        <v>Sell</v>
      </c>
      <c r="M14" s="187">
        <v>0.55376799322607773</v>
      </c>
      <c r="N14" s="323" t="str">
        <f t="shared" si="7"/>
        <v>Sell</v>
      </c>
      <c r="O14" s="187">
        <v>0.80779000846739679</v>
      </c>
      <c r="P14" s="323" t="str">
        <f t="shared" si="8"/>
        <v>Buy</v>
      </c>
    </row>
    <row r="15" spans="1:16">
      <c r="A15" s="186">
        <f>IF(B15="","",HLOOKUP(B15,pArray,6,FALSE))</f>
        <v>1.2000000000000455</v>
      </c>
      <c r="B15" s="327" t="s">
        <v>7</v>
      </c>
      <c r="C15" s="187">
        <f t="shared" si="1"/>
        <v>0.4946466809421815</v>
      </c>
      <c r="D15" s="2">
        <f t="shared" si="2"/>
        <v>-14.866357949467874</v>
      </c>
      <c r="E15" s="187">
        <v>0.74526453298497775</v>
      </c>
      <c r="F15" s="323" t="str">
        <f t="shared" si="3"/>
        <v>Sell</v>
      </c>
      <c r="G15" s="187">
        <v>0.42325581395351974</v>
      </c>
      <c r="H15" s="323" t="str">
        <f t="shared" si="4"/>
        <v>Sell</v>
      </c>
      <c r="I15" s="187">
        <v>0.9108108108108085</v>
      </c>
      <c r="J15" s="323" t="str">
        <f t="shared" si="5"/>
        <v>Buy</v>
      </c>
      <c r="K15" s="187">
        <v>0.36567164179104</v>
      </c>
      <c r="L15" s="323" t="str">
        <f t="shared" si="6"/>
        <v>Sell</v>
      </c>
      <c r="M15" s="187">
        <v>0.96472893533638038</v>
      </c>
      <c r="N15" s="323" t="str">
        <f t="shared" si="7"/>
        <v>Buy</v>
      </c>
      <c r="O15" s="187">
        <v>0.91770084911822059</v>
      </c>
      <c r="P15" s="323" t="str">
        <f t="shared" si="8"/>
        <v>Sell</v>
      </c>
    </row>
    <row r="16" spans="1:16">
      <c r="A16" s="186">
        <f t="shared" si="0"/>
        <v>1.100000000000545</v>
      </c>
      <c r="B16" s="324" t="s">
        <v>0</v>
      </c>
      <c r="C16" s="187">
        <f t="shared" si="1"/>
        <v>3.3873343151687406E-2</v>
      </c>
      <c r="D16" s="2">
        <f t="shared" si="2"/>
        <v>-3.9824141211981963</v>
      </c>
      <c r="E16" s="187">
        <v>0.18600531443755419</v>
      </c>
      <c r="F16" s="323" t="str">
        <f t="shared" si="3"/>
        <v>Sell</v>
      </c>
      <c r="G16" s="187">
        <v>0.55752212389378764</v>
      </c>
      <c r="H16" s="323" t="str">
        <f t="shared" si="4"/>
        <v>Buy</v>
      </c>
      <c r="I16" s="187">
        <v>0.10978520286396491</v>
      </c>
      <c r="J16" s="323" t="str">
        <f t="shared" si="5"/>
        <v>Sell</v>
      </c>
      <c r="K16" s="187">
        <v>0.2716577540107033</v>
      </c>
      <c r="L16" s="323" t="str">
        <f t="shared" si="6"/>
        <v>Buy</v>
      </c>
      <c r="M16" s="187">
        <v>0.54561558901682294</v>
      </c>
      <c r="N16" s="323" t="str">
        <f t="shared" si="7"/>
        <v>Buy</v>
      </c>
      <c r="O16" s="187">
        <v>0.64747564216119691</v>
      </c>
      <c r="P16" s="323" t="str">
        <f t="shared" si="8"/>
        <v>Buy</v>
      </c>
    </row>
    <row r="17" spans="1:16">
      <c r="A17" s="186">
        <f t="shared" si="0"/>
        <v>0.70000000000014495</v>
      </c>
      <c r="B17" s="324" t="s">
        <v>1</v>
      </c>
      <c r="C17" s="187">
        <f t="shared" si="1"/>
        <v>0.66772151898732524</v>
      </c>
      <c r="D17" s="2">
        <f t="shared" si="2"/>
        <v>-0.49507677477105483</v>
      </c>
      <c r="E17" s="187">
        <v>0.590736522399396</v>
      </c>
      <c r="F17" s="323" t="str">
        <f t="shared" si="3"/>
        <v>Sell</v>
      </c>
      <c r="G17" s="187">
        <v>0.41706161137439263</v>
      </c>
      <c r="H17" s="323" t="str">
        <f t="shared" si="4"/>
        <v>Sell</v>
      </c>
      <c r="I17" s="187">
        <v>3.3388981636056761E-2</v>
      </c>
      <c r="J17" s="323" t="str">
        <f t="shared" si="5"/>
        <v>Sell</v>
      </c>
      <c r="K17" s="187">
        <v>0.2986547085201845</v>
      </c>
      <c r="L17" s="323" t="str">
        <f t="shared" si="6"/>
        <v>Buy</v>
      </c>
      <c r="M17" s="187">
        <v>0.96886864085041613</v>
      </c>
      <c r="N17" s="323" t="str">
        <f t="shared" si="7"/>
        <v>Buy</v>
      </c>
      <c r="O17" s="187">
        <v>0.72589217919513438</v>
      </c>
      <c r="P17" s="323" t="str">
        <f t="shared" si="8"/>
        <v>Sell</v>
      </c>
    </row>
    <row r="18" spans="1:16">
      <c r="A18" s="186">
        <f t="shared" si="0"/>
        <v>0.79999999999857963</v>
      </c>
      <c r="B18" s="324" t="s">
        <v>2</v>
      </c>
      <c r="C18" s="187">
        <f t="shared" si="1"/>
        <v>0.1328903654485562</v>
      </c>
      <c r="D18" s="2">
        <f t="shared" si="2"/>
        <v>0.27342527296497388</v>
      </c>
      <c r="E18" s="187">
        <v>0.86720321931587807</v>
      </c>
      <c r="F18" s="323" t="str">
        <f t="shared" si="3"/>
        <v>Sell</v>
      </c>
      <c r="G18" s="187">
        <v>0.86382978723409964</v>
      </c>
      <c r="H18" s="323" t="str">
        <f t="shared" si="4"/>
        <v>Sell</v>
      </c>
      <c r="I18" s="187">
        <v>0.55769230769225842</v>
      </c>
      <c r="J18" s="323" t="str">
        <f t="shared" si="5"/>
        <v>Sell</v>
      </c>
      <c r="K18" s="187">
        <v>0.24087591240876705</v>
      </c>
      <c r="L18" s="323" t="str">
        <f t="shared" si="6"/>
        <v>Sell</v>
      </c>
      <c r="M18" s="187">
        <v>0.70959595959597721</v>
      </c>
      <c r="N18" s="323" t="str">
        <f t="shared" si="7"/>
        <v>Buy</v>
      </c>
      <c r="O18" s="187">
        <v>0.92354124748490218</v>
      </c>
      <c r="P18" s="323" t="str">
        <f t="shared" si="8"/>
        <v>Buy</v>
      </c>
    </row>
    <row r="19" spans="1:16">
      <c r="A19" s="186">
        <f t="shared" si="0"/>
        <v>0.40000000000040004</v>
      </c>
      <c r="B19" s="324" t="s">
        <v>3</v>
      </c>
      <c r="C19" s="187">
        <f t="shared" si="1"/>
        <v>0.73645320197043651</v>
      </c>
      <c r="D19" s="2">
        <f t="shared" si="2"/>
        <v>16.826301522207537</v>
      </c>
      <c r="E19" s="187">
        <v>0.83528161530286438</v>
      </c>
      <c r="F19" s="323" t="str">
        <f t="shared" si="3"/>
        <v>Sell</v>
      </c>
      <c r="G19" s="187">
        <v>0.7499999999999396</v>
      </c>
      <c r="H19" s="323" t="str">
        <f t="shared" si="4"/>
        <v>Sell</v>
      </c>
      <c r="I19" s="187">
        <v>0.30769230769232964</v>
      </c>
      <c r="J19" s="323" t="str">
        <f t="shared" si="5"/>
        <v>Sell</v>
      </c>
      <c r="K19" s="187">
        <v>0.12558139534883456</v>
      </c>
      <c r="L19" s="323" t="str">
        <f t="shared" si="6"/>
        <v>Sell</v>
      </c>
      <c r="M19" s="187">
        <v>0.90628853267569809</v>
      </c>
      <c r="N19" s="323" t="str">
        <f t="shared" si="7"/>
        <v>Buy</v>
      </c>
      <c r="O19" s="187">
        <v>0.94686503719446813</v>
      </c>
      <c r="P19" s="323" t="str">
        <f t="shared" si="8"/>
        <v>Buy</v>
      </c>
    </row>
    <row r="20" spans="1:16">
      <c r="A20" s="186">
        <f t="shared" si="0"/>
        <v>0.60000000000002274</v>
      </c>
      <c r="B20" s="328" t="s">
        <v>4</v>
      </c>
      <c r="C20" s="187">
        <f t="shared" si="1"/>
        <v>0.30094339622641691</v>
      </c>
      <c r="D20" s="2">
        <f t="shared" si="2"/>
        <v>-14.64667613848799</v>
      </c>
      <c r="E20" s="187">
        <v>0.79400945874933249</v>
      </c>
      <c r="F20" s="323" t="str">
        <f t="shared" si="3"/>
        <v>Sell</v>
      </c>
      <c r="G20" s="187">
        <v>0.51173708920180083</v>
      </c>
      <c r="H20" s="323" t="str">
        <f t="shared" si="4"/>
        <v>Sell</v>
      </c>
      <c r="I20" s="187">
        <v>0.88772845953001245</v>
      </c>
      <c r="J20" s="323" t="str">
        <f t="shared" si="5"/>
        <v>Buy</v>
      </c>
      <c r="K20" s="187">
        <v>0.2401795735129077</v>
      </c>
      <c r="L20" s="323" t="str">
        <f t="shared" si="6"/>
        <v>Sell</v>
      </c>
      <c r="M20" s="187">
        <v>0.97638248847926479</v>
      </c>
      <c r="N20" s="323" t="str">
        <f t="shared" si="7"/>
        <v>Buy</v>
      </c>
      <c r="O20" s="187">
        <v>0.98760775862069172</v>
      </c>
      <c r="P20" s="323" t="str">
        <f t="shared" si="8"/>
        <v>Buy</v>
      </c>
    </row>
    <row r="21" spans="1:16">
      <c r="A21" s="186">
        <f t="shared" si="0"/>
        <v>3.1000000000003247</v>
      </c>
      <c r="B21" s="329" t="s">
        <v>5</v>
      </c>
      <c r="C21" s="187">
        <f t="shared" si="1"/>
        <v>1.6066838046263798E-2</v>
      </c>
      <c r="D21" s="2">
        <f t="shared" si="2"/>
        <v>-7.6366204101682476</v>
      </c>
      <c r="E21" s="187">
        <v>0.66580142764439076</v>
      </c>
      <c r="F21" s="323" t="str">
        <f t="shared" si="3"/>
        <v>Sell</v>
      </c>
      <c r="G21" s="187">
        <v>0.66172839506175074</v>
      </c>
      <c r="H21" s="323" t="str">
        <f t="shared" si="4"/>
        <v>Sell</v>
      </c>
      <c r="I21" s="187">
        <v>0.21134020618554974</v>
      </c>
      <c r="J21" s="323" t="str">
        <f t="shared" si="5"/>
        <v>Sell</v>
      </c>
      <c r="K21" s="187">
        <v>0.2449255751014853</v>
      </c>
      <c r="L21" s="323" t="str">
        <f t="shared" si="6"/>
        <v>Buy</v>
      </c>
      <c r="M21" s="187">
        <v>0.98554533508542141</v>
      </c>
      <c r="N21" s="323" t="str">
        <f t="shared" si="7"/>
        <v>Buy</v>
      </c>
      <c r="O21" s="187">
        <v>0.87800129785852798</v>
      </c>
      <c r="P21" s="323" t="str">
        <f t="shared" si="8"/>
        <v>Sell</v>
      </c>
    </row>
    <row r="22" spans="1:16">
      <c r="A22" s="186">
        <f t="shared" si="0"/>
        <v>0.10000000000065512</v>
      </c>
      <c r="B22" s="330" t="s">
        <v>6</v>
      </c>
      <c r="C22" s="187">
        <f t="shared" si="1"/>
        <v>0.5605633802816814</v>
      </c>
      <c r="D22" s="2">
        <f t="shared" si="2"/>
        <v>1.7823860449125142</v>
      </c>
      <c r="E22" s="187">
        <v>0.75747508305649058</v>
      </c>
      <c r="F22" s="323" t="str">
        <f t="shared" si="3"/>
        <v>Sell</v>
      </c>
      <c r="G22" s="187">
        <v>0.8535564853557045</v>
      </c>
      <c r="H22" s="323" t="str">
        <f t="shared" si="4"/>
        <v>Buy</v>
      </c>
      <c r="I22" s="187">
        <v>0.6996047430829575</v>
      </c>
      <c r="J22" s="323" t="str">
        <f t="shared" si="5"/>
        <v>Sell</v>
      </c>
      <c r="K22" s="187">
        <v>0.32475884244374531</v>
      </c>
      <c r="L22" s="323" t="str">
        <f t="shared" si="6"/>
        <v>Sell</v>
      </c>
      <c r="M22" s="187">
        <v>0.93917710196779836</v>
      </c>
      <c r="N22" s="323" t="str">
        <f t="shared" si="7"/>
        <v>Buy</v>
      </c>
      <c r="O22" s="187">
        <v>0.98054145516074842</v>
      </c>
      <c r="P22" s="323" t="str">
        <f t="shared" si="8"/>
        <v>Buy</v>
      </c>
    </row>
    <row r="23" spans="1:16">
      <c r="A23" s="186">
        <f t="shared" si="0"/>
        <v>2.1999999999988695</v>
      </c>
      <c r="B23" s="324" t="s">
        <v>23</v>
      </c>
      <c r="C23" s="187">
        <f t="shared" si="1"/>
        <v>5.0903119868642113E-2</v>
      </c>
      <c r="D23" s="2">
        <f t="shared" si="2"/>
        <v>-17.807456084446262</v>
      </c>
      <c r="E23" s="187">
        <v>4.3238270469178483E-2</v>
      </c>
      <c r="F23" s="323" t="str">
        <f t="shared" si="3"/>
        <v>Sell</v>
      </c>
      <c r="G23" s="187">
        <v>0.44331395348835745</v>
      </c>
      <c r="H23" s="323" t="str">
        <f t="shared" si="4"/>
        <v>Buy</v>
      </c>
      <c r="I23" s="187">
        <v>0.14823008849556119</v>
      </c>
      <c r="J23" s="323" t="str">
        <f t="shared" si="5"/>
        <v>Sell</v>
      </c>
      <c r="K23" s="187">
        <v>0.71087314662274381</v>
      </c>
      <c r="L23" s="323" t="str">
        <f t="shared" si="6"/>
        <v>Buy</v>
      </c>
      <c r="M23" s="187">
        <v>0.15977377165075413</v>
      </c>
      <c r="N23" s="323" t="str">
        <f t="shared" si="7"/>
        <v>Sell</v>
      </c>
      <c r="O23" s="187">
        <v>0.16776212832550882</v>
      </c>
      <c r="P23" s="323" t="str">
        <f t="shared" si="8"/>
        <v>Buy</v>
      </c>
    </row>
    <row r="24" spans="1:16">
      <c r="A24" s="186">
        <f t="shared" si="0"/>
        <v>1.2999999999996348</v>
      </c>
      <c r="B24" s="324" t="s">
        <v>19</v>
      </c>
      <c r="C24" s="187">
        <f t="shared" si="1"/>
        <v>0.36329233680227785</v>
      </c>
      <c r="D24" s="2">
        <f t="shared" si="2"/>
        <v>-14.82008044860997</v>
      </c>
      <c r="E24" s="187">
        <v>0.22980769230769341</v>
      </c>
      <c r="F24" s="323" t="str">
        <f t="shared" si="3"/>
        <v>Buy</v>
      </c>
      <c r="G24" s="187">
        <v>0.14227642276417224</v>
      </c>
      <c r="H24" s="323" t="str">
        <f t="shared" si="4"/>
        <v>Sell</v>
      </c>
      <c r="I24" s="187">
        <v>5.1886792452821628E-2</v>
      </c>
      <c r="J24" s="323" t="str">
        <f t="shared" si="5"/>
        <v>Sell</v>
      </c>
      <c r="K24" s="187">
        <v>0.85193621867883207</v>
      </c>
      <c r="L24" s="323" t="str">
        <f t="shared" si="6"/>
        <v>Buy</v>
      </c>
      <c r="M24" s="187">
        <v>0.53462603878116288</v>
      </c>
      <c r="N24" s="323" t="str">
        <f t="shared" si="7"/>
        <v>Sell</v>
      </c>
      <c r="O24" s="187">
        <v>0.18221153846153715</v>
      </c>
      <c r="P24" s="323" t="str">
        <f t="shared" si="8"/>
        <v>Sell</v>
      </c>
    </row>
    <row r="25" spans="1:16">
      <c r="A25" s="186">
        <f t="shared" si="0"/>
        <v>1.9999999999997797</v>
      </c>
      <c r="B25" s="324" t="s">
        <v>20</v>
      </c>
      <c r="C25" s="187">
        <f t="shared" si="1"/>
        <v>0.21743929359823538</v>
      </c>
      <c r="D25" s="2">
        <f t="shared" si="2"/>
        <v>-14.166401737932507</v>
      </c>
      <c r="E25" s="187">
        <v>0.15605493133582762</v>
      </c>
      <c r="F25" s="323" t="str">
        <f t="shared" si="3"/>
        <v>Buy</v>
      </c>
      <c r="G25" s="187">
        <v>0.65942028985507828</v>
      </c>
      <c r="H25" s="323" t="str">
        <f t="shared" si="4"/>
        <v>Buy</v>
      </c>
      <c r="I25" s="187">
        <v>0.82716049382717394</v>
      </c>
      <c r="J25" s="323" t="str">
        <f t="shared" si="5"/>
        <v>Buy</v>
      </c>
      <c r="K25" s="187">
        <v>0.88077336197635359</v>
      </c>
      <c r="L25" s="323" t="str">
        <f t="shared" si="6"/>
        <v>Buy</v>
      </c>
      <c r="M25" s="187">
        <v>6.282722513089492E-2</v>
      </c>
      <c r="N25" s="323" t="str">
        <f t="shared" si="7"/>
        <v>Sell</v>
      </c>
      <c r="O25" s="187">
        <v>6.2421972534325514E-2</v>
      </c>
      <c r="P25" s="323" t="str">
        <f t="shared" si="8"/>
        <v>Sell</v>
      </c>
    </row>
    <row r="26" spans="1:16">
      <c r="A26" s="186">
        <f t="shared" si="0"/>
        <v>0.90000000000145519</v>
      </c>
      <c r="B26" s="331" t="s">
        <v>11</v>
      </c>
      <c r="C26" s="187">
        <f t="shared" si="1"/>
        <v>0.11397557666214676</v>
      </c>
      <c r="D26" s="2">
        <f t="shared" si="2"/>
        <v>-26.933257297797478</v>
      </c>
      <c r="E26" s="187">
        <v>0.28318584070796599</v>
      </c>
      <c r="F26" s="323" t="str">
        <f t="shared" si="3"/>
        <v>Sell</v>
      </c>
      <c r="G26" s="187">
        <v>0.29965156794421949</v>
      </c>
      <c r="H26" s="323" t="str">
        <f t="shared" si="4"/>
        <v>Buy</v>
      </c>
      <c r="I26" s="187">
        <v>0.90040650406502531</v>
      </c>
      <c r="J26" s="323" t="str">
        <f t="shared" si="5"/>
        <v>Buy</v>
      </c>
      <c r="K26" s="187">
        <v>0.89216446858030807</v>
      </c>
      <c r="L26" s="323" t="str">
        <f t="shared" si="6"/>
        <v>Sell</v>
      </c>
      <c r="M26" s="187">
        <v>0.65597345132742446</v>
      </c>
      <c r="N26" s="323" t="str">
        <f t="shared" si="7"/>
        <v>Sell</v>
      </c>
      <c r="O26" s="187">
        <v>0.44137168141593197</v>
      </c>
      <c r="P26" s="323" t="str">
        <f t="shared" si="8"/>
        <v>Sell</v>
      </c>
    </row>
    <row r="27" spans="1:16">
      <c r="A27" s="186">
        <f t="shared" si="0"/>
        <v>3.1999999999987594</v>
      </c>
      <c r="B27" s="324" t="s">
        <v>18</v>
      </c>
      <c r="C27" s="187">
        <f t="shared" si="1"/>
        <v>8.2593593207257468E-2</v>
      </c>
      <c r="D27" s="2">
        <f t="shared" si="2"/>
        <v>-22.798224691283476</v>
      </c>
      <c r="E27" s="187">
        <v>0.22738486842106415</v>
      </c>
      <c r="F27" s="323" t="str">
        <f t="shared" si="3"/>
        <v>Buy</v>
      </c>
      <c r="G27" s="187">
        <v>0.63074204946991386</v>
      </c>
      <c r="H27" s="323" t="str">
        <f t="shared" si="4"/>
        <v>Buy</v>
      </c>
      <c r="I27" s="187">
        <v>0.34977578475340493</v>
      </c>
      <c r="J27" s="323" t="str">
        <f t="shared" si="5"/>
        <v>Sell</v>
      </c>
      <c r="K27" s="187">
        <v>0.47123719464145419</v>
      </c>
      <c r="L27" s="323" t="str">
        <f t="shared" si="6"/>
        <v>Buy</v>
      </c>
      <c r="M27" s="187">
        <v>0.41083835108846806</v>
      </c>
      <c r="N27" s="323" t="str">
        <f t="shared" si="7"/>
        <v>Sell</v>
      </c>
      <c r="O27" s="187">
        <v>0.17394957983193382</v>
      </c>
      <c r="P27" s="323" t="str">
        <f t="shared" si="8"/>
        <v>Sell</v>
      </c>
    </row>
    <row r="28" spans="1:16">
      <c r="A28" s="186">
        <f t="shared" si="0"/>
        <v>0.49999999999883471</v>
      </c>
      <c r="B28" s="331" t="s">
        <v>13</v>
      </c>
      <c r="C28" s="187">
        <f t="shared" si="1"/>
        <v>0.32916145181477824</v>
      </c>
      <c r="D28" s="2">
        <f t="shared" si="2"/>
        <v>-12.875321378592119</v>
      </c>
      <c r="E28" s="187">
        <v>0.27175208581643207</v>
      </c>
      <c r="F28" s="323" t="str">
        <f t="shared" si="3"/>
        <v>Sell</v>
      </c>
      <c r="G28" s="187">
        <v>0.82178217821776522</v>
      </c>
      <c r="H28" s="323" t="str">
        <f t="shared" si="4"/>
        <v>Buy</v>
      </c>
      <c r="I28" s="187">
        <v>0.86363636363640628</v>
      </c>
      <c r="J28" s="323" t="str">
        <f t="shared" si="5"/>
        <v>Buy</v>
      </c>
      <c r="K28" s="187">
        <v>0.85945945945945068</v>
      </c>
      <c r="L28" s="323" t="str">
        <f t="shared" si="6"/>
        <v>Sell</v>
      </c>
      <c r="M28" s="187">
        <v>0.41205211726386465</v>
      </c>
      <c r="N28" s="323" t="str">
        <f t="shared" si="7"/>
        <v>Sell</v>
      </c>
      <c r="O28" s="187">
        <v>0.36233611442192709</v>
      </c>
      <c r="P28" s="323" t="str">
        <f t="shared" si="8"/>
        <v>Sell</v>
      </c>
    </row>
    <row r="29" spans="1:16">
      <c r="A29" s="186">
        <f t="shared" si="0"/>
        <v>1.300000000000745</v>
      </c>
      <c r="B29" s="324" t="s">
        <v>21</v>
      </c>
      <c r="C29" s="187">
        <f t="shared" si="1"/>
        <v>0.96923076923076124</v>
      </c>
      <c r="D29" s="2">
        <f t="shared" si="2"/>
        <v>7.7599649977001652</v>
      </c>
      <c r="E29" s="187">
        <v>0.19329073482428691</v>
      </c>
      <c r="F29" s="323" t="str">
        <f t="shared" si="3"/>
        <v>Sell</v>
      </c>
      <c r="G29" s="187">
        <v>0.10563380281696143</v>
      </c>
      <c r="H29" s="323" t="str">
        <f t="shared" si="4"/>
        <v>Sell</v>
      </c>
      <c r="I29" s="187">
        <v>5.4662379421223928E-2</v>
      </c>
      <c r="J29" s="323" t="str">
        <f t="shared" si="5"/>
        <v>Sell</v>
      </c>
      <c r="K29" s="187">
        <v>0.77399999999999636</v>
      </c>
      <c r="L29" s="323" t="str">
        <f t="shared" si="6"/>
        <v>Buy</v>
      </c>
      <c r="M29" s="187">
        <v>0.4728434504792417</v>
      </c>
      <c r="N29" s="323" t="str">
        <f t="shared" si="7"/>
        <v>Sell</v>
      </c>
      <c r="O29" s="187">
        <v>0.28434504792332133</v>
      </c>
      <c r="P29" s="323" t="str">
        <f t="shared" si="8"/>
        <v>Sell</v>
      </c>
    </row>
    <row r="30" spans="1:16">
      <c r="A30" s="186">
        <f t="shared" si="0"/>
        <v>1.8000000000006899</v>
      </c>
      <c r="B30" s="324" t="s">
        <v>27</v>
      </c>
      <c r="C30" s="187">
        <f t="shared" si="1"/>
        <v>0.97630331753554733</v>
      </c>
      <c r="D30" s="2">
        <f t="shared" si="2"/>
        <v>8.5971017971257933</v>
      </c>
      <c r="E30" s="187">
        <v>0.42537313432834617</v>
      </c>
      <c r="F30" s="323" t="str">
        <f t="shared" si="3"/>
        <v>Buy</v>
      </c>
      <c r="G30" s="187">
        <v>0.39310344827584726</v>
      </c>
      <c r="H30" s="323" t="str">
        <f t="shared" si="4"/>
        <v>Sell</v>
      </c>
      <c r="I30" s="187">
        <v>0.8179487179487217</v>
      </c>
      <c r="J30" s="323" t="str">
        <f t="shared" si="5"/>
        <v>Buy</v>
      </c>
      <c r="K30" s="187">
        <v>0.70641282565130359</v>
      </c>
      <c r="L30" s="323" t="str">
        <f t="shared" si="6"/>
        <v>Sell</v>
      </c>
      <c r="M30" s="187">
        <v>3.9179104477619818E-2</v>
      </c>
      <c r="N30" s="323" t="str">
        <f t="shared" si="7"/>
        <v>Sell</v>
      </c>
      <c r="O30" s="187">
        <v>0.33208955223880476</v>
      </c>
      <c r="P30" s="323" t="str">
        <f t="shared" si="8"/>
        <v>Buy</v>
      </c>
    </row>
    <row r="31" spans="1:16">
      <c r="A31" s="186">
        <f t="shared" si="0"/>
        <v>1.2000000000000455</v>
      </c>
      <c r="B31" s="332" t="s">
        <v>10</v>
      </c>
      <c r="C31" s="187">
        <f t="shared" si="1"/>
        <v>0.90518191841234974</v>
      </c>
      <c r="D31" s="2">
        <f t="shared" si="2"/>
        <v>-7.5569635676860081</v>
      </c>
      <c r="E31" s="187">
        <v>0.57426679280983728</v>
      </c>
      <c r="F31" s="323" t="str">
        <f t="shared" si="3"/>
        <v>Sell</v>
      </c>
      <c r="G31" s="187">
        <v>0.42794759825327217</v>
      </c>
      <c r="H31" s="323" t="str">
        <f t="shared" si="4"/>
        <v>Sell</v>
      </c>
      <c r="I31" s="187">
        <v>0.7878787878787803</v>
      </c>
      <c r="J31" s="323" t="str">
        <f t="shared" si="5"/>
        <v>Buy</v>
      </c>
      <c r="K31" s="187">
        <v>0.70867768595040326</v>
      </c>
      <c r="L31" s="323" t="str">
        <f t="shared" si="6"/>
        <v>Sell</v>
      </c>
      <c r="M31" s="187">
        <v>0.63481551561020899</v>
      </c>
      <c r="N31" s="323" t="str">
        <f t="shared" si="7"/>
        <v>Sell</v>
      </c>
      <c r="O31" s="187">
        <v>0.77956480605486889</v>
      </c>
      <c r="P31" s="323" t="str">
        <f t="shared" si="8"/>
        <v>Buy</v>
      </c>
    </row>
    <row r="32" spans="1:16">
      <c r="A32" s="186">
        <f t="shared" si="0"/>
        <v>0.79999999999968985</v>
      </c>
      <c r="B32" s="332" t="s">
        <v>15</v>
      </c>
      <c r="C32" s="187">
        <f t="shared" si="1"/>
        <v>0.97934386391251493</v>
      </c>
      <c r="D32" s="2">
        <f t="shared" si="2"/>
        <v>10.222582547169814</v>
      </c>
      <c r="E32" s="187">
        <v>0.61001517450683351</v>
      </c>
      <c r="F32" s="323" t="str">
        <f t="shared" si="3"/>
        <v>Sell</v>
      </c>
      <c r="G32" s="187">
        <v>0.57653061224485835</v>
      </c>
      <c r="H32" s="323" t="str">
        <f t="shared" si="4"/>
        <v>Sell</v>
      </c>
      <c r="I32" s="187">
        <v>0.76344086021505242</v>
      </c>
      <c r="J32" s="323" t="str">
        <f t="shared" si="5"/>
        <v>Buy</v>
      </c>
      <c r="K32" s="187">
        <v>0.73072861668427169</v>
      </c>
      <c r="L32" s="323" t="str">
        <f t="shared" si="6"/>
        <v>Sell</v>
      </c>
      <c r="M32" s="187">
        <v>0.55538694992412829</v>
      </c>
      <c r="N32" s="323" t="str">
        <f t="shared" si="7"/>
        <v>Sell</v>
      </c>
      <c r="O32" s="187">
        <v>0.73444613050075369</v>
      </c>
      <c r="P32" s="323" t="str">
        <f t="shared" si="8"/>
        <v>Buy</v>
      </c>
    </row>
    <row r="33" spans="1:16">
      <c r="A33" s="186">
        <f t="shared" si="0"/>
        <v>0.49999999999883471</v>
      </c>
      <c r="B33" s="326" t="s">
        <v>17</v>
      </c>
      <c r="C33" s="187">
        <f t="shared" si="1"/>
        <v>0.48051948051949828</v>
      </c>
      <c r="D33" s="2">
        <f t="shared" si="2"/>
        <v>-2.2337567450320783</v>
      </c>
      <c r="E33" s="187">
        <v>0.36431535269710152</v>
      </c>
      <c r="F33" s="323" t="str">
        <f t="shared" si="3"/>
        <v>Buy</v>
      </c>
      <c r="G33" s="187">
        <v>8.8235294117651866E-2</v>
      </c>
      <c r="H33" s="323" t="str">
        <f t="shared" si="4"/>
        <v>Sell</v>
      </c>
      <c r="I33" s="187">
        <v>4.8252911813626967E-2</v>
      </c>
      <c r="J33" s="323" t="str">
        <f t="shared" si="5"/>
        <v>Sell</v>
      </c>
      <c r="K33" s="187">
        <v>0.37707641196012337</v>
      </c>
      <c r="L33" s="323" t="str">
        <f t="shared" si="6"/>
        <v>Buy</v>
      </c>
      <c r="M33" s="187">
        <v>0.54688796680498197</v>
      </c>
      <c r="N33" s="323" t="str">
        <f t="shared" si="7"/>
        <v>Buy</v>
      </c>
      <c r="O33" s="187">
        <v>0.20746887966804334</v>
      </c>
      <c r="P33" s="323" t="str">
        <f t="shared" si="8"/>
        <v>Sell</v>
      </c>
    </row>
    <row r="34" spans="1:16">
      <c r="A34" s="186">
        <f t="shared" si="0"/>
        <v>0.70000000000014495</v>
      </c>
      <c r="B34" s="327" t="s">
        <v>16</v>
      </c>
      <c r="C34" s="187">
        <f t="shared" si="1"/>
        <v>0.14826498422711976</v>
      </c>
      <c r="D34" s="2">
        <f t="shared" si="2"/>
        <v>-1.477531748616095</v>
      </c>
      <c r="E34" s="187">
        <v>0.34382022471909496</v>
      </c>
      <c r="F34" s="323" t="str">
        <f t="shared" si="3"/>
        <v>Buy</v>
      </c>
      <c r="G34" s="187">
        <v>0.33561643835615396</v>
      </c>
      <c r="H34" s="323" t="str">
        <f t="shared" si="4"/>
        <v>Sell</v>
      </c>
      <c r="I34" s="187">
        <v>0.67307692307691536</v>
      </c>
      <c r="J34" s="323" t="str">
        <f t="shared" si="5"/>
        <v>Buy</v>
      </c>
      <c r="K34" s="187">
        <v>0.65974025974025285</v>
      </c>
      <c r="L34" s="323" t="str">
        <f t="shared" si="6"/>
        <v>Sell</v>
      </c>
      <c r="M34" s="187">
        <v>6.5168539325845362E-2</v>
      </c>
      <c r="N34" s="323" t="str">
        <f t="shared" si="7"/>
        <v>Sell</v>
      </c>
      <c r="O34" s="187">
        <v>0.13707865168539285</v>
      </c>
      <c r="P34" s="323" t="str">
        <f t="shared" si="8"/>
        <v>Buy</v>
      </c>
    </row>
    <row r="35" spans="1:16" ht="15.75" thickBot="1">
      <c r="A35" s="186">
        <f t="shared" si="0"/>
        <v>0.39999999999906777</v>
      </c>
      <c r="B35" s="333" t="s">
        <v>9</v>
      </c>
      <c r="C35" s="187">
        <f t="shared" si="1"/>
        <v>0.27856365614798811</v>
      </c>
      <c r="D35" s="2">
        <f t="shared" si="2"/>
        <v>-16.13492470203164</v>
      </c>
      <c r="E35" s="187">
        <v>0.76653696498053403</v>
      </c>
      <c r="F35" s="323" t="str">
        <f t="shared" si="3"/>
        <v>Sell</v>
      </c>
      <c r="G35" s="187">
        <v>8.1871345029212061E-2</v>
      </c>
      <c r="H35" s="323" t="str">
        <f t="shared" si="4"/>
        <v>Sell</v>
      </c>
      <c r="I35" s="187">
        <v>0.82941176470582179</v>
      </c>
      <c r="J35" s="323" t="str">
        <f t="shared" si="5"/>
        <v>Buy</v>
      </c>
      <c r="K35" s="187">
        <v>0.47457627118643986</v>
      </c>
      <c r="L35" s="323" t="str">
        <f t="shared" si="6"/>
        <v>Sell</v>
      </c>
      <c r="M35" s="187">
        <v>0.79571984435796717</v>
      </c>
      <c r="N35" s="323" t="str">
        <f t="shared" si="7"/>
        <v>Buy</v>
      </c>
      <c r="O35" s="187">
        <v>0.81322957198442725</v>
      </c>
      <c r="P35" s="323" t="str">
        <f t="shared" si="8"/>
        <v>Buy</v>
      </c>
    </row>
    <row r="39" spans="1:16">
      <c r="E39" t="s">
        <v>192</v>
      </c>
    </row>
  </sheetData>
  <conditionalFormatting sqref="P8:P35">
    <cfRule type="iconSet" priority="1">
      <iconSet iconSet="3Arrows" showValue="0">
        <cfvo type="percent" val="0"/>
        <cfvo type="num" val="-$E$39"/>
        <cfvo type="num" val="$E$39"/>
      </iconSet>
    </cfRule>
    <cfRule type="colorScale" priority="2">
      <colorScale>
        <cfvo type="min" val="0"/>
        <cfvo type="max" val="0"/>
        <color rgb="FFFF0000"/>
        <color rgb="FF0070C0"/>
      </colorScale>
    </cfRule>
  </conditionalFormatting>
  <conditionalFormatting sqref="C8:C35">
    <cfRule type="colorScale" priority="15">
      <colorScale>
        <cfvo type="min" val="0"/>
        <cfvo type="max" val="0"/>
        <color rgb="FFFF0000"/>
        <color rgb="FF0070C0"/>
      </colorScale>
    </cfRule>
    <cfRule type="iconSet" priority="16">
      <iconSet iconSet="4Arrows">
        <cfvo type="percent" val="0"/>
        <cfvo type="percent" val="30"/>
        <cfvo type="percent" val="50"/>
        <cfvo type="percent" val="60"/>
      </iconSet>
    </cfRule>
  </conditionalFormatting>
  <conditionalFormatting sqref="D8:D35">
    <cfRule type="iconSet" priority="13">
      <iconSet iconSet="3Arrows">
        <cfvo type="percent" val="0"/>
        <cfvo type="num" val="-0.25"/>
        <cfvo type="num" val="0.25"/>
      </iconSet>
    </cfRule>
    <cfRule type="colorScale" priority="14">
      <colorScale>
        <cfvo type="min" val="0"/>
        <cfvo type="max" val="0"/>
        <color rgb="FFFF0000"/>
        <color rgb="FF0070C0"/>
      </colorScale>
    </cfRule>
  </conditionalFormatting>
  <conditionalFormatting sqref="F8:F35">
    <cfRule type="iconSet" priority="11">
      <iconSet iconSet="3Arrows">
        <cfvo type="percent" val="0"/>
        <cfvo type="formula" val="$C$8=$E$8"/>
        <cfvo type="formula" val="$C$8&gt;$E$8"/>
      </iconSet>
    </cfRule>
    <cfRule type="colorScale" priority="12">
      <colorScale>
        <cfvo type="formula" val="&quot;Sell&quot;"/>
        <cfvo type="formula" val="&quot;Buy&quot;"/>
        <color rgb="FFFF0000"/>
        <color rgb="FF0070C0"/>
      </colorScale>
    </cfRule>
  </conditionalFormatting>
  <conditionalFormatting sqref="H8:H35">
    <cfRule type="iconSet" priority="9">
      <iconSet iconSet="3Arrows" showValue="0">
        <cfvo type="percent" val="0"/>
        <cfvo type="num" val="-$E$39"/>
        <cfvo type="num" val="$E$39"/>
      </iconSet>
    </cfRule>
    <cfRule type="colorScale" priority="10">
      <colorScale>
        <cfvo type="min" val="0"/>
        <cfvo type="max" val="0"/>
        <color rgb="FFFF0000"/>
        <color rgb="FF0070C0"/>
      </colorScale>
    </cfRule>
  </conditionalFormatting>
  <conditionalFormatting sqref="J8:J35">
    <cfRule type="iconSet" priority="7">
      <iconSet iconSet="3Arrows" showValue="0">
        <cfvo type="percent" val="0"/>
        <cfvo type="num" val="-$E$39"/>
        <cfvo type="num" val="$E$39"/>
      </iconSet>
    </cfRule>
    <cfRule type="colorScale" priority="8">
      <colorScale>
        <cfvo type="min" val="0"/>
        <cfvo type="max" val="0"/>
        <color rgb="FFFF0000"/>
        <color rgb="FF0070C0"/>
      </colorScale>
    </cfRule>
  </conditionalFormatting>
  <conditionalFormatting sqref="L8:L35">
    <cfRule type="iconSet" priority="5">
      <iconSet iconSet="3Arrows" showValue="0">
        <cfvo type="percent" val="0"/>
        <cfvo type="num" val="-$E$39"/>
        <cfvo type="num" val="$E$39"/>
      </iconSet>
    </cfRule>
    <cfRule type="colorScale" priority="6">
      <colorScale>
        <cfvo type="min" val="0"/>
        <cfvo type="max" val="0"/>
        <color rgb="FFFF0000"/>
        <color rgb="FF0070C0"/>
      </colorScale>
    </cfRule>
  </conditionalFormatting>
  <conditionalFormatting sqref="N8:N35">
    <cfRule type="iconSet" priority="3">
      <iconSet iconSet="3Arrows" showValue="0">
        <cfvo type="percent" val="0"/>
        <cfvo type="num" val="-$E$39"/>
        <cfvo type="num" val="$E$39"/>
      </iconSet>
    </cfRule>
    <cfRule type="colorScale" priority="4">
      <colorScale>
        <cfvo type="min" val="0"/>
        <cfvo type="max" val="0"/>
        <color rgb="FFFF0000"/>
        <color rgb="FF0070C0"/>
      </colorScale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2"/>
  <dimension ref="A1:L1"/>
  <sheetViews>
    <sheetView workbookViewId="0">
      <selection activeCell="A2" sqref="A2"/>
    </sheetView>
  </sheetViews>
  <sheetFormatPr defaultRowHeight="15"/>
  <cols>
    <col min="1" max="1" width="11.28515625" customWidth="1"/>
    <col min="9" max="9" width="19.7109375" customWidth="1"/>
  </cols>
  <sheetData>
    <row r="1" spans="1:12">
      <c r="A1" t="s">
        <v>193</v>
      </c>
      <c r="B1" t="s">
        <v>304</v>
      </c>
      <c r="C1" t="s">
        <v>194</v>
      </c>
      <c r="D1">
        <v>0.02</v>
      </c>
      <c r="E1" t="s">
        <v>39</v>
      </c>
      <c r="F1">
        <v>5</v>
      </c>
      <c r="G1">
        <v>0</v>
      </c>
      <c r="H1">
        <v>0</v>
      </c>
      <c r="I1" t="s">
        <v>305</v>
      </c>
      <c r="J1">
        <v>9991</v>
      </c>
      <c r="K1">
        <v>0</v>
      </c>
      <c r="L1" t="s">
        <v>252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3"/>
  <dimension ref="A1:F1"/>
  <sheetViews>
    <sheetView workbookViewId="0">
      <selection sqref="A1:XFD1"/>
    </sheetView>
  </sheetViews>
  <sheetFormatPr defaultRowHeight="15"/>
  <sheetData>
    <row r="1" spans="1:6">
      <c r="A1" t="s">
        <v>201</v>
      </c>
      <c r="B1" t="s">
        <v>207</v>
      </c>
      <c r="C1">
        <v>0.02</v>
      </c>
      <c r="D1" t="s">
        <v>40</v>
      </c>
      <c r="E1">
        <v>5</v>
      </c>
      <c r="F1" t="s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Rekneark</vt:lpstr>
      </vt:variant>
      <vt:variant>
        <vt:i4>15</vt:i4>
      </vt:variant>
      <vt:variant>
        <vt:lpstr>Namngitte område</vt:lpstr>
      </vt:variant>
      <vt:variant>
        <vt:i4>44</vt:i4>
      </vt:variant>
    </vt:vector>
  </HeadingPairs>
  <TitlesOfParts>
    <vt:vector size="59" baseType="lpstr">
      <vt:lpstr>Arkusz1</vt:lpstr>
      <vt:lpstr>OpenOrder</vt:lpstr>
      <vt:lpstr>Strength28</vt:lpstr>
      <vt:lpstr>CRS</vt:lpstr>
      <vt:lpstr>GAP_test</vt:lpstr>
      <vt:lpstr>GAP_SYNC</vt:lpstr>
      <vt:lpstr>Speedometer2</vt:lpstr>
      <vt:lpstr>getValues</vt:lpstr>
      <vt:lpstr>HeatMapM30_Mn</vt:lpstr>
      <vt:lpstr>RSI_M30_Mn</vt:lpstr>
      <vt:lpstr>Trend_M30_Mn</vt:lpstr>
      <vt:lpstr>HM</vt:lpstr>
      <vt:lpstr>Stren_Dir</vt:lpstr>
      <vt:lpstr>SendOrder</vt:lpstr>
      <vt:lpstr>CloseOrder</vt:lpstr>
      <vt:lpstr>Array_getValues</vt:lpstr>
      <vt:lpstr>arrayHeatMap</vt:lpstr>
      <vt:lpstr>bSR_GAP</vt:lpstr>
      <vt:lpstr>bSR_GAP2</vt:lpstr>
      <vt:lpstr>CurrArray</vt:lpstr>
      <vt:lpstr>GAP</vt:lpstr>
      <vt:lpstr>gapHM</vt:lpstr>
      <vt:lpstr>GAPs</vt:lpstr>
      <vt:lpstr>gapsHM</vt:lpstr>
      <vt:lpstr>HM_Calc</vt:lpstr>
      <vt:lpstr>HM_Calc_Array</vt:lpstr>
      <vt:lpstr>OpenOrder!openorders</vt:lpstr>
      <vt:lpstr>OpenOrder!openorders.txt</vt:lpstr>
      <vt:lpstr>OpenOrder!openorders_1</vt:lpstr>
      <vt:lpstr>OpenOrder!openorders_10</vt:lpstr>
      <vt:lpstr>OpenOrder!openorders_11</vt:lpstr>
      <vt:lpstr>OpenOrder!openorders_12</vt:lpstr>
      <vt:lpstr>OpenOrder!openorders_13</vt:lpstr>
      <vt:lpstr>OpenOrder!openorders_14</vt:lpstr>
      <vt:lpstr>OpenOrder!openorders_15</vt:lpstr>
      <vt:lpstr>OpenOrder!openorders_16</vt:lpstr>
      <vt:lpstr>OpenOrder!openorders_17</vt:lpstr>
      <vt:lpstr>OpenOrder!openorders_18</vt:lpstr>
      <vt:lpstr>OpenOrder!openorders_19</vt:lpstr>
      <vt:lpstr>OpenOrder!openorders_2</vt:lpstr>
      <vt:lpstr>OpenOrder!openorders_20</vt:lpstr>
      <vt:lpstr>OpenOrder!openorders_21</vt:lpstr>
      <vt:lpstr>OpenOrder!openorders_22</vt:lpstr>
      <vt:lpstr>OpenOrder!openorders_23</vt:lpstr>
      <vt:lpstr>OpenOrder!openorders_24</vt:lpstr>
      <vt:lpstr>OpenOrder!openorders_25</vt:lpstr>
      <vt:lpstr>OpenOrder!openorders_26</vt:lpstr>
      <vt:lpstr>OpenOrder!openorders_3</vt:lpstr>
      <vt:lpstr>OpenOrder!openorders_4</vt:lpstr>
      <vt:lpstr>OpenOrder!openorders_5</vt:lpstr>
      <vt:lpstr>OpenOrder!openorders_6</vt:lpstr>
      <vt:lpstr>OpenOrder!openorders_7</vt:lpstr>
      <vt:lpstr>OpenOrder!openorders_8</vt:lpstr>
      <vt:lpstr>OpenOrder!openorders_9</vt:lpstr>
      <vt:lpstr>pArray</vt:lpstr>
      <vt:lpstr>RS_Array</vt:lpstr>
      <vt:lpstr>smArray</vt:lpstr>
      <vt:lpstr>sYNC</vt:lpstr>
      <vt:lpstr>sYNC2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GAP EXCEL TRADING</dc:title>
  <dc:creator>Ola;by dtlase</dc:creator>
  <cp:keywords>by dtlase@forexfactory.com</cp:keywords>
  <cp:lastModifiedBy>Kjell Rune Tangen</cp:lastModifiedBy>
  <cp:lastPrinted>2016-09-09T09:53:57Z</cp:lastPrinted>
  <dcterms:created xsi:type="dcterms:W3CDTF">2015-06-23T00:30:45Z</dcterms:created>
  <dcterms:modified xsi:type="dcterms:W3CDTF">2016-09-09T09:54:47Z</dcterms:modified>
</cp:coreProperties>
</file>