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85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3" i="1" l="1"/>
  <c r="B13" i="1"/>
  <c r="A13" i="1"/>
  <c r="C18" i="1"/>
  <c r="B18" i="1"/>
  <c r="A18" i="1"/>
  <c r="C27" i="1"/>
  <c r="B27" i="1"/>
  <c r="A27" i="1"/>
  <c r="AJ123" i="1" l="1"/>
  <c r="Q123" i="1"/>
  <c r="AG120" i="1"/>
  <c r="N120" i="1"/>
  <c r="AJ107" i="1"/>
  <c r="Q107" i="1"/>
  <c r="AJ55" i="1"/>
  <c r="Q55" i="1"/>
  <c r="AG52" i="1"/>
  <c r="N52" i="1"/>
  <c r="AJ39" i="1"/>
  <c r="Q39" i="1"/>
  <c r="C25" i="1"/>
  <c r="S40" i="1" s="1"/>
  <c r="B25" i="1"/>
  <c r="S39" i="1" s="1"/>
  <c r="S43" i="1" s="1"/>
  <c r="A25" i="1"/>
  <c r="S38" i="1" s="1"/>
  <c r="R43" i="1" s="1"/>
  <c r="C16" i="1"/>
  <c r="B16" i="1"/>
  <c r="A16" i="1"/>
  <c r="C11" i="1"/>
  <c r="B11" i="1"/>
  <c r="A11" i="1"/>
  <c r="J11" i="1" l="1"/>
  <c r="L11" i="1" s="1"/>
  <c r="N11" i="1" s="1"/>
  <c r="P11" i="1" s="1"/>
  <c r="D11" i="1"/>
  <c r="S41" i="1"/>
  <c r="Q40" i="1" s="1"/>
  <c r="Q38" i="1" s="1"/>
  <c r="I16" i="1"/>
  <c r="K16" i="1" s="1"/>
  <c r="M16" i="1" s="1"/>
  <c r="O16" i="1" s="1"/>
  <c r="E11" i="1"/>
  <c r="I11" i="1"/>
  <c r="K11" i="1" s="1"/>
  <c r="M11" i="1" s="1"/>
  <c r="O11" i="1" s="1"/>
  <c r="D16" i="1"/>
  <c r="AJ87" i="1"/>
  <c r="AJ62" i="1"/>
  <c r="E16" i="1"/>
  <c r="D25" i="1"/>
  <c r="Q87" i="1"/>
  <c r="Q62" i="1"/>
  <c r="F11" i="1"/>
  <c r="F16" i="1"/>
  <c r="J16" i="1"/>
  <c r="L16" i="1" s="1"/>
  <c r="N16" i="1" s="1"/>
  <c r="P16" i="1" s="1"/>
  <c r="E25" i="1"/>
  <c r="I25" i="1"/>
  <c r="K25" i="1" s="1"/>
  <c r="M25" i="1" s="1"/>
  <c r="O25" i="1" s="1"/>
  <c r="C31" i="1"/>
  <c r="C29" i="1" s="1"/>
  <c r="F25" i="1"/>
  <c r="J25" i="1"/>
  <c r="L25" i="1" s="1"/>
  <c r="N25" i="1" s="1"/>
  <c r="P25" i="1" s="1"/>
  <c r="Q155" i="1"/>
  <c r="Q130" i="1"/>
  <c r="AJ155" i="1"/>
  <c r="AJ130" i="1"/>
  <c r="Q11" i="1" l="1"/>
  <c r="R11" i="1" s="1"/>
  <c r="S11" i="1" s="1"/>
  <c r="Q16" i="1"/>
  <c r="B17" i="1" s="1"/>
  <c r="C17" i="1" s="1"/>
  <c r="D17" i="1" s="1"/>
  <c r="Q25" i="1"/>
  <c r="R25" i="1" s="1"/>
  <c r="S25" i="1" s="1"/>
  <c r="I26" i="1"/>
  <c r="K12" i="1"/>
  <c r="L12" i="1"/>
  <c r="F12" i="1"/>
  <c r="J26" i="1"/>
  <c r="G25" i="1" s="1"/>
  <c r="H25" i="1" s="1"/>
  <c r="I12" i="1"/>
  <c r="I17" i="1"/>
  <c r="J12" i="1"/>
  <c r="G11" i="1" s="1"/>
  <c r="H11" i="1" s="1"/>
  <c r="Q106" i="1"/>
  <c r="AJ106" i="1"/>
  <c r="Q61" i="1"/>
  <c r="AJ38" i="1"/>
  <c r="R33" i="1"/>
  <c r="R34" i="1" s="1"/>
  <c r="R36" i="1" s="1"/>
  <c r="P34" i="1" s="1"/>
  <c r="Q48" i="1" s="1"/>
  <c r="K26" i="1"/>
  <c r="F26" i="1"/>
  <c r="L26" i="1"/>
  <c r="L17" i="1"/>
  <c r="K17" i="1"/>
  <c r="F17" i="1"/>
  <c r="J17" i="1"/>
  <c r="G16" i="1" s="1"/>
  <c r="H16" i="1" s="1"/>
  <c r="B12" i="1" l="1"/>
  <c r="C12" i="1" s="1"/>
  <c r="D12" i="1" s="1"/>
  <c r="R16" i="1"/>
  <c r="S16" i="1" s="1"/>
  <c r="B26" i="1"/>
  <c r="C26" i="1" s="1"/>
  <c r="D26" i="1" s="1"/>
  <c r="G26" i="1" s="1"/>
  <c r="D4" i="1" s="1"/>
  <c r="N47" i="1"/>
  <c r="H47" i="1"/>
  <c r="H48" i="1" s="1"/>
  <c r="O40" i="1" s="1"/>
  <c r="Q47" i="1" s="1"/>
  <c r="P48" i="1" s="1"/>
  <c r="A33" i="1" s="1"/>
  <c r="AJ129" i="1"/>
  <c r="AK101" i="1"/>
  <c r="AK102" i="1" s="1"/>
  <c r="AK104" i="1" s="1"/>
  <c r="AI102" i="1" s="1"/>
  <c r="AJ116" i="1" s="1"/>
  <c r="G17" i="1"/>
  <c r="D2" i="1" s="1"/>
  <c r="A17" i="1"/>
  <c r="Q129" i="1"/>
  <c r="R101" i="1"/>
  <c r="R102" i="1" s="1"/>
  <c r="R104" i="1" s="1"/>
  <c r="P102" i="1" s="1"/>
  <c r="Q116" i="1" s="1"/>
  <c r="AJ61" i="1"/>
  <c r="AK33" i="1"/>
  <c r="AK34" i="1" s="1"/>
  <c r="AK36" i="1" s="1"/>
  <c r="AI34" i="1" s="1"/>
  <c r="AJ48" i="1" s="1"/>
  <c r="H22" i="1"/>
  <c r="A12" i="1"/>
  <c r="Q86" i="1"/>
  <c r="R56" i="1"/>
  <c r="R57" i="1" s="1"/>
  <c r="R59" i="1" s="1"/>
  <c r="P57" i="1" s="1"/>
  <c r="Q71" i="1" s="1"/>
  <c r="A26" i="1"/>
  <c r="G12" i="1" l="1"/>
  <c r="D3" i="1" s="1"/>
  <c r="G18" i="1"/>
  <c r="N115" i="1"/>
  <c r="H115" i="1"/>
  <c r="H116" i="1" s="1"/>
  <c r="O108" i="1" s="1"/>
  <c r="Q115" i="1" s="1"/>
  <c r="P116" i="1" s="1"/>
  <c r="A101" i="1" s="1"/>
  <c r="AG115" i="1"/>
  <c r="AA115" i="1"/>
  <c r="AA116" i="1" s="1"/>
  <c r="AH108" i="1" s="1"/>
  <c r="AJ115" i="1" s="1"/>
  <c r="AI116" i="1" s="1"/>
  <c r="T101" i="1" s="1"/>
  <c r="B33" i="1"/>
  <c r="C33" i="1" s="1"/>
  <c r="D33" i="1" s="1"/>
  <c r="E33" i="1" s="1"/>
  <c r="F33" i="1" s="1"/>
  <c r="AG47" i="1"/>
  <c r="AA47" i="1"/>
  <c r="AA48" i="1" s="1"/>
  <c r="AH40" i="1" s="1"/>
  <c r="AJ47" i="1" s="1"/>
  <c r="AI48" i="1" s="1"/>
  <c r="T33" i="1" s="1"/>
  <c r="F27" i="1"/>
  <c r="T25" i="1"/>
  <c r="T26" i="1" s="1"/>
  <c r="F18" i="1"/>
  <c r="T16" i="1"/>
  <c r="T17" i="1" s="1"/>
  <c r="AJ154" i="1"/>
  <c r="AK124" i="1"/>
  <c r="AK125" i="1" s="1"/>
  <c r="AK127" i="1" s="1"/>
  <c r="AI125" i="1" s="1"/>
  <c r="AJ139" i="1" s="1"/>
  <c r="N70" i="1"/>
  <c r="H70" i="1"/>
  <c r="H71" i="1" s="1"/>
  <c r="Q154" i="1"/>
  <c r="R124" i="1"/>
  <c r="R125" i="1" s="1"/>
  <c r="R127" i="1" s="1"/>
  <c r="P125" i="1" s="1"/>
  <c r="Q139" i="1" s="1"/>
  <c r="G27" i="1"/>
  <c r="R81" i="1"/>
  <c r="R82" i="1" s="1"/>
  <c r="R84" i="1" s="1"/>
  <c r="P82" i="1" s="1"/>
  <c r="Q96" i="1" s="1"/>
  <c r="AJ86" i="1"/>
  <c r="AK56" i="1"/>
  <c r="AK57" i="1" s="1"/>
  <c r="AK59" i="1" s="1"/>
  <c r="AI57" i="1" s="1"/>
  <c r="AJ71" i="1" s="1"/>
  <c r="T11" i="1" l="1"/>
  <c r="T12" i="1" s="1"/>
  <c r="F13" i="1"/>
  <c r="G13" i="1"/>
  <c r="H26" i="1"/>
  <c r="E27" i="1" s="1"/>
  <c r="H27" i="1" s="1"/>
  <c r="H138" i="1"/>
  <c r="H139" i="1" s="1"/>
  <c r="N138" i="1"/>
  <c r="U101" i="1"/>
  <c r="V101" i="1" s="1"/>
  <c r="W101" i="1" s="1"/>
  <c r="X101" i="1" s="1"/>
  <c r="Y101" i="1" s="1"/>
  <c r="AG138" i="1"/>
  <c r="AA138" i="1"/>
  <c r="AA139" i="1" s="1"/>
  <c r="B101" i="1"/>
  <c r="C101" i="1" s="1"/>
  <c r="D101" i="1" s="1"/>
  <c r="E101" i="1" s="1"/>
  <c r="F101" i="1" s="1"/>
  <c r="AA70" i="1"/>
  <c r="AA71" i="1" s="1"/>
  <c r="AG70" i="1"/>
  <c r="AK81" i="1"/>
  <c r="AK82" i="1" s="1"/>
  <c r="AK84" i="1" s="1"/>
  <c r="AI82" i="1" s="1"/>
  <c r="AJ96" i="1" s="1"/>
  <c r="H12" i="1"/>
  <c r="C3" i="1" s="1"/>
  <c r="H17" i="1"/>
  <c r="C2" i="1" s="1"/>
  <c r="H95" i="1"/>
  <c r="H96" i="1" s="1"/>
  <c r="N95" i="1"/>
  <c r="R149" i="1"/>
  <c r="R150" i="1" s="1"/>
  <c r="R152" i="1" s="1"/>
  <c r="P150" i="1" s="1"/>
  <c r="Q164" i="1" s="1"/>
  <c r="U33" i="1"/>
  <c r="V33" i="1" s="1"/>
  <c r="W33" i="1" s="1"/>
  <c r="X33" i="1" s="1"/>
  <c r="Y33" i="1" s="1"/>
  <c r="H21" i="1"/>
  <c r="G33" i="1"/>
  <c r="H33" i="1" s="1"/>
  <c r="I33" i="1" s="1"/>
  <c r="J33" i="1"/>
  <c r="O63" i="1"/>
  <c r="Q70" i="1" s="1"/>
  <c r="P71" i="1" s="1"/>
  <c r="A56" i="1" s="1"/>
  <c r="AK149" i="1"/>
  <c r="AK150" i="1" s="1"/>
  <c r="AK152" i="1" s="1"/>
  <c r="AI150" i="1" s="1"/>
  <c r="AJ164" i="1" s="1"/>
  <c r="J28" i="1" l="1"/>
  <c r="Q63" i="1"/>
  <c r="K33" i="1"/>
  <c r="L33" i="1" s="1"/>
  <c r="M33" i="1" s="1"/>
  <c r="N33" i="1" s="1"/>
  <c r="O33" i="1" s="1"/>
  <c r="P33" i="1" s="1"/>
  <c r="Q33" i="1" s="1"/>
  <c r="E22" i="1"/>
  <c r="F22" i="1" s="1"/>
  <c r="C4" i="1"/>
  <c r="H163" i="1"/>
  <c r="H164" i="1" s="1"/>
  <c r="N163" i="1"/>
  <c r="I28" i="1"/>
  <c r="E28" i="1"/>
  <c r="C28" i="1" s="1"/>
  <c r="J27" i="1"/>
  <c r="K27" i="1"/>
  <c r="AG163" i="1"/>
  <c r="AA163" i="1"/>
  <c r="AA164" i="1" s="1"/>
  <c r="B56" i="1"/>
  <c r="C56" i="1" s="1"/>
  <c r="D56" i="1" s="1"/>
  <c r="E56" i="1" s="1"/>
  <c r="F56" i="1" s="1"/>
  <c r="I21" i="1"/>
  <c r="I22" i="1" s="1"/>
  <c r="J14" i="1"/>
  <c r="E13" i="1"/>
  <c r="H13" i="1" s="1"/>
  <c r="J13" i="1" s="1"/>
  <c r="G22" i="1"/>
  <c r="G21" i="1" s="1"/>
  <c r="C22" i="1" s="1"/>
  <c r="B3" i="1" s="1"/>
  <c r="Z33" i="1"/>
  <c r="AA33" i="1" s="1"/>
  <c r="AB33" i="1" s="1"/>
  <c r="AC33" i="1"/>
  <c r="O88" i="1"/>
  <c r="Q95" i="1" s="1"/>
  <c r="P96" i="1" s="1"/>
  <c r="A81" i="1" s="1"/>
  <c r="AH63" i="1"/>
  <c r="AJ70" i="1" s="1"/>
  <c r="AI71" i="1" s="1"/>
  <c r="T56" i="1" s="1"/>
  <c r="AG95" i="1"/>
  <c r="AA95" i="1"/>
  <c r="AA96" i="1" s="1"/>
  <c r="G101" i="1"/>
  <c r="H101" i="1" s="1"/>
  <c r="I101" i="1" s="1"/>
  <c r="J101" i="1"/>
  <c r="AH131" i="1"/>
  <c r="AJ138" i="1" s="1"/>
  <c r="AI139" i="1" s="1"/>
  <c r="T124" i="1" s="1"/>
  <c r="O131" i="1"/>
  <c r="Q138" i="1" s="1"/>
  <c r="P139" i="1" s="1"/>
  <c r="A124" i="1" s="1"/>
  <c r="J21" i="1"/>
  <c r="J22" i="1" s="1"/>
  <c r="J19" i="1"/>
  <c r="E18" i="1"/>
  <c r="H18" i="1" s="1"/>
  <c r="K18" i="1" s="1"/>
  <c r="E21" i="1"/>
  <c r="F21" i="1" s="1"/>
  <c r="B21" i="1" s="1"/>
  <c r="AC101" i="1"/>
  <c r="Z101" i="1"/>
  <c r="AA101" i="1" s="1"/>
  <c r="AB101" i="1" s="1"/>
  <c r="L28" i="1" l="1"/>
  <c r="K20" i="1"/>
  <c r="C10" i="1"/>
  <c r="N34" i="1"/>
  <c r="N35" i="1" s="1"/>
  <c r="O36" i="1" s="1"/>
  <c r="K13" i="1"/>
  <c r="L14" i="1"/>
  <c r="A8" i="1"/>
  <c r="AD101" i="1"/>
  <c r="AE101" i="1" s="1"/>
  <c r="AF101" i="1" s="1"/>
  <c r="AG101" i="1" s="1"/>
  <c r="AH101" i="1" s="1"/>
  <c r="AI101" i="1" s="1"/>
  <c r="AJ101" i="1" s="1"/>
  <c r="D21" i="1"/>
  <c r="D22" i="1"/>
  <c r="B20" i="1"/>
  <c r="A2" i="1"/>
  <c r="L19" i="1"/>
  <c r="A7" i="1"/>
  <c r="U124" i="1"/>
  <c r="V124" i="1" s="1"/>
  <c r="W124" i="1" s="1"/>
  <c r="X124" i="1" s="1"/>
  <c r="Y124" i="1" s="1"/>
  <c r="B81" i="1"/>
  <c r="C81" i="1" s="1"/>
  <c r="D81" i="1" s="1"/>
  <c r="E81" i="1" s="1"/>
  <c r="F81" i="1" s="1"/>
  <c r="A14" i="1"/>
  <c r="AJ131" i="1"/>
  <c r="AJ63" i="1"/>
  <c r="AD33" i="1"/>
  <c r="AE33" i="1" s="1"/>
  <c r="AF33" i="1" s="1"/>
  <c r="I14" i="1"/>
  <c r="E14" i="1"/>
  <c r="C14" i="1" s="1"/>
  <c r="H20" i="1"/>
  <c r="AH156" i="1"/>
  <c r="AJ163" i="1" s="1"/>
  <c r="AI164" i="1" s="1"/>
  <c r="T149" i="1" s="1"/>
  <c r="I19" i="1"/>
  <c r="E19" i="1"/>
  <c r="C19" i="1" s="1"/>
  <c r="J18" i="1"/>
  <c r="A19" i="1" s="1"/>
  <c r="M36" i="1"/>
  <c r="N36" i="1" s="1"/>
  <c r="AH88" i="1"/>
  <c r="AJ95" i="1" s="1"/>
  <c r="AI96" i="1" s="1"/>
  <c r="T81" i="1" s="1"/>
  <c r="B22" i="1"/>
  <c r="B2" i="1" s="1"/>
  <c r="Q131" i="1"/>
  <c r="K101" i="1"/>
  <c r="L101" i="1" s="1"/>
  <c r="M101" i="1" s="1"/>
  <c r="U56" i="1"/>
  <c r="V56" i="1" s="1"/>
  <c r="W56" i="1" s="1"/>
  <c r="X56" i="1" s="1"/>
  <c r="Y56" i="1" s="1"/>
  <c r="C21" i="1"/>
  <c r="A28" i="1"/>
  <c r="F28" i="1" s="1"/>
  <c r="I27" i="1" s="1"/>
  <c r="K28" i="1" s="1"/>
  <c r="J23" i="1" s="1"/>
  <c r="J24" i="1" s="1"/>
  <c r="B124" i="1"/>
  <c r="C124" i="1" s="1"/>
  <c r="D124" i="1" s="1"/>
  <c r="E124" i="1" s="1"/>
  <c r="F124" i="1" s="1"/>
  <c r="Q88" i="1"/>
  <c r="J56" i="1"/>
  <c r="G56" i="1"/>
  <c r="H56" i="1" s="1"/>
  <c r="I56" i="1" s="1"/>
  <c r="O156" i="1"/>
  <c r="Q163" i="1" s="1"/>
  <c r="P164" i="1" s="1"/>
  <c r="A149" i="1" s="1"/>
  <c r="K23" i="1" l="1"/>
  <c r="F3" i="1" s="1"/>
  <c r="E3" i="1"/>
  <c r="D10" i="1"/>
  <c r="F9" i="1"/>
  <c r="O34" i="1"/>
  <c r="A35" i="1"/>
  <c r="F20" i="1"/>
  <c r="A3" i="1"/>
  <c r="Q156" i="1"/>
  <c r="AG102" i="1"/>
  <c r="AG103" i="1" s="1"/>
  <c r="AH104" i="1" s="1"/>
  <c r="M35" i="1"/>
  <c r="B35" i="1"/>
  <c r="P42" i="1" s="1"/>
  <c r="B31" i="1"/>
  <c r="B29" i="1" s="1"/>
  <c r="B6" i="1"/>
  <c r="C6" i="1"/>
  <c r="D23" i="1"/>
  <c r="AJ88" i="1"/>
  <c r="A6" i="1"/>
  <c r="C5" i="1"/>
  <c r="E9" i="1" s="1"/>
  <c r="E24" i="1"/>
  <c r="J20" i="1"/>
  <c r="G10" i="1" s="1"/>
  <c r="A31" i="1"/>
  <c r="A29" i="1" s="1"/>
  <c r="G124" i="1"/>
  <c r="H124" i="1" s="1"/>
  <c r="I124" i="1" s="1"/>
  <c r="J124" i="1"/>
  <c r="K56" i="1"/>
  <c r="L56" i="1" s="1"/>
  <c r="M56" i="1" s="1"/>
  <c r="B149" i="1"/>
  <c r="C149" i="1" s="1"/>
  <c r="D149" i="1" s="1"/>
  <c r="E149" i="1" s="1"/>
  <c r="F149" i="1" s="1"/>
  <c r="N101" i="1"/>
  <c r="O101" i="1" s="1"/>
  <c r="P101" i="1" s="1"/>
  <c r="Q101" i="1" s="1"/>
  <c r="B44" i="1"/>
  <c r="A36" i="1"/>
  <c r="O35" i="1"/>
  <c r="F19" i="1"/>
  <c r="I18" i="1" s="1"/>
  <c r="K19" i="1" s="1"/>
  <c r="U149" i="1"/>
  <c r="V149" i="1" s="1"/>
  <c r="W149" i="1" s="1"/>
  <c r="X149" i="1" s="1"/>
  <c r="Y149" i="1" s="1"/>
  <c r="AG33" i="1"/>
  <c r="AH33" i="1" s="1"/>
  <c r="AI33" i="1" s="1"/>
  <c r="AJ33" i="1" s="1"/>
  <c r="J81" i="1"/>
  <c r="G81" i="1"/>
  <c r="H81" i="1" s="1"/>
  <c r="I81" i="1" s="1"/>
  <c r="AC124" i="1"/>
  <c r="Z124" i="1"/>
  <c r="AA124" i="1" s="1"/>
  <c r="AB124" i="1" s="1"/>
  <c r="G23" i="1"/>
  <c r="H28" i="1"/>
  <c r="G28" i="1" s="1"/>
  <c r="H24" i="1"/>
  <c r="F24" i="1"/>
  <c r="Z56" i="1"/>
  <c r="AA56" i="1" s="1"/>
  <c r="AB56" i="1" s="1"/>
  <c r="AC56" i="1"/>
  <c r="U81" i="1"/>
  <c r="V81" i="1" s="1"/>
  <c r="W81" i="1" s="1"/>
  <c r="X81" i="1" s="1"/>
  <c r="Y81" i="1" s="1"/>
  <c r="AJ156" i="1"/>
  <c r="F14" i="1"/>
  <c r="I13" i="1" s="1"/>
  <c r="K14" i="1" s="1"/>
  <c r="C24" i="1" l="1"/>
  <c r="B34" i="1"/>
  <c r="B37" i="1"/>
  <c r="B45" i="1" s="1"/>
  <c r="D45" i="1" s="1"/>
  <c r="E45" i="1" s="1"/>
  <c r="O46" i="1" s="1"/>
  <c r="E38" i="1"/>
  <c r="AH102" i="1"/>
  <c r="T103" i="1"/>
  <c r="AF104" i="1"/>
  <c r="AG104" i="1" s="1"/>
  <c r="AF103" i="1" s="1"/>
  <c r="B8" i="1"/>
  <c r="H14" i="1"/>
  <c r="B5" i="1"/>
  <c r="F6" i="1" s="1"/>
  <c r="C7" i="1"/>
  <c r="A23" i="1"/>
  <c r="A24" i="1" s="1"/>
  <c r="D5" i="1"/>
  <c r="A5" i="1"/>
  <c r="E6" i="1" s="1"/>
  <c r="D29" i="1"/>
  <c r="I29" i="1"/>
  <c r="K29" i="1" s="1"/>
  <c r="M29" i="1" s="1"/>
  <c r="O29" i="1" s="1"/>
  <c r="E29" i="1"/>
  <c r="J29" i="1"/>
  <c r="L29" i="1" s="1"/>
  <c r="N29" i="1" s="1"/>
  <c r="P29" i="1" s="1"/>
  <c r="F29" i="1"/>
  <c r="H19" i="1"/>
  <c r="B7" i="1"/>
  <c r="C38" i="1"/>
  <c r="C44" i="1" s="1"/>
  <c r="P43" i="1"/>
  <c r="R40" i="1" s="1"/>
  <c r="G149" i="1"/>
  <c r="H149" i="1" s="1"/>
  <c r="I149" i="1" s="1"/>
  <c r="J149" i="1"/>
  <c r="N56" i="1"/>
  <c r="O56" i="1" s="1"/>
  <c r="P56" i="1" s="1"/>
  <c r="Q56" i="1" s="1"/>
  <c r="K81" i="1"/>
  <c r="L81" i="1" s="1"/>
  <c r="M81" i="1" s="1"/>
  <c r="AC149" i="1"/>
  <c r="Z149" i="1"/>
  <c r="AA149" i="1" s="1"/>
  <c r="AB149" i="1" s="1"/>
  <c r="A34" i="1"/>
  <c r="A38" i="1"/>
  <c r="A37" i="1"/>
  <c r="B38" i="1"/>
  <c r="N102" i="1"/>
  <c r="Z81" i="1"/>
  <c r="AA81" i="1" s="1"/>
  <c r="AB81" i="1" s="1"/>
  <c r="AC81" i="1"/>
  <c r="AD56" i="1"/>
  <c r="AE56" i="1" s="1"/>
  <c r="AF56" i="1" s="1"/>
  <c r="AD124" i="1"/>
  <c r="AE124" i="1" s="1"/>
  <c r="AF124" i="1" s="1"/>
  <c r="AG34" i="1"/>
  <c r="K124" i="1"/>
  <c r="L124" i="1" s="1"/>
  <c r="M124" i="1" s="1"/>
  <c r="U103" i="1" l="1"/>
  <c r="X106" i="1" s="1"/>
  <c r="AH103" i="1"/>
  <c r="T106" i="1" s="1"/>
  <c r="T104" i="1"/>
  <c r="B23" i="1"/>
  <c r="B24" i="1" s="1"/>
  <c r="D24" i="1" s="1"/>
  <c r="D6" i="1" s="1"/>
  <c r="O42" i="1"/>
  <c r="E7" i="1"/>
  <c r="G14" i="1"/>
  <c r="B9" i="1" s="1"/>
  <c r="A9" i="1"/>
  <c r="E8" i="1"/>
  <c r="J30" i="1"/>
  <c r="G29" i="1" s="1"/>
  <c r="H29" i="1" s="1"/>
  <c r="A30" i="1" s="1"/>
  <c r="Q29" i="1"/>
  <c r="L30" i="1"/>
  <c r="F30" i="1"/>
  <c r="K30" i="1"/>
  <c r="I30" i="1"/>
  <c r="G19" i="1"/>
  <c r="B10" i="1" s="1"/>
  <c r="A10" i="1"/>
  <c r="AD81" i="1"/>
  <c r="AE81" i="1" s="1"/>
  <c r="AF81" i="1" s="1"/>
  <c r="N41" i="1"/>
  <c r="N124" i="1"/>
  <c r="O124" i="1" s="1"/>
  <c r="P124" i="1" s="1"/>
  <c r="Q124" i="1" s="1"/>
  <c r="T35" i="1"/>
  <c r="AH34" i="1"/>
  <c r="AG35" i="1"/>
  <c r="E44" i="1"/>
  <c r="A44" i="1"/>
  <c r="Q42" i="1"/>
  <c r="A40" i="1"/>
  <c r="A39" i="1"/>
  <c r="A43" i="1"/>
  <c r="C43" i="1"/>
  <c r="P41" i="1"/>
  <c r="AD149" i="1"/>
  <c r="AE149" i="1" s="1"/>
  <c r="AF149" i="1" s="1"/>
  <c r="N57" i="1"/>
  <c r="AG124" i="1"/>
  <c r="AH124" i="1" s="1"/>
  <c r="AI124" i="1" s="1"/>
  <c r="AJ124" i="1" s="1"/>
  <c r="A103" i="1"/>
  <c r="O102" i="1"/>
  <c r="N103" i="1"/>
  <c r="Q43" i="1"/>
  <c r="E36" i="1"/>
  <c r="E34" i="1"/>
  <c r="N81" i="1"/>
  <c r="O81" i="1" s="1"/>
  <c r="P81" i="1" s="1"/>
  <c r="Q81" i="1" s="1"/>
  <c r="AG56" i="1"/>
  <c r="AH56" i="1" s="1"/>
  <c r="AI56" i="1" s="1"/>
  <c r="AJ56" i="1" s="1"/>
  <c r="D42" i="1"/>
  <c r="B43" i="1"/>
  <c r="K149" i="1"/>
  <c r="L149" i="1" s="1"/>
  <c r="M149" i="1" s="1"/>
  <c r="P47" i="1"/>
  <c r="U105" i="1" l="1"/>
  <c r="U113" i="1" s="1"/>
  <c r="W113" i="1" s="1"/>
  <c r="X113" i="1" s="1"/>
  <c r="U102" i="1"/>
  <c r="V106" i="1" s="1"/>
  <c r="AH110" i="1" s="1"/>
  <c r="AI110" i="1"/>
  <c r="U112" i="1"/>
  <c r="T102" i="1"/>
  <c r="X104" i="1" s="1"/>
  <c r="T105" i="1"/>
  <c r="B39" i="1"/>
  <c r="C39" i="1" s="1"/>
  <c r="N82" i="1"/>
  <c r="A83" i="1" s="1"/>
  <c r="A41" i="1"/>
  <c r="A42" i="1" s="1"/>
  <c r="B30" i="1"/>
  <c r="C30" i="1" s="1"/>
  <c r="D30" i="1" s="1"/>
  <c r="R29" i="1"/>
  <c r="S29" i="1" s="1"/>
  <c r="AI111" i="1"/>
  <c r="AK108" i="1" s="1"/>
  <c r="U106" i="1"/>
  <c r="AG109" i="1" s="1"/>
  <c r="AG57" i="1"/>
  <c r="N43" i="1"/>
  <c r="N125" i="1"/>
  <c r="E42" i="1"/>
  <c r="T107" i="1"/>
  <c r="T111" i="1"/>
  <c r="T113" i="1" s="1"/>
  <c r="AJ110" i="1"/>
  <c r="T112" i="1"/>
  <c r="T108" i="1"/>
  <c r="AG149" i="1"/>
  <c r="AH149" i="1" s="1"/>
  <c r="AI149" i="1" s="1"/>
  <c r="AJ149" i="1" s="1"/>
  <c r="A45" i="1"/>
  <c r="AF36" i="1"/>
  <c r="AG36" i="1" s="1"/>
  <c r="AH36" i="1"/>
  <c r="AG81" i="1"/>
  <c r="AH81" i="1" s="1"/>
  <c r="AI81" i="1" s="1"/>
  <c r="AJ81" i="1" s="1"/>
  <c r="P46" i="1"/>
  <c r="O44" i="1"/>
  <c r="P40" i="1" s="1"/>
  <c r="AG125" i="1"/>
  <c r="B40" i="1"/>
  <c r="C40" i="1" s="1"/>
  <c r="H45" i="1"/>
  <c r="O43" i="1"/>
  <c r="N149" i="1"/>
  <c r="O149" i="1" s="1"/>
  <c r="P149" i="1" s="1"/>
  <c r="Q149" i="1" s="1"/>
  <c r="O104" i="1"/>
  <c r="M104" i="1"/>
  <c r="N104" i="1" s="1"/>
  <c r="A58" i="1"/>
  <c r="O57" i="1"/>
  <c r="N58" i="1"/>
  <c r="X112" i="1" l="1"/>
  <c r="AI115" i="1"/>
  <c r="AI109" i="1"/>
  <c r="V111" i="1"/>
  <c r="AJ111" i="1"/>
  <c r="X102" i="1"/>
  <c r="AH114" i="1"/>
  <c r="N83" i="1"/>
  <c r="O84" i="1" s="1"/>
  <c r="T109" i="1"/>
  <c r="T115" i="1" s="1"/>
  <c r="O82" i="1"/>
  <c r="A46" i="1"/>
  <c r="A47" i="1"/>
  <c r="X110" i="1"/>
  <c r="AH116" i="1" s="1"/>
  <c r="Y116" i="1" s="1"/>
  <c r="N150" i="1"/>
  <c r="N151" i="1" s="1"/>
  <c r="G30" i="1"/>
  <c r="F46" i="1"/>
  <c r="B42" i="1"/>
  <c r="C42" i="1" s="1"/>
  <c r="U107" i="1"/>
  <c r="V107" i="1" s="1"/>
  <c r="N45" i="1"/>
  <c r="F45" i="1" s="1"/>
  <c r="T58" i="1"/>
  <c r="AH57" i="1"/>
  <c r="AG58" i="1"/>
  <c r="V112" i="1"/>
  <c r="A104" i="1"/>
  <c r="O103" i="1"/>
  <c r="M103" i="1"/>
  <c r="B103" i="1"/>
  <c r="AG82" i="1"/>
  <c r="D44" i="1"/>
  <c r="E43" i="1" s="1"/>
  <c r="U111" i="1"/>
  <c r="W110" i="1"/>
  <c r="F43" i="1"/>
  <c r="N42" i="1"/>
  <c r="N44" i="1" s="1"/>
  <c r="H42" i="1" s="1"/>
  <c r="H41" i="1" s="1"/>
  <c r="AG111" i="1"/>
  <c r="O47" i="1"/>
  <c r="F47" i="1"/>
  <c r="O45" i="1"/>
  <c r="O48" i="1"/>
  <c r="F48" i="1" s="1"/>
  <c r="O59" i="1"/>
  <c r="M59" i="1"/>
  <c r="N59" i="1" s="1"/>
  <c r="T126" i="1"/>
  <c r="AH125" i="1"/>
  <c r="AG126" i="1"/>
  <c r="T36" i="1"/>
  <c r="AH35" i="1"/>
  <c r="AF35" i="1"/>
  <c r="U35" i="1"/>
  <c r="AG150" i="1"/>
  <c r="AA113" i="1"/>
  <c r="AH111" i="1"/>
  <c r="AG110" i="1" s="1"/>
  <c r="A126" i="1"/>
  <c r="O125" i="1"/>
  <c r="N126" i="1"/>
  <c r="U108" i="1" l="1"/>
  <c r="V108" i="1" s="1"/>
  <c r="AH115" i="1"/>
  <c r="M84" i="1"/>
  <c r="N84" i="1" s="1"/>
  <c r="B83" i="1" s="1"/>
  <c r="T114" i="1"/>
  <c r="T116" i="1" s="1"/>
  <c r="U115" i="1" s="1"/>
  <c r="V115" i="1" s="1"/>
  <c r="T110" i="1"/>
  <c r="AH113" i="1" s="1"/>
  <c r="A151" i="1"/>
  <c r="O150" i="1"/>
  <c r="Y115" i="1"/>
  <c r="A48" i="1"/>
  <c r="B47" i="1" s="1"/>
  <c r="C47" i="1" s="1"/>
  <c r="R38" i="1"/>
  <c r="B46" i="1"/>
  <c r="C46" i="1" s="1"/>
  <c r="D8" i="1"/>
  <c r="T29" i="1"/>
  <c r="T30" i="1" s="1"/>
  <c r="F31" i="1"/>
  <c r="G31" i="1"/>
  <c r="H43" i="1"/>
  <c r="N46" i="1" s="1"/>
  <c r="U44" i="1"/>
  <c r="AI42" i="1"/>
  <c r="X38" i="1"/>
  <c r="U34" i="1"/>
  <c r="U38" i="1" s="1"/>
  <c r="U37" i="1"/>
  <c r="AH127" i="1"/>
  <c r="AF127" i="1"/>
  <c r="AG127" i="1" s="1"/>
  <c r="M152" i="1"/>
  <c r="N152" i="1" s="1"/>
  <c r="O152" i="1"/>
  <c r="A106" i="1"/>
  <c r="A105" i="1"/>
  <c r="A102" i="1"/>
  <c r="AA111" i="1"/>
  <c r="AG114" i="1" s="1"/>
  <c r="Y111" i="1"/>
  <c r="R42" i="1"/>
  <c r="R44" i="1" s="1"/>
  <c r="AG112" i="1"/>
  <c r="AA110" i="1" s="1"/>
  <c r="AA109" i="1" s="1"/>
  <c r="AG113" i="1"/>
  <c r="Y113" i="1" s="1"/>
  <c r="P45" i="1"/>
  <c r="P44" i="1"/>
  <c r="R48" i="1" s="1"/>
  <c r="T37" i="1"/>
  <c r="T34" i="1"/>
  <c r="T38" i="1"/>
  <c r="A59" i="1"/>
  <c r="O58" i="1"/>
  <c r="M58" i="1"/>
  <c r="B58" i="1"/>
  <c r="AK112" i="1"/>
  <c r="AK107" i="1"/>
  <c r="T83" i="1"/>
  <c r="AH82" i="1"/>
  <c r="AG83" i="1"/>
  <c r="E106" i="1"/>
  <c r="B112" i="1"/>
  <c r="B102" i="1"/>
  <c r="P110" i="1"/>
  <c r="B105" i="1"/>
  <c r="D43" i="1"/>
  <c r="E47" i="1" s="1"/>
  <c r="M127" i="1"/>
  <c r="N127" i="1" s="1"/>
  <c r="O127" i="1"/>
  <c r="T151" i="1"/>
  <c r="AH150" i="1"/>
  <c r="AG151" i="1"/>
  <c r="AI114" i="1"/>
  <c r="AH112" i="1"/>
  <c r="AI108" i="1" s="1"/>
  <c r="AF59" i="1"/>
  <c r="AG59" i="1" s="1"/>
  <c r="AH59" i="1"/>
  <c r="R39" i="1" l="1"/>
  <c r="O83" i="1"/>
  <c r="A85" i="1" s="1"/>
  <c r="M83" i="1"/>
  <c r="U110" i="1"/>
  <c r="V110" i="1" s="1"/>
  <c r="Y114" i="1"/>
  <c r="A84" i="1"/>
  <c r="B82" i="1" s="1"/>
  <c r="B86" i="1" s="1"/>
  <c r="U114" i="1"/>
  <c r="V114" i="1" s="1"/>
  <c r="W112" i="1"/>
  <c r="S44" i="1"/>
  <c r="S42" i="1" s="1"/>
  <c r="D39" i="1"/>
  <c r="E39" i="1" s="1"/>
  <c r="F39" i="1" s="1"/>
  <c r="G39" i="1" s="1"/>
  <c r="H30" i="1"/>
  <c r="AF84" i="1"/>
  <c r="AG84" i="1" s="1"/>
  <c r="AH84" i="1"/>
  <c r="A57" i="1"/>
  <c r="A61" i="1"/>
  <c r="A60" i="1"/>
  <c r="AI47" i="1"/>
  <c r="AI43" i="1"/>
  <c r="AK40" i="1" s="1"/>
  <c r="V38" i="1"/>
  <c r="AH42" i="1" s="1"/>
  <c r="T59" i="1"/>
  <c r="AH58" i="1"/>
  <c r="AF58" i="1"/>
  <c r="U58" i="1"/>
  <c r="A127" i="1"/>
  <c r="O126" i="1"/>
  <c r="B126" i="1"/>
  <c r="M126" i="1"/>
  <c r="P111" i="1"/>
  <c r="R108" i="1" s="1"/>
  <c r="P115" i="1"/>
  <c r="C106" i="1"/>
  <c r="O110" i="1" s="1"/>
  <c r="AJ42" i="1"/>
  <c r="X44" i="1"/>
  <c r="T44" i="1"/>
  <c r="T43" i="1"/>
  <c r="X42" i="1" s="1"/>
  <c r="T40" i="1"/>
  <c r="T39" i="1"/>
  <c r="A111" i="1"/>
  <c r="E110" i="1" s="1"/>
  <c r="Q110" i="1"/>
  <c r="E112" i="1"/>
  <c r="A112" i="1"/>
  <c r="A107" i="1"/>
  <c r="A108" i="1"/>
  <c r="T127" i="1"/>
  <c r="AH126" i="1"/>
  <c r="U126" i="1"/>
  <c r="AF126" i="1"/>
  <c r="AH152" i="1"/>
  <c r="AF152" i="1"/>
  <c r="AG152" i="1" s="1"/>
  <c r="B106" i="1"/>
  <c r="B67" i="1"/>
  <c r="B57" i="1"/>
  <c r="B61" i="1" s="1"/>
  <c r="P65" i="1"/>
  <c r="E61" i="1"/>
  <c r="B60" i="1"/>
  <c r="X34" i="1"/>
  <c r="X36" i="1"/>
  <c r="H44" i="1"/>
  <c r="H46" i="1" s="1"/>
  <c r="R47" i="1"/>
  <c r="B113" i="1"/>
  <c r="D113" i="1" s="1"/>
  <c r="E113" i="1" s="1"/>
  <c r="AG41" i="1"/>
  <c r="B92" i="1"/>
  <c r="P90" i="1"/>
  <c r="E86" i="1"/>
  <c r="B85" i="1"/>
  <c r="E104" i="1"/>
  <c r="E102" i="1"/>
  <c r="A152" i="1"/>
  <c r="O151" i="1"/>
  <c r="M151" i="1"/>
  <c r="B151" i="1"/>
  <c r="U45" i="1"/>
  <c r="W45" i="1" s="1"/>
  <c r="X45" i="1" s="1"/>
  <c r="AJ43" i="1" s="1"/>
  <c r="A86" i="1" l="1"/>
  <c r="E92" i="1" s="1"/>
  <c r="A82" i="1"/>
  <c r="E82" i="1" s="1"/>
  <c r="W107" i="1"/>
  <c r="U43" i="1"/>
  <c r="X111" i="1"/>
  <c r="W111" i="1"/>
  <c r="X115" i="1" s="1"/>
  <c r="W42" i="1"/>
  <c r="AI46" i="1" s="1"/>
  <c r="A109" i="1"/>
  <c r="B108" i="1" s="1"/>
  <c r="C108" i="1" s="1"/>
  <c r="E46" i="1"/>
  <c r="G46" i="1" s="1"/>
  <c r="F42" i="1" s="1"/>
  <c r="G42" i="1" s="1"/>
  <c r="B36" i="1" s="1"/>
  <c r="C36" i="1" s="1"/>
  <c r="A113" i="1"/>
  <c r="T41" i="1"/>
  <c r="U40" i="1" s="1"/>
  <c r="V40" i="1" s="1"/>
  <c r="AH46" i="1"/>
  <c r="C8" i="1"/>
  <c r="J32" i="1"/>
  <c r="L31" i="1"/>
  <c r="E31" i="1"/>
  <c r="H31" i="1" s="1"/>
  <c r="K31" i="1" s="1"/>
  <c r="C112" i="1"/>
  <c r="X114" i="1"/>
  <c r="Z114" i="1" s="1"/>
  <c r="X107" i="1"/>
  <c r="Y107" i="1" s="1"/>
  <c r="Z107" i="1" s="1"/>
  <c r="O115" i="1"/>
  <c r="F115" i="1"/>
  <c r="O116" i="1"/>
  <c r="F116" i="1" s="1"/>
  <c r="P109" i="1"/>
  <c r="C111" i="1"/>
  <c r="B111" i="1"/>
  <c r="D110" i="1"/>
  <c r="N89" i="1"/>
  <c r="T60" i="1"/>
  <c r="T57" i="1"/>
  <c r="T61" i="1"/>
  <c r="N109" i="1"/>
  <c r="E59" i="1"/>
  <c r="E57" i="1"/>
  <c r="T84" i="1"/>
  <c r="AH83" i="1"/>
  <c r="U83" i="1"/>
  <c r="AF83" i="1"/>
  <c r="E154" i="1"/>
  <c r="B160" i="1"/>
  <c r="B150" i="1"/>
  <c r="B154" i="1" s="1"/>
  <c r="P158" i="1"/>
  <c r="B153" i="1"/>
  <c r="Y47" i="1"/>
  <c r="AH47" i="1"/>
  <c r="O114" i="1"/>
  <c r="T152" i="1"/>
  <c r="AH151" i="1"/>
  <c r="AF151" i="1"/>
  <c r="U151" i="1"/>
  <c r="X129" i="1"/>
  <c r="U125" i="1"/>
  <c r="U129" i="1" s="1"/>
  <c r="U135" i="1"/>
  <c r="AI133" i="1"/>
  <c r="U128" i="1"/>
  <c r="B107" i="1"/>
  <c r="C107" i="1" s="1"/>
  <c r="A88" i="1"/>
  <c r="Q90" i="1"/>
  <c r="A87" i="1"/>
  <c r="AG43" i="1"/>
  <c r="E129" i="1"/>
  <c r="B135" i="1"/>
  <c r="B125" i="1"/>
  <c r="B129" i="1" s="1"/>
  <c r="P133" i="1"/>
  <c r="B128" i="1"/>
  <c r="V44" i="1"/>
  <c r="P91" i="1"/>
  <c r="P95" i="1"/>
  <c r="C86" i="1"/>
  <c r="O90" i="1" s="1"/>
  <c r="T129" i="1"/>
  <c r="T128" i="1"/>
  <c r="T125" i="1"/>
  <c r="H113" i="1"/>
  <c r="O111" i="1"/>
  <c r="N110" i="1" s="1"/>
  <c r="N111" i="1"/>
  <c r="E84" i="1"/>
  <c r="T45" i="1"/>
  <c r="A129" i="1"/>
  <c r="A128" i="1"/>
  <c r="A125" i="1"/>
  <c r="U57" i="1"/>
  <c r="U67" i="1"/>
  <c r="AI65" i="1"/>
  <c r="X61" i="1"/>
  <c r="U60" i="1"/>
  <c r="AH48" i="1"/>
  <c r="Y48" i="1" s="1"/>
  <c r="N64" i="1"/>
  <c r="V43" i="1"/>
  <c r="AI41" i="1"/>
  <c r="A154" i="1"/>
  <c r="A153" i="1"/>
  <c r="A150" i="1"/>
  <c r="Q111" i="1"/>
  <c r="B93" i="1"/>
  <c r="D93" i="1" s="1"/>
  <c r="E93" i="1" s="1"/>
  <c r="O94" i="1" s="1"/>
  <c r="B68" i="1"/>
  <c r="D68" i="1" s="1"/>
  <c r="E68" i="1" s="1"/>
  <c r="O69" i="1" s="1"/>
  <c r="C61" i="1"/>
  <c r="O65" i="1" s="1"/>
  <c r="P66" i="1"/>
  <c r="P70" i="1"/>
  <c r="U39" i="1"/>
  <c r="V39" i="1" s="1"/>
  <c r="AA45" i="1"/>
  <c r="AH43" i="1"/>
  <c r="AG42" i="1" s="1"/>
  <c r="Q65" i="1"/>
  <c r="E67" i="1"/>
  <c r="A67" i="1"/>
  <c r="A62" i="1"/>
  <c r="A66" i="1"/>
  <c r="E65" i="1" s="1"/>
  <c r="A63" i="1"/>
  <c r="B87" i="1" l="1"/>
  <c r="C87" i="1" s="1"/>
  <c r="A92" i="1"/>
  <c r="A91" i="1"/>
  <c r="A93" i="1" s="1"/>
  <c r="A110" i="1"/>
  <c r="B110" i="1" s="1"/>
  <c r="C110" i="1" s="1"/>
  <c r="AI113" i="1"/>
  <c r="AI112" i="1"/>
  <c r="T42" i="1"/>
  <c r="AH45" i="1" s="1"/>
  <c r="Y110" i="1"/>
  <c r="Z110" i="1" s="1"/>
  <c r="U104" i="1" s="1"/>
  <c r="V104" i="1" s="1"/>
  <c r="X103" i="1" s="1"/>
  <c r="C67" i="1"/>
  <c r="AH44" i="1"/>
  <c r="AI40" i="1" s="1"/>
  <c r="A64" i="1"/>
  <c r="B63" i="1" s="1"/>
  <c r="C63" i="1" s="1"/>
  <c r="D36" i="1"/>
  <c r="C35" i="1" s="1"/>
  <c r="E35" i="1"/>
  <c r="A115" i="1"/>
  <c r="A114" i="1"/>
  <c r="T47" i="1"/>
  <c r="T46" i="1"/>
  <c r="M31" i="1"/>
  <c r="D7" i="1" s="1"/>
  <c r="C9" i="1"/>
  <c r="L32" i="1"/>
  <c r="C92" i="1"/>
  <c r="J31" i="1"/>
  <c r="A32" i="1" s="1"/>
  <c r="F32" i="1" s="1"/>
  <c r="I31" i="1" s="1"/>
  <c r="K32" i="1" s="1"/>
  <c r="I32" i="1"/>
  <c r="E32" i="1"/>
  <c r="C32" i="1" s="1"/>
  <c r="O70" i="1"/>
  <c r="F70" i="1"/>
  <c r="O71" i="1"/>
  <c r="F71" i="1" s="1"/>
  <c r="E152" i="1"/>
  <c r="E150" i="1"/>
  <c r="AK44" i="1"/>
  <c r="N132" i="1"/>
  <c r="A89" i="1"/>
  <c r="D65" i="1"/>
  <c r="T85" i="1"/>
  <c r="T82" i="1"/>
  <c r="T86" i="1"/>
  <c r="A68" i="1"/>
  <c r="C66" i="1"/>
  <c r="P64" i="1"/>
  <c r="P89" i="1"/>
  <c r="C91" i="1"/>
  <c r="N157" i="1"/>
  <c r="U68" i="1"/>
  <c r="W68" i="1" s="1"/>
  <c r="X68" i="1" s="1"/>
  <c r="AH69" i="1" s="1"/>
  <c r="A134" i="1"/>
  <c r="E133" i="1" s="1"/>
  <c r="A131" i="1"/>
  <c r="Q133" i="1"/>
  <c r="E135" i="1"/>
  <c r="A135" i="1"/>
  <c r="A130" i="1"/>
  <c r="B130" i="1" s="1"/>
  <c r="C130" i="1" s="1"/>
  <c r="Q91" i="1"/>
  <c r="N113" i="1"/>
  <c r="F113" i="1" s="1"/>
  <c r="N112" i="1"/>
  <c r="H110" i="1" s="1"/>
  <c r="H109" i="1" s="1"/>
  <c r="X127" i="1"/>
  <c r="X125" i="1"/>
  <c r="P134" i="1"/>
  <c r="P138" i="1"/>
  <c r="C129" i="1"/>
  <c r="O133" i="1" s="1"/>
  <c r="O91" i="1"/>
  <c r="H93" i="1"/>
  <c r="N91" i="1"/>
  <c r="U136" i="1"/>
  <c r="W136" i="1" s="1"/>
  <c r="X136" i="1" s="1"/>
  <c r="AJ134" i="1" s="1"/>
  <c r="AI134" i="1"/>
  <c r="V129" i="1"/>
  <c r="AH133" i="1" s="1"/>
  <c r="AI138" i="1"/>
  <c r="T154" i="1"/>
  <c r="T153" i="1"/>
  <c r="T150" i="1"/>
  <c r="B161" i="1"/>
  <c r="D161" i="1" s="1"/>
  <c r="E161" i="1" s="1"/>
  <c r="Q66" i="1"/>
  <c r="T66" i="1"/>
  <c r="T68" i="1" s="1"/>
  <c r="AJ65" i="1"/>
  <c r="T63" i="1"/>
  <c r="T62" i="1"/>
  <c r="X67" i="1"/>
  <c r="T67" i="1"/>
  <c r="W104" i="1"/>
  <c r="E90" i="1"/>
  <c r="P114" i="1"/>
  <c r="O112" i="1"/>
  <c r="P108" i="1" s="1"/>
  <c r="B62" i="1"/>
  <c r="C62" i="1" s="1"/>
  <c r="A159" i="1"/>
  <c r="A156" i="1"/>
  <c r="Q158" i="1"/>
  <c r="E160" i="1"/>
  <c r="A160" i="1"/>
  <c r="A155" i="1"/>
  <c r="B155" i="1" s="1"/>
  <c r="C155" i="1" s="1"/>
  <c r="V61" i="1"/>
  <c r="AH65" i="1" s="1"/>
  <c r="AI70" i="1"/>
  <c r="AI66" i="1"/>
  <c r="AG132" i="1"/>
  <c r="AG44" i="1"/>
  <c r="AA42" i="1" s="1"/>
  <c r="AA41" i="1" s="1"/>
  <c r="AG45" i="1"/>
  <c r="Y45" i="1" s="1"/>
  <c r="D90" i="1"/>
  <c r="X59" i="1"/>
  <c r="X57" i="1"/>
  <c r="N66" i="1"/>
  <c r="H68" i="1"/>
  <c r="O66" i="1"/>
  <c r="N65" i="1" s="1"/>
  <c r="AA43" i="1"/>
  <c r="AK39" i="1" s="1"/>
  <c r="Y43" i="1"/>
  <c r="U61" i="1"/>
  <c r="AG64" i="1" s="1"/>
  <c r="E127" i="1"/>
  <c r="E125" i="1"/>
  <c r="F111" i="1"/>
  <c r="H111" i="1"/>
  <c r="N114" i="1" s="1"/>
  <c r="X135" i="1"/>
  <c r="T135" i="1"/>
  <c r="T134" i="1"/>
  <c r="X133" i="1" s="1"/>
  <c r="AJ133" i="1"/>
  <c r="T131" i="1"/>
  <c r="T130" i="1"/>
  <c r="B136" i="1"/>
  <c r="D136" i="1" s="1"/>
  <c r="E136" i="1" s="1"/>
  <c r="X154" i="1"/>
  <c r="U150" i="1"/>
  <c r="U160" i="1"/>
  <c r="AI158" i="1"/>
  <c r="U153" i="1"/>
  <c r="B66" i="1"/>
  <c r="B91" i="1"/>
  <c r="P159" i="1"/>
  <c r="P163" i="1"/>
  <c r="C154" i="1"/>
  <c r="O158" i="1" s="1"/>
  <c r="U92" i="1"/>
  <c r="AI90" i="1"/>
  <c r="U82" i="1"/>
  <c r="X86" i="1"/>
  <c r="U85" i="1"/>
  <c r="F114" i="1"/>
  <c r="R112" i="1"/>
  <c r="D35" i="1" l="1"/>
  <c r="C34" i="1" s="1"/>
  <c r="D34" i="1" s="1"/>
  <c r="A70" i="1"/>
  <c r="A69" i="1"/>
  <c r="Y46" i="1"/>
  <c r="W44" i="1"/>
  <c r="X43" i="1" s="1"/>
  <c r="AK115" i="1"/>
  <c r="AK116" i="1"/>
  <c r="AA112" i="1"/>
  <c r="AA114" i="1" s="1"/>
  <c r="U42" i="1"/>
  <c r="V42" i="1" s="1"/>
  <c r="O113" i="1"/>
  <c r="D112" i="1"/>
  <c r="U134" i="1"/>
  <c r="A65" i="1"/>
  <c r="O68" i="1" s="1"/>
  <c r="B114" i="1"/>
  <c r="C114" i="1" s="1"/>
  <c r="U46" i="1"/>
  <c r="V46" i="1" s="1"/>
  <c r="R107" i="1"/>
  <c r="A116" i="1"/>
  <c r="B115" i="1" s="1"/>
  <c r="C115" i="1" s="1"/>
  <c r="AJ66" i="1"/>
  <c r="W133" i="1"/>
  <c r="AI137" i="1" s="1"/>
  <c r="X65" i="1"/>
  <c r="Y70" i="1" s="1"/>
  <c r="U130" i="1"/>
  <c r="V130" i="1" s="1"/>
  <c r="T136" i="1"/>
  <c r="T48" i="1"/>
  <c r="U47" i="1" s="1"/>
  <c r="V47" i="1" s="1"/>
  <c r="A136" i="1"/>
  <c r="U62" i="1"/>
  <c r="V62" i="1" s="1"/>
  <c r="H32" i="1"/>
  <c r="G32" i="1" s="1"/>
  <c r="D9" i="1"/>
  <c r="M30" i="1"/>
  <c r="AH138" i="1"/>
  <c r="Y138" i="1"/>
  <c r="AH139" i="1"/>
  <c r="Y139" i="1" s="1"/>
  <c r="F138" i="1"/>
  <c r="O138" i="1"/>
  <c r="O139" i="1"/>
  <c r="F139" i="1" s="1"/>
  <c r="T132" i="1"/>
  <c r="W65" i="1"/>
  <c r="U66" i="1"/>
  <c r="N68" i="1"/>
  <c r="F68" i="1" s="1"/>
  <c r="N67" i="1"/>
  <c r="H65" i="1" s="1"/>
  <c r="H64" i="1" s="1"/>
  <c r="V67" i="1"/>
  <c r="O159" i="1"/>
  <c r="N158" i="1" s="1"/>
  <c r="H161" i="1"/>
  <c r="N159" i="1"/>
  <c r="V103" i="1"/>
  <c r="W103" i="1"/>
  <c r="T64" i="1"/>
  <c r="V135" i="1"/>
  <c r="AH137" i="1"/>
  <c r="F91" i="1"/>
  <c r="A132" i="1"/>
  <c r="E158" i="1"/>
  <c r="B134" i="1"/>
  <c r="AI91" i="1"/>
  <c r="V86" i="1"/>
  <c r="AH90" i="1" s="1"/>
  <c r="AI95" i="1"/>
  <c r="U161" i="1"/>
  <c r="W161" i="1" s="1"/>
  <c r="X161" i="1" s="1"/>
  <c r="AJ159" i="1" s="1"/>
  <c r="AI159" i="1"/>
  <c r="V154" i="1"/>
  <c r="AH158" i="1" s="1"/>
  <c r="AI163" i="1"/>
  <c r="P132" i="1"/>
  <c r="C134" i="1"/>
  <c r="AA136" i="1"/>
  <c r="AH134" i="1"/>
  <c r="AG133" i="1" s="1"/>
  <c r="Q134" i="1"/>
  <c r="H66" i="1"/>
  <c r="N69" i="1" s="1"/>
  <c r="F66" i="1"/>
  <c r="AH66" i="1"/>
  <c r="AG65" i="1" s="1"/>
  <c r="AA68" i="1"/>
  <c r="P157" i="1"/>
  <c r="C159" i="1"/>
  <c r="X160" i="1"/>
  <c r="T160" i="1"/>
  <c r="T159" i="1"/>
  <c r="X158" i="1" s="1"/>
  <c r="AJ158" i="1"/>
  <c r="T156" i="1"/>
  <c r="T155" i="1"/>
  <c r="N93" i="1"/>
  <c r="F93" i="1" s="1"/>
  <c r="O134" i="1"/>
  <c r="N133" i="1" s="1"/>
  <c r="H136" i="1"/>
  <c r="N134" i="1"/>
  <c r="AI64" i="1"/>
  <c r="V66" i="1"/>
  <c r="B88" i="1"/>
  <c r="C88" i="1" s="1"/>
  <c r="A90" i="1"/>
  <c r="O93" i="1" s="1"/>
  <c r="A94" i="1"/>
  <c r="A95" i="1"/>
  <c r="Q159" i="1"/>
  <c r="D158" i="1"/>
  <c r="U86" i="1"/>
  <c r="AG89" i="1" s="1"/>
  <c r="C160" i="1"/>
  <c r="U154" i="1"/>
  <c r="O137" i="1"/>
  <c r="AG134" i="1"/>
  <c r="AG46" i="1"/>
  <c r="P94" i="1"/>
  <c r="O92" i="1"/>
  <c r="P88" i="1" s="1"/>
  <c r="A161" i="1"/>
  <c r="F95" i="1"/>
  <c r="O95" i="1"/>
  <c r="O96" i="1"/>
  <c r="F96" i="1" s="1"/>
  <c r="AG66" i="1"/>
  <c r="O162" i="1"/>
  <c r="C135" i="1"/>
  <c r="N90" i="1"/>
  <c r="H91" i="1" s="1"/>
  <c r="N94" i="1" s="1"/>
  <c r="X92" i="1"/>
  <c r="T92" i="1"/>
  <c r="T91" i="1"/>
  <c r="X90" i="1" s="1"/>
  <c r="AJ90" i="1"/>
  <c r="T88" i="1"/>
  <c r="T87" i="1"/>
  <c r="P69" i="1"/>
  <c r="O67" i="1"/>
  <c r="P63" i="1" s="1"/>
  <c r="B159" i="1"/>
  <c r="U93" i="1"/>
  <c r="W93" i="1" s="1"/>
  <c r="X93" i="1" s="1"/>
  <c r="AH94" i="1" s="1"/>
  <c r="A157" i="1"/>
  <c r="C37" i="1"/>
  <c r="X152" i="1"/>
  <c r="X150" i="1"/>
  <c r="V134" i="1"/>
  <c r="AI132" i="1"/>
  <c r="X84" i="1"/>
  <c r="X82" i="1"/>
  <c r="D133" i="1"/>
  <c r="AH70" i="1" l="1"/>
  <c r="A71" i="1"/>
  <c r="B70" i="1" s="1"/>
  <c r="C70" i="1" s="1"/>
  <c r="W43" i="1"/>
  <c r="X47" i="1" s="1"/>
  <c r="B69" i="1"/>
  <c r="C69" i="1" s="1"/>
  <c r="D107" i="1"/>
  <c r="W39" i="1"/>
  <c r="X46" i="1" s="1"/>
  <c r="Z46" i="1" s="1"/>
  <c r="E111" i="1"/>
  <c r="D111" i="1"/>
  <c r="E115" i="1" s="1"/>
  <c r="AI44" i="1"/>
  <c r="AI45" i="1"/>
  <c r="B65" i="1"/>
  <c r="C65" i="1" s="1"/>
  <c r="D67" i="1"/>
  <c r="E66" i="1" s="1"/>
  <c r="F69" i="1"/>
  <c r="AH135" i="1"/>
  <c r="AI131" i="1" s="1"/>
  <c r="AH71" i="1"/>
  <c r="Y71" i="1" s="1"/>
  <c r="E114" i="1"/>
  <c r="G114" i="1" s="1"/>
  <c r="E107" i="1"/>
  <c r="F107" i="1" s="1"/>
  <c r="G107" i="1" s="1"/>
  <c r="AJ91" i="1"/>
  <c r="T157" i="1"/>
  <c r="T158" i="1" s="1"/>
  <c r="W160" i="1" s="1"/>
  <c r="U87" i="1"/>
  <c r="V87" i="1" s="1"/>
  <c r="A96" i="1"/>
  <c r="B95" i="1" s="1"/>
  <c r="C95" i="1" s="1"/>
  <c r="D31" i="1"/>
  <c r="F4" i="1"/>
  <c r="T161" i="1"/>
  <c r="AH163" i="1"/>
  <c r="Y163" i="1"/>
  <c r="AH164" i="1"/>
  <c r="Y164" i="1" s="1"/>
  <c r="AH95" i="1"/>
  <c r="Y95" i="1"/>
  <c r="AH96" i="1"/>
  <c r="Y96" i="1" s="1"/>
  <c r="E37" i="1"/>
  <c r="C45" i="1"/>
  <c r="O41" i="1"/>
  <c r="AG68" i="1"/>
  <c r="Y68" i="1" s="1"/>
  <c r="AG67" i="1"/>
  <c r="AA65" i="1" s="1"/>
  <c r="AA64" i="1" s="1"/>
  <c r="AA161" i="1"/>
  <c r="AH159" i="1"/>
  <c r="V159" i="1"/>
  <c r="AI157" i="1"/>
  <c r="B131" i="1"/>
  <c r="C131" i="1" s="1"/>
  <c r="A133" i="1"/>
  <c r="A137" i="1"/>
  <c r="A138" i="1"/>
  <c r="V105" i="1"/>
  <c r="U131" i="1"/>
  <c r="V131" i="1" s="1"/>
  <c r="T133" i="1"/>
  <c r="T138" i="1"/>
  <c r="T137" i="1"/>
  <c r="B156" i="1"/>
  <c r="C156" i="1" s="1"/>
  <c r="A158" i="1"/>
  <c r="O161" i="1" s="1"/>
  <c r="A162" i="1"/>
  <c r="A163" i="1"/>
  <c r="T89" i="1"/>
  <c r="T93" i="1"/>
  <c r="AG135" i="1"/>
  <c r="AA133" i="1" s="1"/>
  <c r="AA132" i="1" s="1"/>
  <c r="AG136" i="1"/>
  <c r="Y136" i="1" s="1"/>
  <c r="U91" i="1"/>
  <c r="W90" i="1"/>
  <c r="P162" i="1"/>
  <c r="O160" i="1"/>
  <c r="P156" i="1" s="1"/>
  <c r="F94" i="1"/>
  <c r="B90" i="1"/>
  <c r="C90" i="1" s="1"/>
  <c r="D92" i="1"/>
  <c r="N92" i="1"/>
  <c r="H90" i="1" s="1"/>
  <c r="H89" i="1" s="1"/>
  <c r="AG159" i="1"/>
  <c r="V160" i="1"/>
  <c r="AH162" i="1"/>
  <c r="V92" i="1"/>
  <c r="V102" i="1"/>
  <c r="W102" i="1" s="1"/>
  <c r="F159" i="1"/>
  <c r="H159" i="1"/>
  <c r="N162" i="1" s="1"/>
  <c r="V91" i="1"/>
  <c r="AI89" i="1"/>
  <c r="AA93" i="1"/>
  <c r="AH91" i="1"/>
  <c r="F134" i="1"/>
  <c r="H134" i="1"/>
  <c r="N137" i="1" s="1"/>
  <c r="U155" i="1"/>
  <c r="V155" i="1" s="1"/>
  <c r="AA134" i="1"/>
  <c r="AG137" i="1" s="1"/>
  <c r="Y134" i="1"/>
  <c r="U63" i="1"/>
  <c r="V63" i="1" s="1"/>
  <c r="T65" i="1"/>
  <c r="T70" i="1"/>
  <c r="T69" i="1"/>
  <c r="N160" i="1"/>
  <c r="H158" i="1" s="1"/>
  <c r="H157" i="1" s="1"/>
  <c r="N161" i="1"/>
  <c r="F161" i="1" s="1"/>
  <c r="AI69" i="1"/>
  <c r="AH67" i="1"/>
  <c r="AI63" i="1" s="1"/>
  <c r="P137" i="1"/>
  <c r="O135" i="1"/>
  <c r="P131" i="1" s="1"/>
  <c r="D38" i="1"/>
  <c r="D37" i="1"/>
  <c r="AG91" i="1"/>
  <c r="U159" i="1"/>
  <c r="W158" i="1"/>
  <c r="B94" i="1"/>
  <c r="C94" i="1" s="1"/>
  <c r="N135" i="1"/>
  <c r="H133" i="1" s="1"/>
  <c r="H132" i="1" s="1"/>
  <c r="N136" i="1"/>
  <c r="F136" i="1" s="1"/>
  <c r="AA66" i="1"/>
  <c r="AG69" i="1" s="1"/>
  <c r="Y66" i="1"/>
  <c r="F163" i="1"/>
  <c r="O163" i="1"/>
  <c r="O164" i="1"/>
  <c r="F164" i="1" s="1"/>
  <c r="AG157" i="1"/>
  <c r="D66" i="1" l="1"/>
  <c r="E70" i="1" s="1"/>
  <c r="U156" i="1"/>
  <c r="V156" i="1" s="1"/>
  <c r="D62" i="1"/>
  <c r="E62" i="1" s="1"/>
  <c r="F62" i="1" s="1"/>
  <c r="X39" i="1"/>
  <c r="Y39" i="1" s="1"/>
  <c r="Z39" i="1" s="1"/>
  <c r="Y42" i="1" s="1"/>
  <c r="Z42" i="1" s="1"/>
  <c r="U36" i="1" s="1"/>
  <c r="V36" i="1" s="1"/>
  <c r="W36" i="1" s="1"/>
  <c r="P112" i="1"/>
  <c r="P113" i="1"/>
  <c r="AK47" i="1"/>
  <c r="AK48" i="1"/>
  <c r="AA44" i="1"/>
  <c r="AA46" i="1" s="1"/>
  <c r="P68" i="1"/>
  <c r="P67" i="1"/>
  <c r="H67" i="1" s="1"/>
  <c r="H69" i="1" s="1"/>
  <c r="F110" i="1"/>
  <c r="G110" i="1" s="1"/>
  <c r="B104" i="1" s="1"/>
  <c r="C104" i="1" s="1"/>
  <c r="D104" i="1" s="1"/>
  <c r="U69" i="1"/>
  <c r="V69" i="1" s="1"/>
  <c r="B137" i="1"/>
  <c r="C137" i="1" s="1"/>
  <c r="T162" i="1"/>
  <c r="T163" i="1"/>
  <c r="B162" i="1"/>
  <c r="C162" i="1" s="1"/>
  <c r="T139" i="1"/>
  <c r="U138" i="1" s="1"/>
  <c r="V138" i="1" s="1"/>
  <c r="W106" i="1"/>
  <c r="W105" i="1"/>
  <c r="X159" i="1"/>
  <c r="W159" i="1"/>
  <c r="X163" i="1" s="1"/>
  <c r="AG161" i="1"/>
  <c r="Y161" i="1" s="1"/>
  <c r="AI94" i="1"/>
  <c r="AH92" i="1"/>
  <c r="AI88" i="1" s="1"/>
  <c r="F162" i="1"/>
  <c r="B158" i="1"/>
  <c r="C158" i="1" s="1"/>
  <c r="D160" i="1"/>
  <c r="F137" i="1"/>
  <c r="B133" i="1"/>
  <c r="C133" i="1" s="1"/>
  <c r="O136" i="1"/>
  <c r="D135" i="1"/>
  <c r="T71" i="1"/>
  <c r="U70" i="1" s="1"/>
  <c r="V70" i="1" s="1"/>
  <c r="Y91" i="1"/>
  <c r="U88" i="1"/>
  <c r="V88" i="1" s="1"/>
  <c r="T90" i="1"/>
  <c r="T95" i="1"/>
  <c r="T94" i="1"/>
  <c r="U137" i="1"/>
  <c r="V137" i="1" s="1"/>
  <c r="X105" i="1"/>
  <c r="AH109" i="1"/>
  <c r="V113" i="1"/>
  <c r="Y159" i="1"/>
  <c r="Y162" i="1"/>
  <c r="U158" i="1"/>
  <c r="V158" i="1" s="1"/>
  <c r="AG93" i="1"/>
  <c r="Y93" i="1" s="1"/>
  <c r="Y137" i="1"/>
  <c r="U133" i="1"/>
  <c r="V133" i="1" s="1"/>
  <c r="AH136" i="1"/>
  <c r="W135" i="1"/>
  <c r="G62" i="1"/>
  <c r="AH161" i="1"/>
  <c r="AI162" i="1"/>
  <c r="AH160" i="1"/>
  <c r="AI156" i="1" s="1"/>
  <c r="Y69" i="1"/>
  <c r="U65" i="1"/>
  <c r="V65" i="1" s="1"/>
  <c r="W67" i="1"/>
  <c r="AH68" i="1"/>
  <c r="E91" i="1"/>
  <c r="D91" i="1"/>
  <c r="E95" i="1" s="1"/>
  <c r="A164" i="1"/>
  <c r="B163" i="1" s="1"/>
  <c r="C163" i="1" s="1"/>
  <c r="D155" i="1" s="1"/>
  <c r="E155" i="1" s="1"/>
  <c r="F155" i="1" s="1"/>
  <c r="A139" i="1"/>
  <c r="B138" i="1" s="1"/>
  <c r="C138" i="1" s="1"/>
  <c r="AG90" i="1"/>
  <c r="AA91" i="1" s="1"/>
  <c r="AG94" i="1" s="1"/>
  <c r="AG158" i="1"/>
  <c r="AG160" i="1" s="1"/>
  <c r="AA158" i="1" s="1"/>
  <c r="AA157" i="1" s="1"/>
  <c r="D87" i="1"/>
  <c r="E87" i="1" s="1"/>
  <c r="F87" i="1" s="1"/>
  <c r="F41" i="1"/>
  <c r="E41" i="1" s="1"/>
  <c r="E69" i="1" l="1"/>
  <c r="G69" i="1" s="1"/>
  <c r="F65" i="1" s="1"/>
  <c r="G65" i="1" s="1"/>
  <c r="B59" i="1" s="1"/>
  <c r="C59" i="1" s="1"/>
  <c r="R116" i="1"/>
  <c r="R115" i="1"/>
  <c r="H112" i="1"/>
  <c r="H114" i="1" s="1"/>
  <c r="E103" i="1"/>
  <c r="W62" i="1"/>
  <c r="X62" i="1" s="1"/>
  <c r="Y62" i="1" s="1"/>
  <c r="Z62" i="1" s="1"/>
  <c r="D130" i="1"/>
  <c r="E130" i="1" s="1"/>
  <c r="F130" i="1" s="1"/>
  <c r="G130" i="1" s="1"/>
  <c r="X35" i="1"/>
  <c r="T164" i="1"/>
  <c r="U163" i="1" s="1"/>
  <c r="V163" i="1" s="1"/>
  <c r="U162" i="1"/>
  <c r="T96" i="1"/>
  <c r="U95" i="1" s="1"/>
  <c r="V95" i="1" s="1"/>
  <c r="X66" i="1"/>
  <c r="W66" i="1"/>
  <c r="X70" i="1" s="1"/>
  <c r="C103" i="1"/>
  <c r="D103" i="1"/>
  <c r="E159" i="1"/>
  <c r="D159" i="1"/>
  <c r="E163" i="1" s="1"/>
  <c r="P93" i="1"/>
  <c r="P92" i="1"/>
  <c r="H92" i="1" s="1"/>
  <c r="H94" i="1" s="1"/>
  <c r="X134" i="1"/>
  <c r="W134" i="1"/>
  <c r="X138" i="1" s="1"/>
  <c r="AG92" i="1"/>
  <c r="AA90" i="1" s="1"/>
  <c r="AA89" i="1" s="1"/>
  <c r="Y109" i="1"/>
  <c r="X109" i="1" s="1"/>
  <c r="U94" i="1"/>
  <c r="V94" i="1" s="1"/>
  <c r="AI161" i="1"/>
  <c r="AI160" i="1"/>
  <c r="AA160" i="1" s="1"/>
  <c r="AA162" i="1" s="1"/>
  <c r="C41" i="1"/>
  <c r="C48" i="1" s="1"/>
  <c r="F44" i="1" s="1"/>
  <c r="Q36" i="1" s="1"/>
  <c r="Q37" i="1" s="1"/>
  <c r="E162" i="1"/>
  <c r="G162" i="1" s="1"/>
  <c r="E94" i="1"/>
  <c r="G94" i="1" s="1"/>
  <c r="Y94" i="1"/>
  <c r="U90" i="1"/>
  <c r="V90" i="1" s="1"/>
  <c r="W92" i="1"/>
  <c r="AH93" i="1"/>
  <c r="V35" i="1"/>
  <c r="W35" i="1"/>
  <c r="G87" i="1"/>
  <c r="G155" i="1"/>
  <c r="AA159" i="1"/>
  <c r="AG162" i="1" s="1"/>
  <c r="E134" i="1"/>
  <c r="D134" i="1"/>
  <c r="E138" i="1" s="1"/>
  <c r="W130" i="1"/>
  <c r="X130" i="1" s="1"/>
  <c r="Y130" i="1" s="1"/>
  <c r="E137" i="1" l="1"/>
  <c r="G137" i="1" s="1"/>
  <c r="F133" i="1" s="1"/>
  <c r="G133" i="1" s="1"/>
  <c r="B127" i="1" s="1"/>
  <c r="C127" i="1" s="1"/>
  <c r="X69" i="1"/>
  <c r="Z69" i="1" s="1"/>
  <c r="F158" i="1"/>
  <c r="G158" i="1" s="1"/>
  <c r="B152" i="1" s="1"/>
  <c r="V162" i="1"/>
  <c r="W155" i="1"/>
  <c r="C102" i="1"/>
  <c r="F90" i="1"/>
  <c r="G90" i="1" s="1"/>
  <c r="B84" i="1" s="1"/>
  <c r="C84" i="1" s="1"/>
  <c r="V34" i="1"/>
  <c r="Q41" i="1"/>
  <c r="Q44" i="1" s="1"/>
  <c r="Q45" i="1" s="1"/>
  <c r="Q46" i="1" s="1"/>
  <c r="Q34" i="1"/>
  <c r="C152" i="1"/>
  <c r="X91" i="1"/>
  <c r="W91" i="1"/>
  <c r="X95" i="1" s="1"/>
  <c r="Z130" i="1"/>
  <c r="X137" i="1"/>
  <c r="Z137" i="1" s="1"/>
  <c r="W34" i="1"/>
  <c r="V37" i="1"/>
  <c r="D102" i="1"/>
  <c r="C105" i="1"/>
  <c r="W87" i="1"/>
  <c r="X87" i="1" s="1"/>
  <c r="Y87" i="1" s="1"/>
  <c r="D59" i="1"/>
  <c r="E58" i="1"/>
  <c r="V109" i="1"/>
  <c r="V116" i="1" s="1"/>
  <c r="Y112" i="1" s="1"/>
  <c r="AJ104" i="1" s="1"/>
  <c r="AJ105" i="1" s="1"/>
  <c r="AI136" i="1"/>
  <c r="AI135" i="1"/>
  <c r="AA135" i="1" s="1"/>
  <c r="AA137" i="1" s="1"/>
  <c r="P136" i="1"/>
  <c r="P135" i="1"/>
  <c r="H135" i="1" s="1"/>
  <c r="H137" i="1" s="1"/>
  <c r="P161" i="1"/>
  <c r="P160" i="1"/>
  <c r="H160" i="1" s="1"/>
  <c r="H162" i="1" s="1"/>
  <c r="Y65" i="1"/>
  <c r="Z65" i="1" s="1"/>
  <c r="U59" i="1" s="1"/>
  <c r="AI68" i="1"/>
  <c r="AI67" i="1"/>
  <c r="AA67" i="1" s="1"/>
  <c r="AA69" i="1" s="1"/>
  <c r="X162" i="1" l="1"/>
  <c r="Z162" i="1" s="1"/>
  <c r="X155" i="1"/>
  <c r="Y155" i="1" s="1"/>
  <c r="Z155" i="1" s="1"/>
  <c r="AJ109" i="1"/>
  <c r="AJ112" i="1" s="1"/>
  <c r="AJ113" i="1" s="1"/>
  <c r="AJ114" i="1" s="1"/>
  <c r="AJ102" i="1"/>
  <c r="C58" i="1"/>
  <c r="X37" i="1"/>
  <c r="V45" i="1"/>
  <c r="AH41" i="1"/>
  <c r="Y133" i="1"/>
  <c r="Z133" i="1" s="1"/>
  <c r="U127" i="1" s="1"/>
  <c r="D58" i="1"/>
  <c r="D84" i="1"/>
  <c r="E83" i="1"/>
  <c r="Z87" i="1"/>
  <c r="W38" i="1"/>
  <c r="W37" i="1"/>
  <c r="X94" i="1"/>
  <c r="Z94" i="1" s="1"/>
  <c r="D152" i="1"/>
  <c r="E151" i="1"/>
  <c r="E105" i="1"/>
  <c r="C113" i="1"/>
  <c r="O109" i="1"/>
  <c r="V59" i="1"/>
  <c r="D127" i="1"/>
  <c r="E126" i="1"/>
  <c r="D106" i="1"/>
  <c r="D105" i="1"/>
  <c r="AI93" i="1"/>
  <c r="AI92" i="1"/>
  <c r="AA92" i="1" s="1"/>
  <c r="AA94" i="1" s="1"/>
  <c r="F40" i="1"/>
  <c r="P37" i="1"/>
  <c r="H55" i="1" s="1"/>
  <c r="P36" i="1"/>
  <c r="H53" i="1" s="1"/>
  <c r="P38" i="1"/>
  <c r="H52" i="1" s="1"/>
  <c r="F36" i="1"/>
  <c r="F34" i="1"/>
  <c r="Y158" i="1" l="1"/>
  <c r="Z158" i="1" s="1"/>
  <c r="U152" i="1" s="1"/>
  <c r="V152" i="1" s="1"/>
  <c r="X151" i="1" s="1"/>
  <c r="C57" i="1"/>
  <c r="D57" i="1" s="1"/>
  <c r="H36" i="1"/>
  <c r="O37" i="1" s="1"/>
  <c r="P54" i="1" s="1"/>
  <c r="H34" i="1"/>
  <c r="O38" i="1" s="1"/>
  <c r="P53" i="1" s="1"/>
  <c r="W59" i="1"/>
  <c r="X58" i="1"/>
  <c r="C83" i="1"/>
  <c r="D83" i="1"/>
  <c r="F38" i="1"/>
  <c r="F37" i="1"/>
  <c r="N37" i="1" s="1"/>
  <c r="P39" i="1" s="1"/>
  <c r="H54" i="1" s="1"/>
  <c r="F109" i="1"/>
  <c r="E109" i="1" s="1"/>
  <c r="C151" i="1"/>
  <c r="D151" i="1"/>
  <c r="C126" i="1"/>
  <c r="D126" i="1"/>
  <c r="Y90" i="1"/>
  <c r="Z90" i="1" s="1"/>
  <c r="U84" i="1" s="1"/>
  <c r="V127" i="1"/>
  <c r="C60" i="1"/>
  <c r="Y41" i="1"/>
  <c r="X41" i="1" s="1"/>
  <c r="Y108" i="1"/>
  <c r="AI106" i="1"/>
  <c r="AA120" i="1" s="1"/>
  <c r="Y104" i="1"/>
  <c r="AI104" i="1"/>
  <c r="AA121" i="1" s="1"/>
  <c r="AI105" i="1"/>
  <c r="AA123" i="1" s="1"/>
  <c r="Y102" i="1"/>
  <c r="W152" i="1" l="1"/>
  <c r="W151" i="1" s="1"/>
  <c r="C82" i="1"/>
  <c r="D82" i="1" s="1"/>
  <c r="D61" i="1"/>
  <c r="D60" i="1"/>
  <c r="V84" i="1"/>
  <c r="C109" i="1"/>
  <c r="C116" i="1" s="1"/>
  <c r="F112" i="1" s="1"/>
  <c r="Q104" i="1" s="1"/>
  <c r="Q105" i="1" s="1"/>
  <c r="C85" i="1"/>
  <c r="Y106" i="1"/>
  <c r="Y105" i="1"/>
  <c r="AG105" i="1" s="1"/>
  <c r="AI107" i="1" s="1"/>
  <c r="AA122" i="1" s="1"/>
  <c r="E60" i="1"/>
  <c r="C68" i="1"/>
  <c r="O64" i="1"/>
  <c r="C153" i="1"/>
  <c r="V151" i="1"/>
  <c r="C128" i="1"/>
  <c r="C150" i="1"/>
  <c r="D150" i="1" s="1"/>
  <c r="AA102" i="1"/>
  <c r="AH106" i="1" s="1"/>
  <c r="AI121" i="1" s="1"/>
  <c r="AA104" i="1"/>
  <c r="AH105" i="1" s="1"/>
  <c r="AI122" i="1" s="1"/>
  <c r="V41" i="1"/>
  <c r="V48" i="1" s="1"/>
  <c r="Y44" i="1" s="1"/>
  <c r="AJ36" i="1" s="1"/>
  <c r="AJ37" i="1" s="1"/>
  <c r="W127" i="1"/>
  <c r="X126" i="1"/>
  <c r="C125" i="1"/>
  <c r="D125" i="1" s="1"/>
  <c r="V58" i="1"/>
  <c r="W58" i="1"/>
  <c r="D154" i="1" l="1"/>
  <c r="D153" i="1"/>
  <c r="D129" i="1"/>
  <c r="D128" i="1"/>
  <c r="AJ41" i="1"/>
  <c r="AJ44" i="1" s="1"/>
  <c r="AJ45" i="1" s="1"/>
  <c r="AJ46" i="1" s="1"/>
  <c r="AJ34" i="1"/>
  <c r="V60" i="1"/>
  <c r="E128" i="1"/>
  <c r="C136" i="1"/>
  <c r="O132" i="1"/>
  <c r="V153" i="1"/>
  <c r="F64" i="1"/>
  <c r="E64" i="1" s="1"/>
  <c r="V57" i="1"/>
  <c r="W57" i="1" s="1"/>
  <c r="V126" i="1"/>
  <c r="W126" i="1"/>
  <c r="V150" i="1"/>
  <c r="W150" i="1" s="1"/>
  <c r="D86" i="1"/>
  <c r="D85" i="1"/>
  <c r="W84" i="1"/>
  <c r="X83" i="1"/>
  <c r="Q109" i="1"/>
  <c r="Q112" i="1" s="1"/>
  <c r="Q113" i="1" s="1"/>
  <c r="Q114" i="1" s="1"/>
  <c r="Q102" i="1"/>
  <c r="E153" i="1"/>
  <c r="C161" i="1"/>
  <c r="O157" i="1"/>
  <c r="E85" i="1"/>
  <c r="C93" i="1"/>
  <c r="O89" i="1"/>
  <c r="V125" i="1" l="1"/>
  <c r="W125" i="1" s="1"/>
  <c r="W153" i="1"/>
  <c r="W154" i="1"/>
  <c r="W60" i="1"/>
  <c r="W61" i="1"/>
  <c r="F157" i="1"/>
  <c r="E157" i="1" s="1"/>
  <c r="V83" i="1"/>
  <c r="X153" i="1"/>
  <c r="V161" i="1"/>
  <c r="AH157" i="1"/>
  <c r="V128" i="1"/>
  <c r="W83" i="1"/>
  <c r="F132" i="1"/>
  <c r="Y40" i="1"/>
  <c r="AI38" i="1"/>
  <c r="AA52" i="1" s="1"/>
  <c r="AI37" i="1"/>
  <c r="AA55" i="1" s="1"/>
  <c r="AI36" i="1"/>
  <c r="AA53" i="1" s="1"/>
  <c r="Y36" i="1"/>
  <c r="Y34" i="1"/>
  <c r="P105" i="1"/>
  <c r="H123" i="1" s="1"/>
  <c r="P104" i="1"/>
  <c r="H121" i="1" s="1"/>
  <c r="P106" i="1"/>
  <c r="H120" i="1" s="1"/>
  <c r="F104" i="1"/>
  <c r="F108" i="1"/>
  <c r="F102" i="1"/>
  <c r="F89" i="1"/>
  <c r="E89" i="1" s="1"/>
  <c r="C64" i="1"/>
  <c r="C71" i="1" s="1"/>
  <c r="F67" i="1" s="1"/>
  <c r="Q59" i="1" s="1"/>
  <c r="Q60" i="1" s="1"/>
  <c r="X60" i="1"/>
  <c r="V68" i="1"/>
  <c r="AH64" i="1"/>
  <c r="V82" i="1" l="1"/>
  <c r="Q64" i="1"/>
  <c r="Q67" i="1" s="1"/>
  <c r="Q68" i="1" s="1"/>
  <c r="Q69" i="1" s="1"/>
  <c r="Q57" i="1"/>
  <c r="C89" i="1"/>
  <c r="C96" i="1" s="1"/>
  <c r="F92" i="1" s="1"/>
  <c r="Q84" i="1" s="1"/>
  <c r="Q85" i="1" s="1"/>
  <c r="AA36" i="1"/>
  <c r="AH37" i="1" s="1"/>
  <c r="AI54" i="1" s="1"/>
  <c r="AA34" i="1"/>
  <c r="AH38" i="1" s="1"/>
  <c r="AI53" i="1" s="1"/>
  <c r="W128" i="1"/>
  <c r="W129" i="1"/>
  <c r="W82" i="1"/>
  <c r="V85" i="1"/>
  <c r="H104" i="1"/>
  <c r="O105" i="1" s="1"/>
  <c r="P122" i="1" s="1"/>
  <c r="H102" i="1"/>
  <c r="O106" i="1" s="1"/>
  <c r="P121" i="1" s="1"/>
  <c r="Y38" i="1"/>
  <c r="Y37" i="1"/>
  <c r="AG37" i="1" s="1"/>
  <c r="AI39" i="1" s="1"/>
  <c r="AA54" i="1" s="1"/>
  <c r="Y157" i="1"/>
  <c r="X157" i="1" s="1"/>
  <c r="F106" i="1"/>
  <c r="F105" i="1"/>
  <c r="N105" i="1" s="1"/>
  <c r="P107" i="1" s="1"/>
  <c r="H122" i="1" s="1"/>
  <c r="Y64" i="1"/>
  <c r="X64" i="1" s="1"/>
  <c r="E132" i="1"/>
  <c r="X128" i="1"/>
  <c r="V136" i="1"/>
  <c r="AH132" i="1"/>
  <c r="C157" i="1"/>
  <c r="C164" i="1" s="1"/>
  <c r="F160" i="1" s="1"/>
  <c r="Q152" i="1" s="1"/>
  <c r="Q153" i="1" s="1"/>
  <c r="Q150" i="1" l="1"/>
  <c r="Q157" i="1"/>
  <c r="Q160" i="1" s="1"/>
  <c r="Q161" i="1" s="1"/>
  <c r="Q162" i="1" s="1"/>
  <c r="V64" i="1"/>
  <c r="V71" i="1" s="1"/>
  <c r="Y67" i="1" s="1"/>
  <c r="AJ59" i="1" s="1"/>
  <c r="AJ60" i="1" s="1"/>
  <c r="V157" i="1"/>
  <c r="V164" i="1" s="1"/>
  <c r="Y160" i="1" s="1"/>
  <c r="AJ152" i="1" s="1"/>
  <c r="AJ153" i="1" s="1"/>
  <c r="Q89" i="1"/>
  <c r="Q92" i="1" s="1"/>
  <c r="Q93" i="1" s="1"/>
  <c r="Q94" i="1" s="1"/>
  <c r="Q82" i="1"/>
  <c r="X85" i="1"/>
  <c r="V93" i="1"/>
  <c r="AH89" i="1"/>
  <c r="C132" i="1"/>
  <c r="C139" i="1" s="1"/>
  <c r="F135" i="1" s="1"/>
  <c r="Q127" i="1" s="1"/>
  <c r="Q128" i="1" s="1"/>
  <c r="Y132" i="1"/>
  <c r="X132" i="1" s="1"/>
  <c r="W86" i="1"/>
  <c r="W85" i="1"/>
  <c r="F63" i="1"/>
  <c r="P61" i="1"/>
  <c r="F52" i="1" s="1"/>
  <c r="F59" i="1"/>
  <c r="F57" i="1"/>
  <c r="P60" i="1"/>
  <c r="F55" i="1" s="1"/>
  <c r="P59" i="1"/>
  <c r="F53" i="1" s="1"/>
  <c r="Q53" i="1"/>
  <c r="AJ150" i="1" l="1"/>
  <c r="AJ157" i="1"/>
  <c r="AJ160" i="1" s="1"/>
  <c r="AJ161" i="1" s="1"/>
  <c r="AJ162" i="1" s="1"/>
  <c r="Q125" i="1"/>
  <c r="Q132" i="1"/>
  <c r="Q135" i="1" s="1"/>
  <c r="Q136" i="1" s="1"/>
  <c r="Q137" i="1" s="1"/>
  <c r="Q54" i="1"/>
  <c r="P52" i="1"/>
  <c r="O52" i="1"/>
  <c r="F61" i="1"/>
  <c r="F60" i="1"/>
  <c r="N60" i="1" s="1"/>
  <c r="P62" i="1" s="1"/>
  <c r="F54" i="1" s="1"/>
  <c r="V132" i="1"/>
  <c r="V139" i="1" s="1"/>
  <c r="Y135" i="1" s="1"/>
  <c r="AJ127" i="1" s="1"/>
  <c r="AJ128" i="1" s="1"/>
  <c r="P153" i="1"/>
  <c r="E123" i="1" s="1"/>
  <c r="P152" i="1"/>
  <c r="E121" i="1" s="1"/>
  <c r="F156" i="1"/>
  <c r="P154" i="1"/>
  <c r="E120" i="1" s="1"/>
  <c r="F152" i="1"/>
  <c r="F150" i="1"/>
  <c r="H59" i="1"/>
  <c r="O60" i="1" s="1"/>
  <c r="O53" i="1" s="1"/>
  <c r="H57" i="1"/>
  <c r="O61" i="1" s="1"/>
  <c r="O54" i="1" s="1"/>
  <c r="AJ64" i="1"/>
  <c r="AJ67" i="1" s="1"/>
  <c r="AJ68" i="1" s="1"/>
  <c r="AJ69" i="1" s="1"/>
  <c r="AJ57" i="1"/>
  <c r="Y89" i="1"/>
  <c r="X89" i="1" s="1"/>
  <c r="F88" i="1"/>
  <c r="P86" i="1"/>
  <c r="E52" i="1" s="1"/>
  <c r="F84" i="1"/>
  <c r="F82" i="1"/>
  <c r="P85" i="1"/>
  <c r="E55" i="1" s="1"/>
  <c r="P84" i="1"/>
  <c r="E53" i="1" s="1"/>
  <c r="AJ125" i="1" l="1"/>
  <c r="AJ132" i="1"/>
  <c r="AJ135" i="1" s="1"/>
  <c r="AJ136" i="1" s="1"/>
  <c r="AJ137" i="1" s="1"/>
  <c r="F86" i="1"/>
  <c r="F85" i="1"/>
  <c r="N85" i="1" s="1"/>
  <c r="P87" i="1" s="1"/>
  <c r="E54" i="1" s="1"/>
  <c r="Y57" i="1"/>
  <c r="Y63" i="1"/>
  <c r="AI60" i="1"/>
  <c r="Y55" i="1" s="1"/>
  <c r="AI59" i="1"/>
  <c r="Y53" i="1" s="1"/>
  <c r="AI61" i="1"/>
  <c r="Y52" i="1" s="1"/>
  <c r="Y59" i="1"/>
  <c r="P128" i="1"/>
  <c r="F123" i="1" s="1"/>
  <c r="P127" i="1"/>
  <c r="F121" i="1" s="1"/>
  <c r="F131" i="1"/>
  <c r="P129" i="1"/>
  <c r="F120" i="1" s="1"/>
  <c r="F127" i="1"/>
  <c r="F125" i="1"/>
  <c r="Q121" i="1"/>
  <c r="H84" i="1"/>
  <c r="O85" i="1" s="1"/>
  <c r="N53" i="1" s="1"/>
  <c r="R53" i="1" s="1"/>
  <c r="H82" i="1"/>
  <c r="O86" i="1" s="1"/>
  <c r="N54" i="1" s="1"/>
  <c r="R52" i="1" s="1"/>
  <c r="AI152" i="1"/>
  <c r="X121" i="1" s="1"/>
  <c r="AI154" i="1"/>
  <c r="X120" i="1" s="1"/>
  <c r="Y152" i="1"/>
  <c r="Y150" i="1"/>
  <c r="Y156" i="1"/>
  <c r="AI153" i="1"/>
  <c r="X123" i="1" s="1"/>
  <c r="V89" i="1"/>
  <c r="V96" i="1" s="1"/>
  <c r="Y92" i="1" s="1"/>
  <c r="AJ84" i="1" s="1"/>
  <c r="AJ85" i="1" s="1"/>
  <c r="F154" i="1"/>
  <c r="F153" i="1"/>
  <c r="N153" i="1" s="1"/>
  <c r="P155" i="1" s="1"/>
  <c r="E122" i="1" s="1"/>
  <c r="H152" i="1"/>
  <c r="O153" i="1" s="1"/>
  <c r="N121" i="1" s="1"/>
  <c r="H150" i="1"/>
  <c r="O154" i="1" s="1"/>
  <c r="N122" i="1" s="1"/>
  <c r="R51" i="1" l="1"/>
  <c r="R41" i="1"/>
  <c r="AJ89" i="1"/>
  <c r="AJ92" i="1" s="1"/>
  <c r="AJ93" i="1" s="1"/>
  <c r="AJ94" i="1" s="1"/>
  <c r="AJ82" i="1"/>
  <c r="Y154" i="1"/>
  <c r="Y153" i="1"/>
  <c r="AG153" i="1" s="1"/>
  <c r="AI155" i="1" s="1"/>
  <c r="X122" i="1" s="1"/>
  <c r="R54" i="1"/>
  <c r="R50" i="1" s="1"/>
  <c r="Q122" i="1"/>
  <c r="P120" i="1"/>
  <c r="O120" i="1"/>
  <c r="F129" i="1"/>
  <c r="F128" i="1"/>
  <c r="N128" i="1" s="1"/>
  <c r="P130" i="1" s="1"/>
  <c r="F122" i="1" s="1"/>
  <c r="Y61" i="1"/>
  <c r="Y60" i="1"/>
  <c r="AG60" i="1" s="1"/>
  <c r="AI62" i="1" s="1"/>
  <c r="Y54" i="1" s="1"/>
  <c r="AA152" i="1"/>
  <c r="AH153" i="1" s="1"/>
  <c r="AG121" i="1" s="1"/>
  <c r="AA150" i="1"/>
  <c r="AH154" i="1" s="1"/>
  <c r="AG122" i="1" s="1"/>
  <c r="H127" i="1"/>
  <c r="O128" i="1" s="1"/>
  <c r="O121" i="1" s="1"/>
  <c r="H125" i="1"/>
  <c r="O129" i="1" s="1"/>
  <c r="O122" i="1" s="1"/>
  <c r="AA59" i="1"/>
  <c r="AH60" i="1" s="1"/>
  <c r="AH53" i="1" s="1"/>
  <c r="AA57" i="1"/>
  <c r="AH61" i="1" s="1"/>
  <c r="AH54" i="1" s="1"/>
  <c r="AI127" i="1"/>
  <c r="Y121" i="1" s="1"/>
  <c r="AI129" i="1"/>
  <c r="Y120" i="1" s="1"/>
  <c r="Y127" i="1"/>
  <c r="Y125" i="1"/>
  <c r="Y131" i="1"/>
  <c r="AI128" i="1"/>
  <c r="Y123" i="1" s="1"/>
  <c r="AJ121" i="1"/>
  <c r="R49" i="1"/>
  <c r="Q49" i="1" s="1"/>
  <c r="S53" i="1"/>
  <c r="S54" i="1" s="1"/>
  <c r="Q50" i="1" l="1"/>
  <c r="Q51" i="1"/>
  <c r="Y129" i="1"/>
  <c r="Y128" i="1"/>
  <c r="AG128" i="1" s="1"/>
  <c r="AI130" i="1" s="1"/>
  <c r="Y122" i="1" s="1"/>
  <c r="R119" i="1"/>
  <c r="R121" i="1"/>
  <c r="AA127" i="1"/>
  <c r="AH128" i="1" s="1"/>
  <c r="AH121" i="1" s="1"/>
  <c r="AA125" i="1"/>
  <c r="AH129" i="1" s="1"/>
  <c r="AH122" i="1" s="1"/>
  <c r="R109" i="1"/>
  <c r="D52" i="1"/>
  <c r="C52" i="1"/>
  <c r="C55" i="1"/>
  <c r="C54" i="1"/>
  <c r="C53" i="1"/>
  <c r="AI120" i="1"/>
  <c r="AJ122" i="1"/>
  <c r="AH120" i="1"/>
  <c r="R120" i="1"/>
  <c r="R122" i="1"/>
  <c r="AI86" i="1"/>
  <c r="X52" i="1" s="1"/>
  <c r="Y88" i="1"/>
  <c r="Y82" i="1"/>
  <c r="AI85" i="1"/>
  <c r="X55" i="1" s="1"/>
  <c r="AI84" i="1"/>
  <c r="X53" i="1" s="1"/>
  <c r="Y84" i="1"/>
  <c r="AJ53" i="1"/>
  <c r="R118" i="1" l="1"/>
  <c r="AK109" i="1"/>
  <c r="Y86" i="1"/>
  <c r="Y85" i="1"/>
  <c r="AG85" i="1" s="1"/>
  <c r="AI87" i="1" s="1"/>
  <c r="X54" i="1" s="1"/>
  <c r="AI52" i="1"/>
  <c r="AJ54" i="1"/>
  <c r="AH52" i="1"/>
  <c r="AA84" i="1"/>
  <c r="AH85" i="1" s="1"/>
  <c r="AG53" i="1" s="1"/>
  <c r="AA82" i="1"/>
  <c r="AH86" i="1" s="1"/>
  <c r="AG54" i="1" s="1"/>
  <c r="R117" i="1"/>
  <c r="Q117" i="1" s="1"/>
  <c r="Q119" i="1"/>
  <c r="Q118" i="1"/>
  <c r="S121" i="1"/>
  <c r="S122" i="1" s="1"/>
  <c r="AK122" i="1"/>
  <c r="AK120" i="1"/>
  <c r="AK121" i="1"/>
  <c r="AK119" i="1"/>
  <c r="AK118" i="1" l="1"/>
  <c r="C123" i="1"/>
  <c r="D120" i="1"/>
  <c r="C120" i="1"/>
  <c r="C122" i="1"/>
  <c r="C121" i="1"/>
  <c r="AK52" i="1"/>
  <c r="AK54" i="1"/>
  <c r="AK41" i="1"/>
  <c r="AK53" i="1"/>
  <c r="AK51" i="1"/>
  <c r="AL121" i="1"/>
  <c r="AL122" i="1" s="1"/>
  <c r="AK117" i="1"/>
  <c r="AJ117" i="1" s="1"/>
  <c r="AJ119" i="1"/>
  <c r="AJ118" i="1"/>
  <c r="AK50" i="1" l="1"/>
  <c r="N40" i="1"/>
  <c r="I24" i="1" s="1"/>
  <c r="H23" i="1" s="1"/>
  <c r="I23" i="1" s="1"/>
  <c r="V120" i="1"/>
  <c r="V123" i="1"/>
  <c r="V122" i="1"/>
  <c r="V121" i="1"/>
  <c r="W120" i="1"/>
  <c r="AL53" i="1"/>
  <c r="AL54" i="1" s="1"/>
  <c r="AK49" i="1"/>
  <c r="AJ49" i="1" s="1"/>
  <c r="AJ51" i="1"/>
  <c r="AJ50" i="1"/>
  <c r="F2" i="1" l="1"/>
  <c r="V52" i="1"/>
  <c r="V54" i="1"/>
  <c r="V53" i="1"/>
  <c r="V55" i="1"/>
  <c r="W52" i="1"/>
</calcChain>
</file>

<file path=xl/sharedStrings.xml><?xml version="1.0" encoding="utf-8"?>
<sst xmlns="http://schemas.openxmlformats.org/spreadsheetml/2006/main" count="55" uniqueCount="26">
  <si>
    <t>WEEKLY</t>
  </si>
  <si>
    <t>MONTHLY</t>
  </si>
  <si>
    <t xml:space="preserve">WEEKLY </t>
  </si>
  <si>
    <t>TARGET</t>
  </si>
  <si>
    <t>DAILLY</t>
  </si>
  <si>
    <t xml:space="preserve">HIGH </t>
  </si>
  <si>
    <t>LOW</t>
  </si>
  <si>
    <t>limit</t>
  </si>
  <si>
    <t>optional</t>
  </si>
  <si>
    <t>NUMBER</t>
  </si>
  <si>
    <t/>
  </si>
  <si>
    <t>1-2Y</t>
  </si>
  <si>
    <t>`</t>
  </si>
  <si>
    <t>dailly high</t>
  </si>
  <si>
    <t>dailly low</t>
  </si>
  <si>
    <t>M&amp;W.HIGH</t>
  </si>
  <si>
    <t>M&amp;W.LOW</t>
  </si>
  <si>
    <t xml:space="preserve">SUPPORT </t>
  </si>
  <si>
    <t xml:space="preserve">RESISTANCE </t>
  </si>
  <si>
    <t>OPEN</t>
  </si>
  <si>
    <t>STATUS</t>
  </si>
  <si>
    <t>NEXT DAY</t>
  </si>
  <si>
    <t>Resistance</t>
  </si>
  <si>
    <t>support</t>
  </si>
  <si>
    <t>high</t>
  </si>
  <si>
    <t>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</si>
</sst>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0000"/>
    <numFmt numFmtId="165" formatCode="0.000"/>
    <numFmt numFmtId="166" formatCode="0.0000"/>
    <numFmt numFmtId="167" formatCode="0.000000"/>
    <numFmt numFmtId="168" formatCode="0.000000000000"/>
    <numFmt numFmtId="169" formatCode="0.0000000000000"/>
    <numFmt numFmtId="170" formatCode="0.0"/>
    <numFmt numFmtId="171" formatCode="0.0000000"/>
    <numFmt numFmtId="172" formatCode="0.00000000"/>
  </numFmts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b/>
      <i/>
      <sz val="8"/>
      <color theme="5" tint="0.3999755851924192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  <scheme val="minor"/>
    </font>
    <font>
      <i/>
      <sz val="8"/>
      <color theme="5" tint="0.39997558519241921"/>
      <name val="Calibri"/>
      <family val="2"/>
      <scheme val="minor"/>
    </font>
    <font>
      <b/>
      <sz val="8"/>
      <color theme="5" tint="0.3999755851924192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rgb="FF92D050"/>
      <name val="Calibri"/>
      <family val="2"/>
      <scheme val="minor"/>
    </font>
    <font>
      <b/>
      <i/>
      <sz val="8"/>
      <color theme="2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i/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C000"/>
      <name val="Calibri"/>
      <family val="2"/>
      <scheme val="minor"/>
    </font>
    <font>
      <sz val="8"/>
      <name val="Arial Cyr"/>
      <family val="2"/>
      <charset val="204"/>
    </font>
    <font>
      <b/>
      <i/>
      <sz val="8"/>
      <color rgb="FF00B0F0"/>
      <name val="Calibri"/>
      <family val="2"/>
      <scheme val="minor"/>
    </font>
    <font>
      <b/>
      <i/>
      <sz val="8"/>
      <color rgb="FFFFFF00"/>
      <name val="Calibri"/>
      <family val="2"/>
      <scheme val="minor"/>
    </font>
    <font>
      <b/>
      <i/>
      <sz val="8"/>
      <color rgb="FFFFC000"/>
      <name val="Calibri"/>
      <family val="2"/>
      <scheme val="minor"/>
    </font>
    <font>
      <sz val="8"/>
      <color rgb="FFFFC000"/>
      <name val="Calibri"/>
      <family val="2"/>
      <scheme val="minor"/>
    </font>
    <font>
      <b/>
      <i/>
      <sz val="8"/>
      <name val="Cambria"/>
      <family val="1"/>
      <scheme val="major"/>
    </font>
    <font>
      <sz val="11"/>
      <color rgb="FF00B05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164" fontId="2" fillId="2" borderId="0" xfId="0" applyNumberFormat="1" applyFont="1" applyFill="1"/>
    <xf numFmtId="0" fontId="3" fillId="2" borderId="0" xfId="0" applyFont="1" applyFill="1"/>
    <xf numFmtId="165" fontId="3" fillId="2" borderId="0" xfId="0" applyNumberFormat="1" applyFont="1" applyFill="1" applyBorder="1"/>
    <xf numFmtId="165" fontId="4" fillId="2" borderId="0" xfId="0" applyNumberFormat="1" applyFont="1" applyFill="1" applyBorder="1" applyAlignment="1">
      <alignment horizontal="center"/>
    </xf>
    <xf numFmtId="166" fontId="3" fillId="2" borderId="0" xfId="0" applyNumberFormat="1" applyFont="1" applyFill="1"/>
    <xf numFmtId="164" fontId="3" fillId="2" borderId="0" xfId="0" applyNumberFormat="1" applyFont="1" applyFill="1"/>
    <xf numFmtId="165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Border="1"/>
    <xf numFmtId="165" fontId="7" fillId="3" borderId="0" xfId="0" applyNumberFormat="1" applyFont="1" applyFill="1" applyBorder="1" applyAlignment="1">
      <alignment horizontal="center"/>
    </xf>
    <xf numFmtId="2" fontId="8" fillId="2" borderId="0" xfId="0" applyNumberFormat="1" applyFont="1" applyFill="1"/>
    <xf numFmtId="0" fontId="7" fillId="3" borderId="0" xfId="0" applyFont="1" applyFill="1" applyAlignment="1">
      <alignment horizontal="center"/>
    </xf>
    <xf numFmtId="167" fontId="6" fillId="2" borderId="1" xfId="0" applyNumberFormat="1" applyFont="1" applyFill="1" applyBorder="1"/>
    <xf numFmtId="2" fontId="3" fillId="2" borderId="0" xfId="0" applyNumberFormat="1" applyFont="1" applyFill="1"/>
    <xf numFmtId="0" fontId="9" fillId="2" borderId="0" xfId="0" applyFont="1" applyFill="1" applyAlignment="1">
      <alignment horizontal="center"/>
    </xf>
    <xf numFmtId="165" fontId="10" fillId="2" borderId="0" xfId="0" applyNumberFormat="1" applyFont="1" applyFill="1"/>
    <xf numFmtId="0" fontId="6" fillId="2" borderId="0" xfId="0" applyFont="1" applyFill="1"/>
    <xf numFmtId="0" fontId="7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7" fontId="6" fillId="4" borderId="1" xfId="0" applyNumberFormat="1" applyFont="1" applyFill="1" applyBorder="1"/>
    <xf numFmtId="167" fontId="6" fillId="3" borderId="2" xfId="0" applyNumberFormat="1" applyFont="1" applyFill="1" applyBorder="1"/>
    <xf numFmtId="2" fontId="6" fillId="2" borderId="0" xfId="0" applyNumberFormat="1" applyFont="1" applyFill="1"/>
    <xf numFmtId="165" fontId="7" fillId="3" borderId="0" xfId="0" applyNumberFormat="1" applyFont="1" applyFill="1" applyBorder="1" applyAlignment="1"/>
    <xf numFmtId="0" fontId="5" fillId="4" borderId="0" xfId="0" applyFont="1" applyFill="1"/>
    <xf numFmtId="0" fontId="11" fillId="3" borderId="0" xfId="0" applyFont="1" applyFill="1"/>
    <xf numFmtId="0" fontId="5" fillId="3" borderId="0" xfId="0" applyFont="1" applyFill="1"/>
    <xf numFmtId="166" fontId="5" fillId="3" borderId="0" xfId="0" applyNumberFormat="1" applyFont="1" applyFill="1"/>
    <xf numFmtId="0" fontId="12" fillId="5" borderId="0" xfId="0" applyFont="1" applyFill="1" applyAlignment="1">
      <alignment horizontal="center"/>
    </xf>
    <xf numFmtId="167" fontId="5" fillId="3" borderId="0" xfId="0" applyNumberFormat="1" applyFont="1" applyFill="1"/>
    <xf numFmtId="0" fontId="5" fillId="2" borderId="0" xfId="0" applyFont="1" applyFill="1"/>
    <xf numFmtId="167" fontId="5" fillId="4" borderId="0" xfId="0" applyNumberFormat="1" applyFont="1" applyFill="1"/>
    <xf numFmtId="165" fontId="3" fillId="2" borderId="0" xfId="0" applyNumberFormat="1" applyFont="1" applyFill="1"/>
    <xf numFmtId="0" fontId="13" fillId="6" borderId="0" xfId="0" applyFont="1" applyFill="1" applyAlignment="1">
      <alignment horizontal="center"/>
    </xf>
    <xf numFmtId="0" fontId="14" fillId="6" borderId="0" xfId="0" applyFont="1" applyFill="1"/>
    <xf numFmtId="0" fontId="7" fillId="4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168" fontId="3" fillId="2" borderId="0" xfId="0" applyNumberFormat="1" applyFont="1" applyFill="1"/>
    <xf numFmtId="0" fontId="6" fillId="4" borderId="0" xfId="0" applyFont="1" applyFill="1"/>
    <xf numFmtId="166" fontId="15" fillId="6" borderId="0" xfId="0" applyNumberFormat="1" applyFont="1" applyFill="1" applyAlignment="1">
      <alignment horizontal="center"/>
    </xf>
    <xf numFmtId="165" fontId="5" fillId="2" borderId="0" xfId="0" applyNumberFormat="1" applyFont="1" applyFill="1"/>
    <xf numFmtId="2" fontId="16" fillId="2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167" fontId="7" fillId="2" borderId="1" xfId="0" applyNumberFormat="1" applyFont="1" applyFill="1" applyBorder="1" applyAlignment="1">
      <alignment horizontal="center"/>
    </xf>
    <xf numFmtId="164" fontId="14" fillId="2" borderId="0" xfId="0" applyNumberFormat="1" applyFont="1" applyFill="1"/>
    <xf numFmtId="166" fontId="7" fillId="5" borderId="0" xfId="0" applyNumberFormat="1" applyFont="1" applyFill="1" applyBorder="1" applyAlignment="1" applyProtection="1">
      <alignment horizontal="center"/>
    </xf>
    <xf numFmtId="2" fontId="6" fillId="5" borderId="3" xfId="0" applyNumberFormat="1" applyFont="1" applyFill="1" applyBorder="1" applyProtection="1"/>
    <xf numFmtId="2" fontId="6" fillId="5" borderId="0" xfId="0" applyNumberFormat="1" applyFont="1" applyFill="1" applyBorder="1" applyProtection="1"/>
    <xf numFmtId="165" fontId="6" fillId="5" borderId="0" xfId="0" applyNumberFormat="1" applyFont="1" applyFill="1" applyBorder="1" applyProtection="1"/>
    <xf numFmtId="169" fontId="6" fillId="5" borderId="0" xfId="0" applyNumberFormat="1" applyFont="1" applyFill="1" applyBorder="1" applyProtection="1"/>
    <xf numFmtId="0" fontId="6" fillId="5" borderId="0" xfId="0" applyFont="1" applyFill="1" applyProtection="1"/>
    <xf numFmtId="2" fontId="7" fillId="5" borderId="0" xfId="0" applyNumberFormat="1" applyFont="1" applyFill="1" applyBorder="1" applyAlignment="1" applyProtection="1">
      <alignment horizontal="center"/>
    </xf>
    <xf numFmtId="1" fontId="6" fillId="5" borderId="0" xfId="0" applyNumberFormat="1" applyFont="1" applyFill="1" applyBorder="1" applyProtection="1"/>
    <xf numFmtId="164" fontId="7" fillId="5" borderId="0" xfId="0" applyNumberFormat="1" applyFont="1" applyFill="1" applyBorder="1" applyAlignment="1" applyProtection="1">
      <alignment horizontal="center"/>
    </xf>
    <xf numFmtId="166" fontId="6" fillId="5" borderId="0" xfId="0" applyNumberFormat="1" applyFont="1" applyFill="1" applyBorder="1" applyProtection="1"/>
    <xf numFmtId="170" fontId="6" fillId="5" borderId="0" xfId="0" applyNumberFormat="1" applyFont="1" applyFill="1" applyBorder="1" applyProtection="1"/>
    <xf numFmtId="2" fontId="7" fillId="5" borderId="3" xfId="0" applyNumberFormat="1" applyFont="1" applyFill="1" applyBorder="1" applyAlignment="1" applyProtection="1">
      <alignment horizontal="center"/>
    </xf>
    <xf numFmtId="2" fontId="7" fillId="5" borderId="0" xfId="0" applyNumberFormat="1" applyFont="1" applyFill="1" applyBorder="1" applyProtection="1"/>
    <xf numFmtId="164" fontId="6" fillId="5" borderId="0" xfId="0" applyNumberFormat="1" applyFont="1" applyFill="1" applyBorder="1" applyProtection="1"/>
    <xf numFmtId="0" fontId="6" fillId="5" borderId="0" xfId="0" applyFont="1" applyFill="1" applyBorder="1" applyProtection="1"/>
    <xf numFmtId="2" fontId="17" fillId="5" borderId="0" xfId="0" applyNumberFormat="1" applyFont="1" applyFill="1" applyBorder="1" applyAlignment="1" applyProtection="1">
      <alignment horizontal="center"/>
    </xf>
    <xf numFmtId="2" fontId="6" fillId="5" borderId="4" xfId="0" applyNumberFormat="1" applyFont="1" applyFill="1" applyBorder="1" applyProtection="1"/>
    <xf numFmtId="166" fontId="18" fillId="7" borderId="0" xfId="0" applyNumberFormat="1" applyFont="1" applyFill="1" applyBorder="1" applyProtection="1"/>
    <xf numFmtId="166" fontId="14" fillId="5" borderId="5" xfId="0" applyNumberFormat="1" applyFont="1" applyFill="1" applyBorder="1" applyProtection="1"/>
    <xf numFmtId="166" fontId="14" fillId="6" borderId="6" xfId="0" applyNumberFormat="1" applyFont="1" applyFill="1" applyBorder="1" applyProtection="1"/>
    <xf numFmtId="166" fontId="14" fillId="7" borderId="1" xfId="0" applyNumberFormat="1" applyFont="1" applyFill="1" applyBorder="1" applyProtection="1"/>
    <xf numFmtId="166" fontId="19" fillId="7" borderId="0" xfId="0" applyNumberFormat="1" applyFont="1" applyFill="1" applyBorder="1" applyAlignment="1" applyProtection="1">
      <alignment horizontal="center"/>
    </xf>
    <xf numFmtId="164" fontId="7" fillId="7" borderId="7" xfId="0" applyNumberFormat="1" applyFont="1" applyFill="1" applyBorder="1" applyAlignment="1" applyProtection="1">
      <alignment horizontal="center"/>
    </xf>
    <xf numFmtId="0" fontId="15" fillId="6" borderId="0" xfId="0" applyFont="1" applyFill="1" applyAlignment="1" applyProtection="1">
      <alignment horizontal="center"/>
    </xf>
    <xf numFmtId="164" fontId="20" fillId="7" borderId="0" xfId="0" applyNumberFormat="1" applyFont="1" applyFill="1" applyProtection="1"/>
    <xf numFmtId="164" fontId="7" fillId="5" borderId="7" xfId="0" applyNumberFormat="1" applyFont="1" applyFill="1" applyBorder="1" applyAlignment="1" applyProtection="1">
      <alignment horizontal="center"/>
    </xf>
    <xf numFmtId="0" fontId="7" fillId="5" borderId="0" xfId="0" applyFont="1" applyFill="1" applyAlignment="1" applyProtection="1">
      <alignment horizontal="center"/>
    </xf>
    <xf numFmtId="166" fontId="14" fillId="8" borderId="8" xfId="0" applyNumberFormat="1" applyFont="1" applyFill="1" applyBorder="1" applyProtection="1"/>
    <xf numFmtId="166" fontId="14" fillId="6" borderId="0" xfId="0" applyNumberFormat="1" applyFont="1" applyFill="1" applyBorder="1" applyProtection="1"/>
    <xf numFmtId="166" fontId="14" fillId="9" borderId="9" xfId="0" applyNumberFormat="1" applyFont="1" applyFill="1" applyBorder="1" applyProtection="1"/>
    <xf numFmtId="165" fontId="7" fillId="7" borderId="0" xfId="0" applyNumberFormat="1" applyFont="1" applyFill="1" applyBorder="1" applyAlignment="1" applyProtection="1">
      <alignment horizontal="center"/>
    </xf>
    <xf numFmtId="165" fontId="21" fillId="10" borderId="0" xfId="0" applyNumberFormat="1" applyFont="1" applyFill="1" applyAlignment="1" applyProtection="1">
      <alignment horizontal="center"/>
    </xf>
    <xf numFmtId="0" fontId="20" fillId="7" borderId="0" xfId="0" applyFont="1" applyFill="1" applyProtection="1"/>
    <xf numFmtId="165" fontId="7" fillId="5" borderId="0" xfId="0" applyNumberFormat="1" applyFont="1" applyFill="1" applyBorder="1" applyAlignment="1" applyProtection="1">
      <alignment horizontal="center"/>
    </xf>
    <xf numFmtId="165" fontId="2" fillId="5" borderId="0" xfId="0" applyNumberFormat="1" applyFont="1" applyFill="1" applyAlignment="1" applyProtection="1">
      <alignment horizontal="center"/>
    </xf>
    <xf numFmtId="166" fontId="14" fillId="6" borderId="10" xfId="0" applyNumberFormat="1" applyFont="1" applyFill="1" applyBorder="1" applyProtection="1"/>
    <xf numFmtId="166" fontId="14" fillId="6" borderId="11" xfId="0" applyNumberFormat="1" applyFont="1" applyFill="1" applyBorder="1" applyProtection="1"/>
    <xf numFmtId="166" fontId="15" fillId="6" borderId="12" xfId="0" applyNumberFormat="1" applyFont="1" applyFill="1" applyBorder="1" applyAlignment="1" applyProtection="1">
      <alignment horizontal="center"/>
    </xf>
    <xf numFmtId="165" fontId="16" fillId="6" borderId="1" xfId="0" applyNumberFormat="1" applyFont="1" applyFill="1" applyBorder="1" applyAlignment="1" applyProtection="1">
      <alignment horizontal="center"/>
    </xf>
    <xf numFmtId="165" fontId="22" fillId="10" borderId="0" xfId="0" applyNumberFormat="1" applyFont="1" applyFill="1" applyAlignment="1" applyProtection="1">
      <alignment horizontal="center"/>
    </xf>
    <xf numFmtId="166" fontId="23" fillId="0" borderId="13" xfId="0" applyNumberFormat="1" applyFont="1" applyBorder="1"/>
    <xf numFmtId="165" fontId="6" fillId="5" borderId="0" xfId="0" quotePrefix="1" applyNumberFormat="1" applyFont="1" applyFill="1" applyBorder="1" applyProtection="1"/>
    <xf numFmtId="165" fontId="19" fillId="7" borderId="0" xfId="0" applyNumberFormat="1" applyFont="1" applyFill="1" applyBorder="1" applyAlignment="1" applyProtection="1">
      <alignment horizontal="center"/>
    </xf>
    <xf numFmtId="170" fontId="18" fillId="7" borderId="0" xfId="0" applyNumberFormat="1" applyFont="1" applyFill="1" applyBorder="1" applyProtection="1"/>
    <xf numFmtId="166" fontId="16" fillId="6" borderId="0" xfId="0" applyNumberFormat="1" applyFont="1" applyFill="1" applyBorder="1" applyAlignment="1" applyProtection="1">
      <alignment horizontal="center"/>
    </xf>
    <xf numFmtId="0" fontId="7" fillId="3" borderId="0" xfId="0" applyFont="1" applyFill="1" applyProtection="1"/>
    <xf numFmtId="166" fontId="2" fillId="5" borderId="0" xfId="0" applyNumberFormat="1" applyFont="1" applyFill="1" applyBorder="1" applyAlignment="1" applyProtection="1">
      <alignment horizontal="center"/>
    </xf>
    <xf numFmtId="165" fontId="19" fillId="5" borderId="14" xfId="0" applyNumberFormat="1" applyFont="1" applyFill="1" applyBorder="1" applyAlignment="1" applyProtection="1">
      <alignment horizontal="center"/>
    </xf>
    <xf numFmtId="166" fontId="19" fillId="5" borderId="15" xfId="0" applyNumberFormat="1" applyFont="1" applyFill="1" applyBorder="1" applyAlignment="1" applyProtection="1">
      <alignment horizontal="center"/>
    </xf>
    <xf numFmtId="166" fontId="13" fillId="11" borderId="16" xfId="0" applyNumberFormat="1" applyFont="1" applyFill="1" applyBorder="1" applyAlignment="1" applyProtection="1">
      <alignment horizontal="center"/>
    </xf>
    <xf numFmtId="165" fontId="18" fillId="7" borderId="0" xfId="0" applyNumberFormat="1" applyFont="1" applyFill="1" applyBorder="1" applyProtection="1"/>
    <xf numFmtId="166" fontId="15" fillId="6" borderId="0" xfId="0" applyNumberFormat="1" applyFont="1" applyFill="1" applyBorder="1" applyAlignment="1" applyProtection="1">
      <alignment horizontal="center"/>
    </xf>
    <xf numFmtId="0" fontId="24" fillId="6" borderId="0" xfId="0" applyFont="1" applyFill="1" applyProtection="1"/>
    <xf numFmtId="165" fontId="7" fillId="5" borderId="14" xfId="0" applyNumberFormat="1" applyFont="1" applyFill="1" applyBorder="1" applyAlignment="1" applyProtection="1">
      <alignment horizontal="center"/>
    </xf>
    <xf numFmtId="166" fontId="7" fillId="5" borderId="15" xfId="0" applyNumberFormat="1" applyFont="1" applyFill="1" applyBorder="1" applyAlignment="1" applyProtection="1">
      <alignment horizontal="center"/>
    </xf>
    <xf numFmtId="166" fontId="7" fillId="5" borderId="16" xfId="0" applyNumberFormat="1" applyFont="1" applyFill="1" applyBorder="1" applyAlignment="1" applyProtection="1">
      <alignment horizontal="center"/>
    </xf>
    <xf numFmtId="165" fontId="25" fillId="5" borderId="0" xfId="0" applyNumberFormat="1" applyFont="1" applyFill="1" applyBorder="1" applyAlignment="1" applyProtection="1">
      <alignment horizontal="center"/>
    </xf>
    <xf numFmtId="165" fontId="13" fillId="12" borderId="0" xfId="0" applyNumberFormat="1" applyFont="1" applyFill="1" applyBorder="1" applyAlignment="1" applyProtection="1">
      <alignment horizontal="center"/>
    </xf>
    <xf numFmtId="165" fontId="13" fillId="11" borderId="17" xfId="0" applyNumberFormat="1" applyFont="1" applyFill="1" applyBorder="1" applyAlignment="1" applyProtection="1">
      <alignment horizontal="center"/>
    </xf>
    <xf numFmtId="166" fontId="19" fillId="5" borderId="13" xfId="0" applyNumberFormat="1" applyFont="1" applyFill="1" applyBorder="1" applyAlignment="1" applyProtection="1">
      <alignment horizontal="center"/>
    </xf>
    <xf numFmtId="166" fontId="19" fillId="5" borderId="18" xfId="0" applyNumberFormat="1" applyFont="1" applyFill="1" applyBorder="1" applyAlignment="1" applyProtection="1">
      <alignment horizontal="center"/>
    </xf>
    <xf numFmtId="166" fontId="23" fillId="0" borderId="13" xfId="0" applyNumberFormat="1" applyFont="1" applyFill="1" applyBorder="1"/>
    <xf numFmtId="165" fontId="7" fillId="5" borderId="17" xfId="0" applyNumberFormat="1" applyFont="1" applyFill="1" applyBorder="1" applyAlignment="1" applyProtection="1">
      <alignment horizontal="center"/>
    </xf>
    <xf numFmtId="166" fontId="7" fillId="5" borderId="13" xfId="0" applyNumberFormat="1" applyFont="1" applyFill="1" applyBorder="1" applyAlignment="1" applyProtection="1">
      <alignment horizontal="center"/>
    </xf>
    <xf numFmtId="166" fontId="7" fillId="5" borderId="18" xfId="0" applyNumberFormat="1" applyFont="1" applyFill="1" applyBorder="1" applyAlignment="1" applyProtection="1">
      <alignment horizontal="center"/>
    </xf>
    <xf numFmtId="165" fontId="13" fillId="6" borderId="17" xfId="0" applyNumberFormat="1" applyFont="1" applyFill="1" applyBorder="1" applyAlignment="1" applyProtection="1">
      <alignment horizontal="center"/>
    </xf>
    <xf numFmtId="166" fontId="13" fillId="3" borderId="18" xfId="0" applyNumberFormat="1" applyFont="1" applyFill="1" applyBorder="1" applyAlignment="1" applyProtection="1">
      <alignment horizontal="center"/>
    </xf>
    <xf numFmtId="0" fontId="16" fillId="6" borderId="0" xfId="0" applyFont="1" applyFill="1" applyProtection="1"/>
    <xf numFmtId="165" fontId="15" fillId="6" borderId="0" xfId="0" applyNumberFormat="1" applyFont="1" applyFill="1" applyBorder="1" applyAlignment="1" applyProtection="1">
      <alignment horizontal="center"/>
    </xf>
    <xf numFmtId="165" fontId="26" fillId="12" borderId="0" xfId="0" applyNumberFormat="1" applyFont="1" applyFill="1" applyBorder="1" applyProtection="1"/>
    <xf numFmtId="165" fontId="19" fillId="5" borderId="17" xfId="0" applyNumberFormat="1" applyFont="1" applyFill="1" applyBorder="1" applyAlignment="1" applyProtection="1">
      <alignment horizontal="center"/>
    </xf>
    <xf numFmtId="166" fontId="15" fillId="6" borderId="13" xfId="0" applyNumberFormat="1" applyFont="1" applyFill="1" applyBorder="1" applyAlignment="1" applyProtection="1">
      <alignment horizontal="center"/>
    </xf>
    <xf numFmtId="165" fontId="7" fillId="5" borderId="0" xfId="0" applyNumberFormat="1" applyFont="1" applyFill="1" applyBorder="1" applyProtection="1"/>
    <xf numFmtId="165" fontId="27" fillId="12" borderId="0" xfId="0" applyNumberFormat="1" applyFont="1" applyFill="1" applyBorder="1" applyProtection="1"/>
    <xf numFmtId="165" fontId="13" fillId="6" borderId="19" xfId="0" applyNumberFormat="1" applyFont="1" applyFill="1" applyBorder="1" applyAlignment="1" applyProtection="1">
      <alignment horizontal="center"/>
    </xf>
    <xf numFmtId="166" fontId="26" fillId="12" borderId="18" xfId="0" applyNumberFormat="1" applyFont="1" applyFill="1" applyBorder="1" applyAlignment="1" applyProtection="1">
      <alignment horizontal="center"/>
    </xf>
    <xf numFmtId="165" fontId="7" fillId="5" borderId="19" xfId="0" applyNumberFormat="1" applyFont="1" applyFill="1" applyBorder="1" applyAlignment="1" applyProtection="1">
      <alignment horizontal="center"/>
    </xf>
    <xf numFmtId="165" fontId="14" fillId="6" borderId="0" xfId="0" applyNumberFormat="1" applyFont="1" applyFill="1" applyBorder="1" applyProtection="1"/>
    <xf numFmtId="166" fontId="19" fillId="5" borderId="17" xfId="0" applyNumberFormat="1" applyFont="1" applyFill="1" applyBorder="1" applyAlignment="1" applyProtection="1">
      <alignment horizontal="center"/>
    </xf>
    <xf numFmtId="167" fontId="6" fillId="5" borderId="0" xfId="0" applyNumberFormat="1" applyFont="1" applyFill="1" applyBorder="1" applyProtection="1"/>
    <xf numFmtId="166" fontId="7" fillId="5" borderId="0" xfId="0" applyNumberFormat="1" applyFont="1" applyFill="1" applyAlignment="1" applyProtection="1">
      <alignment horizontal="center"/>
    </xf>
    <xf numFmtId="166" fontId="7" fillId="5" borderId="17" xfId="0" applyNumberFormat="1" applyFont="1" applyFill="1" applyBorder="1" applyAlignment="1" applyProtection="1">
      <alignment horizontal="center"/>
    </xf>
    <xf numFmtId="166" fontId="19" fillId="5" borderId="19" xfId="0" applyNumberFormat="1" applyFont="1" applyFill="1" applyBorder="1" applyAlignment="1" applyProtection="1">
      <alignment horizontal="center"/>
    </xf>
    <xf numFmtId="165" fontId="19" fillId="5" borderId="20" xfId="0" applyNumberFormat="1" applyFont="1" applyFill="1" applyBorder="1" applyAlignment="1" applyProtection="1">
      <alignment horizontal="center"/>
    </xf>
    <xf numFmtId="166" fontId="7" fillId="5" borderId="19" xfId="0" applyNumberFormat="1" applyFont="1" applyFill="1" applyBorder="1" applyAlignment="1" applyProtection="1">
      <alignment horizontal="center"/>
    </xf>
    <xf numFmtId="165" fontId="7" fillId="5" borderId="20" xfId="0" applyNumberFormat="1" applyFont="1" applyFill="1" applyBorder="1" applyAlignment="1" applyProtection="1">
      <alignment horizontal="center"/>
    </xf>
    <xf numFmtId="0" fontId="7" fillId="5" borderId="0" xfId="0" applyFont="1" applyFill="1" applyBorder="1" applyAlignment="1" applyProtection="1">
      <alignment horizontal="center"/>
    </xf>
    <xf numFmtId="166" fontId="7" fillId="5" borderId="0" xfId="0" applyNumberFormat="1" applyFont="1" applyFill="1" applyBorder="1" applyAlignment="1" applyProtection="1"/>
    <xf numFmtId="0" fontId="7" fillId="5" borderId="0" xfId="0" applyFont="1" applyFill="1" applyBorder="1" applyAlignment="1" applyProtection="1"/>
    <xf numFmtId="166" fontId="6" fillId="5" borderId="0" xfId="0" applyNumberFormat="1" applyFont="1" applyFill="1" applyProtection="1"/>
    <xf numFmtId="171" fontId="6" fillId="5" borderId="0" xfId="0" applyNumberFormat="1" applyFont="1" applyFill="1" applyBorder="1" applyProtection="1"/>
    <xf numFmtId="170" fontId="2" fillId="5" borderId="0" xfId="0" applyNumberFormat="1" applyFont="1" applyFill="1" applyBorder="1" applyAlignment="1" applyProtection="1">
      <alignment horizontal="center"/>
    </xf>
    <xf numFmtId="171" fontId="6" fillId="5" borderId="0" xfId="0" applyNumberFormat="1" applyFont="1" applyFill="1" applyProtection="1"/>
    <xf numFmtId="170" fontId="7" fillId="5" borderId="0" xfId="0" applyNumberFormat="1" applyFont="1" applyFill="1" applyBorder="1" applyAlignment="1" applyProtection="1">
      <alignment horizontal="center"/>
    </xf>
    <xf numFmtId="166" fontId="7" fillId="5" borderId="0" xfId="0" applyNumberFormat="1" applyFont="1" applyFill="1" applyBorder="1" applyProtection="1"/>
    <xf numFmtId="0" fontId="7" fillId="5" borderId="0" xfId="0" applyFont="1" applyFill="1" applyBorder="1" applyProtection="1"/>
    <xf numFmtId="0" fontId="28" fillId="5" borderId="0" xfId="0" applyFont="1" applyFill="1" applyBorder="1" applyAlignment="1" applyProtection="1">
      <alignment horizontal="center"/>
    </xf>
    <xf numFmtId="0" fontId="29" fillId="13" borderId="0" xfId="0" applyFont="1" applyFill="1"/>
    <xf numFmtId="167" fontId="29" fillId="13" borderId="0" xfId="0" applyNumberFormat="1" applyFont="1" applyFill="1"/>
    <xf numFmtId="0" fontId="1" fillId="13" borderId="0" xfId="0" applyFont="1" applyFill="1"/>
    <xf numFmtId="167" fontId="1" fillId="13" borderId="0" xfId="0" applyNumberFormat="1" applyFont="1" applyFill="1"/>
    <xf numFmtId="0" fontId="0" fillId="13" borderId="0" xfId="0" applyFill="1"/>
    <xf numFmtId="167" fontId="0" fillId="13" borderId="0" xfId="0" applyNumberFormat="1" applyFill="1"/>
    <xf numFmtId="165" fontId="0" fillId="13" borderId="0" xfId="0" applyNumberFormat="1" applyFill="1"/>
    <xf numFmtId="164" fontId="0" fillId="13" borderId="0" xfId="0" applyNumberFormat="1" applyFill="1"/>
    <xf numFmtId="0" fontId="0" fillId="13" borderId="13" xfId="0" applyFill="1" applyBorder="1"/>
    <xf numFmtId="0" fontId="31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2" fontId="30" fillId="13" borderId="0" xfId="0" applyNumberFormat="1" applyFont="1" applyFill="1" applyAlignment="1">
      <alignment horizontal="center"/>
    </xf>
    <xf numFmtId="0" fontId="1" fillId="6" borderId="0" xfId="0" applyFont="1" applyFill="1"/>
    <xf numFmtId="166" fontId="33" fillId="5" borderId="0" xfId="0" applyNumberFormat="1" applyFont="1" applyFill="1" applyAlignment="1">
      <alignment horizontal="center"/>
    </xf>
    <xf numFmtId="172" fontId="33" fillId="5" borderId="0" xfId="0" applyNumberFormat="1" applyFont="1" applyFill="1" applyAlignment="1">
      <alignment horizontal="center"/>
    </xf>
    <xf numFmtId="0" fontId="32" fillId="5" borderId="0" xfId="0" applyFont="1" applyFill="1"/>
    <xf numFmtId="0" fontId="34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"/>
  <sheetViews>
    <sheetView tabSelected="1" workbookViewId="0">
      <selection activeCell="J11" sqref="J11"/>
    </sheetView>
  </sheetViews>
  <sheetFormatPr defaultRowHeight="15" x14ac:dyDescent="0.25"/>
  <cols>
    <col min="1" max="2" width="10.5703125" bestFit="1" customWidth="1"/>
    <col min="3" max="3" width="13.140625" bestFit="1" customWidth="1"/>
    <col min="4" max="4" width="24.140625" bestFit="1" customWidth="1"/>
    <col min="5" max="5" width="12.140625" bestFit="1" customWidth="1"/>
    <col min="6" max="6" width="16.7109375" bestFit="1" customWidth="1"/>
    <col min="7" max="9" width="9.28515625" bestFit="1" customWidth="1"/>
    <col min="10" max="10" width="13.5703125" bestFit="1" customWidth="1"/>
    <col min="11" max="16" width="9.28515625" bestFit="1" customWidth="1"/>
    <col min="17" max="17" width="11.28515625" bestFit="1" customWidth="1"/>
    <col min="18" max="18" width="15.28515625" bestFit="1" customWidth="1"/>
    <col min="19" max="19" width="10" bestFit="1" customWidth="1"/>
    <col min="20" max="21" width="9.28515625" bestFit="1" customWidth="1"/>
    <col min="22" max="22" width="13.140625" bestFit="1" customWidth="1"/>
    <col min="23" max="23" width="24.140625" bestFit="1" customWidth="1"/>
    <col min="24" max="24" width="9.28515625" bestFit="1" customWidth="1"/>
    <col min="25" max="25" width="9.7109375" bestFit="1" customWidth="1"/>
    <col min="26" max="35" width="9.28515625" bestFit="1" customWidth="1"/>
    <col min="36" max="36" width="11.28515625" bestFit="1" customWidth="1"/>
    <col min="37" max="37" width="15.28515625" bestFit="1" customWidth="1"/>
    <col min="38" max="38" width="10" bestFit="1" customWidth="1"/>
  </cols>
  <sheetData>
    <row r="1" spans="1:38" x14ac:dyDescent="0.25">
      <c r="A1" s="142" t="s">
        <v>15</v>
      </c>
      <c r="B1" s="144" t="s">
        <v>16</v>
      </c>
      <c r="C1" s="146" t="s">
        <v>17</v>
      </c>
      <c r="D1" s="146" t="s">
        <v>18</v>
      </c>
      <c r="E1" s="150" t="s">
        <v>19</v>
      </c>
      <c r="F1" s="150" t="s">
        <v>20</v>
      </c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</row>
    <row r="2" spans="1:38" ht="15.75" x14ac:dyDescent="0.25">
      <c r="A2" s="143">
        <f>B21</f>
        <v>138.23936154862795</v>
      </c>
      <c r="B2" s="145">
        <f>B22</f>
        <v>130.30610669515531</v>
      </c>
      <c r="C2" s="148">
        <f>H17</f>
        <v>134.27273412189163</v>
      </c>
      <c r="D2" s="146">
        <f>G17</f>
        <v>130.18144515837767</v>
      </c>
      <c r="E2" s="150">
        <v>1.2928999999999999</v>
      </c>
      <c r="F2" s="152" t="str">
        <f>I23</f>
        <v>long</v>
      </c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</row>
    <row r="3" spans="1:38" ht="18.75" x14ac:dyDescent="0.3">
      <c r="A3" s="143">
        <f>C21</f>
        <v>138.23936154862795</v>
      </c>
      <c r="B3" s="145">
        <f>C22</f>
        <v>130.30610669515531</v>
      </c>
      <c r="C3" s="148">
        <f>H12</f>
        <v>134.27273412189163</v>
      </c>
      <c r="D3" s="146">
        <f>G12</f>
        <v>130.18144515837767</v>
      </c>
      <c r="E3" s="151" t="str">
        <f>IF(J24&gt;H26,"LONG","SHORT")</f>
        <v>LONG</v>
      </c>
      <c r="F3" s="152" t="str">
        <f>K23</f>
        <v>long</v>
      </c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</row>
    <row r="4" spans="1:38" ht="15.75" x14ac:dyDescent="0.25">
      <c r="A4" s="142" t="s">
        <v>13</v>
      </c>
      <c r="B4" s="144" t="s">
        <v>14</v>
      </c>
      <c r="C4" s="148">
        <f>H26</f>
        <v>134.27273412189163</v>
      </c>
      <c r="D4" s="146">
        <f>G26</f>
        <v>130.18144515837767</v>
      </c>
      <c r="E4" s="146" t="s">
        <v>21</v>
      </c>
      <c r="F4" s="153" t="str">
        <f>M30</f>
        <v>short</v>
      </c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</row>
    <row r="5" spans="1:38" x14ac:dyDescent="0.25">
      <c r="A5" s="142">
        <f>D23</f>
        <v>136.3183786036486</v>
      </c>
      <c r="B5" s="144">
        <f>E24</f>
        <v>134.27273412189163</v>
      </c>
      <c r="C5" s="147">
        <f>D21</f>
        <v>138.23936154862795</v>
      </c>
      <c r="D5" s="146">
        <f>D23</f>
        <v>136.3183786036486</v>
      </c>
      <c r="E5" s="144" t="s">
        <v>6</v>
      </c>
      <c r="F5" s="144" t="s">
        <v>5</v>
      </c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</row>
    <row r="6" spans="1:38" x14ac:dyDescent="0.25">
      <c r="A6" s="143">
        <f>D21</f>
        <v>138.23936154862795</v>
      </c>
      <c r="B6" s="145">
        <f>D22</f>
        <v>130.30610669515531</v>
      </c>
      <c r="C6" s="147">
        <f>D22</f>
        <v>130.30610669515531</v>
      </c>
      <c r="D6" s="146">
        <f>D24</f>
        <v>134.13988897034938</v>
      </c>
      <c r="E6" s="144">
        <f>(A5+B5)/2</f>
        <v>135.29555636277013</v>
      </c>
      <c r="F6" s="144">
        <f>(A6+C3+B5)/3</f>
        <v>135.59494326413707</v>
      </c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</row>
    <row r="7" spans="1:38" x14ac:dyDescent="0.25">
      <c r="A7" s="147">
        <f>J19</f>
        <v>142.45531204891955</v>
      </c>
      <c r="B7" s="147">
        <f>K19</f>
        <v>136.31837860364863</v>
      </c>
      <c r="C7" s="146">
        <f>E24</f>
        <v>134.27273412189163</v>
      </c>
      <c r="D7" s="149">
        <f>M31</f>
        <v>91.745593577105211</v>
      </c>
      <c r="E7" s="154">
        <f>(A6+A5)/2</f>
        <v>137.27887007613828</v>
      </c>
      <c r="F7" s="154" t="s">
        <v>22</v>
      </c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</row>
    <row r="8" spans="1:38" x14ac:dyDescent="0.25">
      <c r="A8" s="147">
        <f>J14</f>
        <v>142.45531204891955</v>
      </c>
      <c r="B8" s="147">
        <f>K14</f>
        <v>136.31837860364863</v>
      </c>
      <c r="C8" s="148">
        <f>H30</f>
        <v>106.7727094197065</v>
      </c>
      <c r="D8" s="146">
        <f>G30</f>
        <v>75.654336839714645</v>
      </c>
      <c r="E8" s="154">
        <f>(E6+C7)/2</f>
        <v>134.78414524233088</v>
      </c>
      <c r="F8" s="154" t="s">
        <v>23</v>
      </c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</row>
    <row r="9" spans="1:38" x14ac:dyDescent="0.25">
      <c r="A9" s="146">
        <f>H14</f>
        <v>139.38684532628409</v>
      </c>
      <c r="B9" s="146">
        <f>G14</f>
        <v>138.53449345888532</v>
      </c>
      <c r="C9" s="147">
        <f>J32</f>
        <v>169.00945457969021</v>
      </c>
      <c r="D9" s="147">
        <f>K32</f>
        <v>121.45014118812141</v>
      </c>
      <c r="E9" s="155">
        <f>(J28+C5)/2</f>
        <v>140.34733679877377</v>
      </c>
      <c r="F9" s="156">
        <f>(K28+D4)/2</f>
        <v>133.24991188101313</v>
      </c>
      <c r="G9" s="157"/>
      <c r="H9" s="157"/>
      <c r="I9" s="157"/>
      <c r="J9" s="157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</row>
    <row r="10" spans="1:38" ht="18.75" x14ac:dyDescent="0.3">
      <c r="A10" s="146">
        <f>H19</f>
        <v>139.38684532628409</v>
      </c>
      <c r="B10" s="146">
        <f>G19</f>
        <v>138.53449345888532</v>
      </c>
      <c r="C10" s="147">
        <f>J28</f>
        <v>142.45531204891955</v>
      </c>
      <c r="D10" s="147">
        <f>K28</f>
        <v>136.31837860364863</v>
      </c>
      <c r="E10" s="158" t="s">
        <v>24</v>
      </c>
      <c r="F10" s="158" t="s">
        <v>25</v>
      </c>
      <c r="G10" s="158" t="str">
        <f>IF(J20=1,"long","short")</f>
        <v>long</v>
      </c>
      <c r="H10" s="157">
        <v>139180</v>
      </c>
      <c r="I10" s="157">
        <v>135848</v>
      </c>
      <c r="J10" s="157">
        <v>137699</v>
      </c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</row>
    <row r="11" spans="1:38" x14ac:dyDescent="0.25">
      <c r="A11" s="1">
        <f>A13*D13</f>
        <v>139.18</v>
      </c>
      <c r="B11" s="1">
        <f>B13*D13</f>
        <v>135.84800000000001</v>
      </c>
      <c r="C11" s="1">
        <f>C13*D13</f>
        <v>137.69900000000001</v>
      </c>
      <c r="D11" s="2">
        <f>((A11+B11)/2)+((B11+C11)/2)</f>
        <v>274.28750000000002</v>
      </c>
      <c r="E11" s="2">
        <f>(A11-B11)^2</f>
        <v>11.102223999999957</v>
      </c>
      <c r="F11" s="2">
        <f>(C11-B11)^2</f>
        <v>3.4262009999999967</v>
      </c>
      <c r="G11" s="3">
        <f>J12</f>
        <v>259.75907500000005</v>
      </c>
      <c r="H11" s="4">
        <f>(G11/2)</f>
        <v>129.87953750000003</v>
      </c>
      <c r="I11" s="2">
        <f>(A11/B11)</f>
        <v>1.0245274129909898</v>
      </c>
      <c r="J11" s="2">
        <f>(C11/B11)</f>
        <v>1.0136255226429538</v>
      </c>
      <c r="K11" s="2">
        <f>I11^0.5</f>
        <v>1.0121894155695315</v>
      </c>
      <c r="L11" s="2">
        <f>J11^0.5</f>
        <v>1.0067897112321689</v>
      </c>
      <c r="M11" s="2">
        <f>INT(K11)-E12</f>
        <v>0</v>
      </c>
      <c r="N11" s="2">
        <f>INT(L11)-E12</f>
        <v>0</v>
      </c>
      <c r="O11" s="2">
        <f>(M11+45/360)^2</f>
        <v>1.5625E-2</v>
      </c>
      <c r="P11" s="2">
        <f>(N11+45/360)^2</f>
        <v>1.5625E-2</v>
      </c>
      <c r="Q11" s="2">
        <f>(O11+P11)/3</f>
        <v>1.0416666666666666E-2</v>
      </c>
      <c r="R11" s="2">
        <f>(Q11*4)</f>
        <v>4.1666666666666664E-2</v>
      </c>
      <c r="S11" s="2">
        <f>R11/3</f>
        <v>1.3888888888888888E-2</v>
      </c>
      <c r="T11" s="5">
        <f>(G12+H11)/2</f>
        <v>130.03049132918886</v>
      </c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</row>
    <row r="12" spans="1:38" ht="15.75" thickBot="1" x14ac:dyDescent="0.3">
      <c r="A12" s="6">
        <f>(H11+C11)/2</f>
        <v>133.78926875000002</v>
      </c>
      <c r="B12" s="2">
        <f>Q11/3</f>
        <v>3.472222222222222E-3</v>
      </c>
      <c r="C12" s="2">
        <f>B12/2</f>
        <v>1.736111111111111E-3</v>
      </c>
      <c r="D12" s="7">
        <f>C12/2</f>
        <v>8.6805555555555551E-4</v>
      </c>
      <c r="E12" s="8">
        <v>1</v>
      </c>
      <c r="F12" s="2">
        <f>(F11+E11)^0.5</f>
        <v>3.8116171108861332</v>
      </c>
      <c r="G12" s="9">
        <f>(H11)*((F12-C12-D12)^(B12-C12))</f>
        <v>130.18144515837767</v>
      </c>
      <c r="H12" s="10">
        <f>(C11+A11+G12+T11)/4</f>
        <v>134.27273412189163</v>
      </c>
      <c r="I12" s="2">
        <f>E11-F11-D11</f>
        <v>-266.61147700000004</v>
      </c>
      <c r="J12" s="2">
        <f>D11-E11-F11</f>
        <v>259.75907500000005</v>
      </c>
      <c r="K12" s="2">
        <f>F11+E11-D11</f>
        <v>-259.75907500000005</v>
      </c>
      <c r="L12" s="2">
        <f>F11+D11-E11</f>
        <v>266.61147700000004</v>
      </c>
      <c r="M12" s="11"/>
      <c r="N12" s="2"/>
      <c r="O12" s="2"/>
      <c r="P12" s="2"/>
      <c r="Q12" s="2"/>
      <c r="R12" s="2"/>
      <c r="S12" s="2"/>
      <c r="T12" s="2">
        <f>(H11+T11)/2</f>
        <v>129.95501441459444</v>
      </c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</row>
    <row r="13" spans="1:38" ht="15.75" thickBot="1" x14ac:dyDescent="0.3">
      <c r="A13" s="12">
        <f>H10</f>
        <v>139180</v>
      </c>
      <c r="B13" s="12">
        <f>I10</f>
        <v>135848</v>
      </c>
      <c r="C13" s="12">
        <f>J10</f>
        <v>137699</v>
      </c>
      <c r="D13" s="13">
        <v>1E-3</v>
      </c>
      <c r="E13" s="14">
        <f>ABS(H12-G12)</f>
        <v>4.0912889635139607</v>
      </c>
      <c r="F13" s="2">
        <f>ABS(G12-H11)</f>
        <v>0.30190765837764388</v>
      </c>
      <c r="G13" s="2">
        <f>ABS(A12-G12)</f>
        <v>3.6078235916223491</v>
      </c>
      <c r="H13" s="2">
        <f>ABS(G13-E13)</f>
        <v>0.48346537189161154</v>
      </c>
      <c r="I13" s="15">
        <f>IF(H13&gt;F13,H12,F14)</f>
        <v>134.27273412189163</v>
      </c>
      <c r="J13" s="5">
        <f>(H12+H13)</f>
        <v>134.75619949378324</v>
      </c>
      <c r="K13" s="6">
        <f>(H11+H12+G12+H13*3)/3</f>
        <v>131.9280376319814</v>
      </c>
      <c r="L13" s="2"/>
      <c r="M13" s="2"/>
      <c r="N13" s="2"/>
      <c r="O13" s="2"/>
      <c r="P13" s="2"/>
      <c r="Q13" s="2"/>
      <c r="R13" s="2"/>
      <c r="S13" s="2"/>
      <c r="T13" s="2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</row>
    <row r="14" spans="1:38" ht="15.75" thickBot="1" x14ac:dyDescent="0.3">
      <c r="A14" s="2">
        <f>(C11+J13+K13)/3</f>
        <v>134.79441237525489</v>
      </c>
      <c r="B14" s="16" t="s">
        <v>0</v>
      </c>
      <c r="C14" s="2" t="e">
        <f>((B14*D14+E14/360)^2+B14^2)/2</f>
        <v>#VALUE!</v>
      </c>
      <c r="D14" s="2">
        <v>0.1</v>
      </c>
      <c r="E14" s="2">
        <f>H13*10000</f>
        <v>4834.6537189161154</v>
      </c>
      <c r="F14" s="2" t="e">
        <f>(A14+(C14/100))</f>
        <v>#VALUE!</v>
      </c>
      <c r="G14" s="17">
        <f>(H14+H12+G12+J14*3)/6</f>
        <v>138.53449345888532</v>
      </c>
      <c r="H14" s="18">
        <f>(J14+K14)/2</f>
        <v>139.38684532628409</v>
      </c>
      <c r="I14" s="19" t="str">
        <f>IF(H13&gt;F13,"y","x")</f>
        <v>y</v>
      </c>
      <c r="J14" s="20">
        <f>H12+(((H12-G12)*2))</f>
        <v>142.45531204891955</v>
      </c>
      <c r="K14" s="21">
        <f>(((((((G12-(I13-H12))+G12))/2)))+J14)/2</f>
        <v>136.31837860364863</v>
      </c>
      <c r="L14" s="22">
        <f>IF(J14&gt;((C11+B11+A11)/3),0,1)</f>
        <v>0</v>
      </c>
      <c r="M14" s="14"/>
      <c r="N14" s="2"/>
      <c r="O14" s="2"/>
      <c r="P14" s="2"/>
      <c r="Q14" s="2"/>
      <c r="R14" s="2"/>
      <c r="S14" s="2"/>
      <c r="T14" s="2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</row>
    <row r="15" spans="1:38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</row>
    <row r="16" spans="1:38" x14ac:dyDescent="0.25">
      <c r="A16" s="1">
        <f>A18*D18</f>
        <v>139.18</v>
      </c>
      <c r="B16" s="1">
        <f>B18*D18</f>
        <v>135.84800000000001</v>
      </c>
      <c r="C16" s="1">
        <f>C18*D18</f>
        <v>137.69900000000001</v>
      </c>
      <c r="D16" s="2">
        <f>((A16+B16)/2)+((B16+C16)/2)</f>
        <v>274.28750000000002</v>
      </c>
      <c r="E16" s="2">
        <f>(A16-B16)^2</f>
        <v>11.102223999999957</v>
      </c>
      <c r="F16" s="2">
        <f>(C16-B16)^2</f>
        <v>3.4262009999999967</v>
      </c>
      <c r="G16" s="3">
        <f>J17</f>
        <v>259.75907500000005</v>
      </c>
      <c r="H16" s="4">
        <f>(G16/2)</f>
        <v>129.87953750000003</v>
      </c>
      <c r="I16" s="2">
        <f>(A16/B16)</f>
        <v>1.0245274129909898</v>
      </c>
      <c r="J16" s="2">
        <f>(C16/B16)</f>
        <v>1.0136255226429538</v>
      </c>
      <c r="K16" s="2">
        <f>I16^0.5</f>
        <v>1.0121894155695315</v>
      </c>
      <c r="L16" s="2">
        <f>J16^0.5</f>
        <v>1.0067897112321689</v>
      </c>
      <c r="M16" s="2">
        <f>INT(K16)-E17</f>
        <v>0</v>
      </c>
      <c r="N16" s="2">
        <f>INT(L16)-E17</f>
        <v>0</v>
      </c>
      <c r="O16" s="2">
        <f>(M16+45/360)^2</f>
        <v>1.5625E-2</v>
      </c>
      <c r="P16" s="2">
        <f>(N16+45/360)^2</f>
        <v>1.5625E-2</v>
      </c>
      <c r="Q16" s="2">
        <f>(O16+P16)/3</f>
        <v>1.0416666666666666E-2</v>
      </c>
      <c r="R16" s="2">
        <f>(Q16*4)</f>
        <v>4.1666666666666664E-2</v>
      </c>
      <c r="S16" s="2">
        <f>R16/3</f>
        <v>1.3888888888888888E-2</v>
      </c>
      <c r="T16" s="5">
        <f>(G17+H16)/2</f>
        <v>130.03049132918886</v>
      </c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</row>
    <row r="17" spans="1:38" ht="15.75" thickBot="1" x14ac:dyDescent="0.3">
      <c r="A17" s="6">
        <f>(H16+C16)/2</f>
        <v>133.78926875000002</v>
      </c>
      <c r="B17" s="2">
        <f>Q16/3</f>
        <v>3.472222222222222E-3</v>
      </c>
      <c r="C17" s="2">
        <f>B17/2</f>
        <v>1.736111111111111E-3</v>
      </c>
      <c r="D17" s="7">
        <f>C17/2</f>
        <v>8.6805555555555551E-4</v>
      </c>
      <c r="E17" s="8">
        <v>1</v>
      </c>
      <c r="F17" s="2">
        <f>(F16+E16)^0.5</f>
        <v>3.8116171108861332</v>
      </c>
      <c r="G17" s="9">
        <f>(H16)*((F17-C17-D17)^(B17-C17))</f>
        <v>130.18144515837767</v>
      </c>
      <c r="H17" s="23">
        <f>(C16+A16+G17+T16)/4</f>
        <v>134.27273412189163</v>
      </c>
      <c r="I17" s="2">
        <f>E16-F16-D16</f>
        <v>-266.61147700000004</v>
      </c>
      <c r="J17" s="2">
        <f>D16-E16-F16</f>
        <v>259.75907500000005</v>
      </c>
      <c r="K17" s="2">
        <f>F16+E16-D16</f>
        <v>-259.75907500000005</v>
      </c>
      <c r="L17" s="2">
        <f>F16+D16-E16</f>
        <v>266.61147700000004</v>
      </c>
      <c r="M17" s="11"/>
      <c r="N17" s="2"/>
      <c r="O17" s="2"/>
      <c r="P17" s="2"/>
      <c r="Q17" s="2"/>
      <c r="R17" s="2"/>
      <c r="S17" s="2"/>
      <c r="T17" s="2">
        <f>(H16+T16)/2</f>
        <v>129.95501441459444</v>
      </c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</row>
    <row r="18" spans="1:38" ht="15.75" thickBot="1" x14ac:dyDescent="0.3">
      <c r="A18" s="12">
        <f>H10</f>
        <v>139180</v>
      </c>
      <c r="B18" s="12">
        <f>I10</f>
        <v>135848</v>
      </c>
      <c r="C18" s="12">
        <f>J10</f>
        <v>137699</v>
      </c>
      <c r="D18" s="13">
        <v>1E-3</v>
      </c>
      <c r="E18" s="14">
        <f>ABS(H17-G17)</f>
        <v>4.0912889635139607</v>
      </c>
      <c r="F18" s="2">
        <f>ABS(G17-H16)</f>
        <v>0.30190765837764388</v>
      </c>
      <c r="G18" s="2">
        <f>ABS(A17-G17)</f>
        <v>3.6078235916223491</v>
      </c>
      <c r="H18" s="2">
        <f>ABS(G18-E18)</f>
        <v>0.48346537189161154</v>
      </c>
      <c r="I18" s="15">
        <f>IF(H18&gt;F18,H17,F19)</f>
        <v>134.27273412189163</v>
      </c>
      <c r="J18" s="5">
        <f>(H17+H18)</f>
        <v>134.75619949378324</v>
      </c>
      <c r="K18" s="6">
        <f>(H16+H17+G17+H18*3)/3</f>
        <v>131.9280376319814</v>
      </c>
      <c r="L18" s="2"/>
      <c r="M18" s="2"/>
      <c r="N18" s="2"/>
      <c r="O18" s="2"/>
      <c r="P18" s="2"/>
      <c r="Q18" s="2"/>
      <c r="R18" s="2"/>
      <c r="S18" s="2"/>
      <c r="T18" s="2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</row>
    <row r="19" spans="1:38" ht="15.75" thickBot="1" x14ac:dyDescent="0.3">
      <c r="A19" s="2">
        <f>(C16+J18+K18)/3</f>
        <v>134.79441237525489</v>
      </c>
      <c r="B19" s="16" t="s">
        <v>1</v>
      </c>
      <c r="C19" s="2" t="e">
        <f>((B19*D19+E19/360)^2+B19^2)/2</f>
        <v>#VALUE!</v>
      </c>
      <c r="D19" s="2">
        <v>0.1</v>
      </c>
      <c r="E19" s="2">
        <f>H18*10000</f>
        <v>4834.6537189161154</v>
      </c>
      <c r="F19" s="2" t="e">
        <f>(A19+(C19/100))</f>
        <v>#VALUE!</v>
      </c>
      <c r="G19" s="17">
        <f>(H19+H17+G17+J19*3)/6</f>
        <v>138.53449345888532</v>
      </c>
      <c r="H19" s="18">
        <f>(J19+K19)/2</f>
        <v>139.38684532628409</v>
      </c>
      <c r="I19" s="19" t="str">
        <f>IF(H18&gt;F18,"y","x")</f>
        <v>y</v>
      </c>
      <c r="J19" s="20">
        <f>H17+(((H17-G17)*2))</f>
        <v>142.45531204891955</v>
      </c>
      <c r="K19" s="21">
        <f>(((((((G17-(I18-H17))+G17))/2)))+J19)/2</f>
        <v>136.31837860364863</v>
      </c>
      <c r="L19" s="22">
        <f>IF(J19&gt;((C16+B16+A16)/3),0,1)</f>
        <v>0</v>
      </c>
      <c r="M19" s="14"/>
      <c r="N19" s="2"/>
      <c r="O19" s="2"/>
      <c r="P19" s="2"/>
      <c r="Q19" s="2"/>
      <c r="R19" s="2"/>
      <c r="S19" s="2"/>
      <c r="T19" s="2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</row>
    <row r="20" spans="1:38" x14ac:dyDescent="0.25">
      <c r="A20" s="24"/>
      <c r="B20" s="25" t="str">
        <f>IF(B21&gt;C16,"LONG","SHORT")</f>
        <v>LONG</v>
      </c>
      <c r="C20" s="24" t="s">
        <v>1</v>
      </c>
      <c r="D20" s="26"/>
      <c r="E20" s="24" t="s">
        <v>2</v>
      </c>
      <c r="F20" s="25" t="str">
        <f>IF(C21&gt;C11,"LONG","SHORT")</f>
        <v>LONG</v>
      </c>
      <c r="G20" s="24" t="s">
        <v>3</v>
      </c>
      <c r="H20" s="27">
        <f>J14</f>
        <v>142.45531204891955</v>
      </c>
      <c r="I20" s="24" t="s">
        <v>4</v>
      </c>
      <c r="J20" s="28">
        <f>IF(D21&gt;C25,1,0)</f>
        <v>1</v>
      </c>
      <c r="K20" s="29">
        <f>J28</f>
        <v>142.45531204891955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</row>
    <row r="21" spans="1:38" x14ac:dyDescent="0.25">
      <c r="A21" s="25" t="s">
        <v>5</v>
      </c>
      <c r="B21" s="31">
        <f>H17+F21</f>
        <v>138.23936154862795</v>
      </c>
      <c r="C21" s="31">
        <f>H12+G21</f>
        <v>138.23936154862795</v>
      </c>
      <c r="D21" s="31">
        <f>(H26+F22)</f>
        <v>138.23936154862795</v>
      </c>
      <c r="E21" s="2">
        <f>G17/H17</f>
        <v>0.96953000927351396</v>
      </c>
      <c r="F21" s="32">
        <f>E21*(H17-G17)</f>
        <v>3.9666274267363155</v>
      </c>
      <c r="G21" s="2">
        <f>G22*(H12-G12)</f>
        <v>3.9666274267363155</v>
      </c>
      <c r="H21" s="2">
        <f>(H26-G26)/(C25-B25)</f>
        <v>2.2103127841782619</v>
      </c>
      <c r="I21" s="2">
        <f>(H12-G12)/(C16-B16)</f>
        <v>2.2103127841782619</v>
      </c>
      <c r="J21" s="2">
        <f>((H17-G17)/(C11-B11))</f>
        <v>2.2103127841782619</v>
      </c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</row>
    <row r="22" spans="1:38" x14ac:dyDescent="0.25">
      <c r="A22" s="25" t="s">
        <v>6</v>
      </c>
      <c r="B22" s="29">
        <f>H17-F21</f>
        <v>130.30610669515531</v>
      </c>
      <c r="C22" s="29">
        <f>H12-G21</f>
        <v>130.30610669515531</v>
      </c>
      <c r="D22" s="29">
        <f>(H26-F22)</f>
        <v>130.30610669515531</v>
      </c>
      <c r="E22" s="2">
        <f>(G26/H26)</f>
        <v>0.96953000927351396</v>
      </c>
      <c r="F22" s="2">
        <f>(E22*(H26-G26))</f>
        <v>3.9666274267363155</v>
      </c>
      <c r="G22" s="2">
        <f>(G12/H12)</f>
        <v>0.96953000927351396</v>
      </c>
      <c r="H22" s="8">
        <f>IF(H11&gt;11,0,1)</f>
        <v>0</v>
      </c>
      <c r="I22" s="8" t="str">
        <f>IF(I21&gt;1,"long","short")</f>
        <v>long</v>
      </c>
      <c r="J22" s="8" t="str">
        <f>IF(J21&gt;1,"long","short")</f>
        <v>long</v>
      </c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</row>
    <row r="23" spans="1:38" x14ac:dyDescent="0.25">
      <c r="A23" s="2">
        <f>INT((D23)^0.5)</f>
        <v>11</v>
      </c>
      <c r="B23" s="2">
        <f>(((A23+C24)^2))</f>
        <v>233.74331259039604</v>
      </c>
      <c r="C23" s="33" t="s">
        <v>7</v>
      </c>
      <c r="D23" s="34">
        <f>(H26+J28+D22+D21)/4</f>
        <v>136.3183786036486</v>
      </c>
      <c r="E23" s="35" t="s">
        <v>7</v>
      </c>
      <c r="F23" s="34">
        <v>200</v>
      </c>
      <c r="G23" s="2">
        <f>IF(H26&gt;K28,1,0)</f>
        <v>0</v>
      </c>
      <c r="H23" s="5">
        <f>J20+H22+G23+H24+I24+I28</f>
        <v>2</v>
      </c>
      <c r="I23" s="36" t="str">
        <f>IF(H23&lt;1,"short","long")</f>
        <v>long</v>
      </c>
      <c r="J23" s="37">
        <f>INT((J28+K28+H26+G26)/4)^0.5</f>
        <v>11.61895003862225</v>
      </c>
      <c r="K23" s="36" t="str">
        <f>IF(J24&gt;H26,"long","short")</f>
        <v>long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</row>
    <row r="24" spans="1:38" x14ac:dyDescent="0.25">
      <c r="A24" s="2">
        <f>(A23^2)</f>
        <v>121</v>
      </c>
      <c r="B24" s="34">
        <f>(A24+B23*0.002)</f>
        <v>121.4674866251808</v>
      </c>
      <c r="C24" s="2">
        <f>(D21-D23)*F24</f>
        <v>4.2886661481764339</v>
      </c>
      <c r="D24" s="38">
        <f>(B24+D23+J28+D23)/4</f>
        <v>134.13988897034938</v>
      </c>
      <c r="E24" s="35">
        <f>(D21+D22)/2</f>
        <v>134.27273412189163</v>
      </c>
      <c r="F24" s="32">
        <f>((H26-G26)*J28-K28)/F23</f>
        <v>2.2325373368801666</v>
      </c>
      <c r="G24" s="2"/>
      <c r="H24" s="8">
        <f>IF(((H26+J28)/2)&lt;K28,1,0)</f>
        <v>0</v>
      </c>
      <c r="I24" s="39">
        <f>N40</f>
        <v>1</v>
      </c>
      <c r="J24" s="40">
        <f>((J23+((45)/10000))^2)</f>
        <v>135.10459080034758</v>
      </c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</row>
    <row r="25" spans="1:38" x14ac:dyDescent="0.25">
      <c r="A25" s="1">
        <f>A27*D27</f>
        <v>139.18</v>
      </c>
      <c r="B25" s="1">
        <f>B27*D27</f>
        <v>135.84800000000001</v>
      </c>
      <c r="C25" s="1">
        <f>C27*D27</f>
        <v>137.69900000000001</v>
      </c>
      <c r="D25" s="2">
        <f>((A25+B25)/2)+((B25+C25)/2)</f>
        <v>274.28750000000002</v>
      </c>
      <c r="E25" s="2">
        <f>(A25-B25)^2</f>
        <v>11.102223999999957</v>
      </c>
      <c r="F25" s="2">
        <f>(C25-B25)^2</f>
        <v>3.4262009999999967</v>
      </c>
      <c r="G25" s="3">
        <f>J26</f>
        <v>259.75907500000005</v>
      </c>
      <c r="H25" s="4">
        <f>(G25/2)</f>
        <v>129.87953750000003</v>
      </c>
      <c r="I25" s="2">
        <f>(A25/B25)</f>
        <v>1.0245274129909898</v>
      </c>
      <c r="J25" s="2">
        <f>(C25/B25)</f>
        <v>1.0136255226429538</v>
      </c>
      <c r="K25" s="2">
        <f>I25^0.5</f>
        <v>1.0121894155695315</v>
      </c>
      <c r="L25" s="2">
        <f>J25^0.5</f>
        <v>1.0067897112321689</v>
      </c>
      <c r="M25" s="2">
        <f>INT(K25)-E26</f>
        <v>0</v>
      </c>
      <c r="N25" s="2">
        <f>INT(L25)-E26</f>
        <v>0</v>
      </c>
      <c r="O25" s="2">
        <f>(M25+45/360)^2</f>
        <v>1.5625E-2</v>
      </c>
      <c r="P25" s="2">
        <f>(N25+45/360)^2</f>
        <v>1.5625E-2</v>
      </c>
      <c r="Q25" s="2">
        <f>(O25+P25)/3</f>
        <v>1.0416666666666666E-2</v>
      </c>
      <c r="R25" s="2">
        <f>(Q25*4)</f>
        <v>4.1666666666666664E-2</v>
      </c>
      <c r="S25" s="2">
        <f>R25/3</f>
        <v>1.3888888888888888E-2</v>
      </c>
      <c r="T25" s="5">
        <f>(G26+H25)/2</f>
        <v>130.03049132918886</v>
      </c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</row>
    <row r="26" spans="1:38" ht="15.75" thickBot="1" x14ac:dyDescent="0.3">
      <c r="A26" s="6">
        <f>(H25+C25)/2</f>
        <v>133.78926875000002</v>
      </c>
      <c r="B26" s="2">
        <f>Q25/3</f>
        <v>3.472222222222222E-3</v>
      </c>
      <c r="C26" s="2">
        <f>B26/2</f>
        <v>1.736111111111111E-3</v>
      </c>
      <c r="D26" s="7">
        <f>C26/2</f>
        <v>8.6805555555555551E-4</v>
      </c>
      <c r="E26" s="8">
        <v>1</v>
      </c>
      <c r="F26" s="2">
        <f>(F25+E25)^0.5</f>
        <v>3.8116171108861332</v>
      </c>
      <c r="G26" s="9">
        <f>(H25)*((F26-C26-D26)^(B26-C26))</f>
        <v>130.18144515837767</v>
      </c>
      <c r="H26" s="10">
        <f>(C25+A25+G26+T25)/4</f>
        <v>134.27273412189163</v>
      </c>
      <c r="I26" s="2">
        <f>E25-F25-D25</f>
        <v>-266.61147700000004</v>
      </c>
      <c r="J26" s="2">
        <f>D25-E25-F25</f>
        <v>259.75907500000005</v>
      </c>
      <c r="K26" s="2">
        <f>F25+E25-D25</f>
        <v>-259.75907500000005</v>
      </c>
      <c r="L26" s="2">
        <f>F25+D25-E25</f>
        <v>266.61147700000004</v>
      </c>
      <c r="M26" s="11"/>
      <c r="N26" s="2"/>
      <c r="O26" s="2"/>
      <c r="P26" s="2"/>
      <c r="Q26" s="2"/>
      <c r="R26" s="2"/>
      <c r="S26" s="2"/>
      <c r="T26" s="2">
        <f>(H25+T25)/2</f>
        <v>129.95501441459444</v>
      </c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</row>
    <row r="27" spans="1:38" ht="15.75" thickBot="1" x14ac:dyDescent="0.3">
      <c r="A27" s="12">
        <f>H10</f>
        <v>139180</v>
      </c>
      <c r="B27" s="12">
        <f>I10</f>
        <v>135848</v>
      </c>
      <c r="C27" s="12">
        <f>J10</f>
        <v>137699</v>
      </c>
      <c r="D27" s="13">
        <v>1E-3</v>
      </c>
      <c r="E27" s="14">
        <f>ABS(H26-G26)</f>
        <v>4.0912889635139607</v>
      </c>
      <c r="F27" s="2">
        <f>ABS(G26-H25)</f>
        <v>0.30190765837764388</v>
      </c>
      <c r="G27" s="2">
        <f>ABS(A26-G26)</f>
        <v>3.6078235916223491</v>
      </c>
      <c r="H27" s="2">
        <f>ABS(G27-E27)</f>
        <v>0.48346537189161154</v>
      </c>
      <c r="I27" s="15">
        <f>IF(H27&gt;F27,H26,F28)</f>
        <v>134.27273412189163</v>
      </c>
      <c r="J27" s="5">
        <f>(H26+H27)</f>
        <v>134.75619949378324</v>
      </c>
      <c r="K27" s="6">
        <f>(H25+H26+G26+H27*3)/3</f>
        <v>131.9280376319814</v>
      </c>
      <c r="L27" s="2"/>
      <c r="M27" s="2"/>
      <c r="N27" s="2"/>
      <c r="O27" s="2"/>
      <c r="P27" s="2"/>
      <c r="Q27" s="2"/>
      <c r="R27" s="2"/>
      <c r="S27" s="2"/>
      <c r="T27" s="2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</row>
    <row r="28" spans="1:38" ht="15.75" thickBot="1" x14ac:dyDescent="0.3">
      <c r="A28" s="2">
        <f>(C25+J27+K27)/3</f>
        <v>134.79441237525489</v>
      </c>
      <c r="B28" s="16" t="s">
        <v>4</v>
      </c>
      <c r="C28" s="2" t="e">
        <f>((B28*D28+E28/360)^2+B28^2)/2</f>
        <v>#VALUE!</v>
      </c>
      <c r="D28" s="2">
        <v>0.1</v>
      </c>
      <c r="E28" s="2">
        <f>H27*10000</f>
        <v>4834.6537189161154</v>
      </c>
      <c r="F28" s="2">
        <f>(A28)</f>
        <v>134.79441237525489</v>
      </c>
      <c r="G28" s="17">
        <f>(H28+H26+G26+J28*3)/6</f>
        <v>138.53449345888532</v>
      </c>
      <c r="H28" s="18">
        <f>(J28+K28)/2</f>
        <v>139.38684532628409</v>
      </c>
      <c r="I28" s="19">
        <f>IF(H27&gt;F27,0,1)</f>
        <v>0</v>
      </c>
      <c r="J28" s="20">
        <f>H26+(((H26-G26)*2))</f>
        <v>142.45531204891955</v>
      </c>
      <c r="K28" s="21">
        <f>(((((((G26-(I27-H26))+G26))/2)))+J28)/2</f>
        <v>136.31837860364863</v>
      </c>
      <c r="L28" s="22">
        <f>IF(J28&gt;((C25+B25+A25)/3),0,1)</f>
        <v>0</v>
      </c>
      <c r="M28" s="14"/>
      <c r="N28" s="2"/>
      <c r="O28" s="2"/>
      <c r="P28" s="2"/>
      <c r="Q28" s="2"/>
      <c r="R28" s="2"/>
      <c r="S28" s="2"/>
      <c r="T28" s="2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</row>
    <row r="29" spans="1:38" x14ac:dyDescent="0.25">
      <c r="A29" s="1">
        <f>A31</f>
        <v>138.23936154862795</v>
      </c>
      <c r="B29" s="1">
        <f>B31</f>
        <v>130.30610669515531</v>
      </c>
      <c r="C29" s="1">
        <f>C31</f>
        <v>137.69900000000001</v>
      </c>
      <c r="D29" s="2">
        <f>((A29+B29)/2)+((B29+C29)/2)</f>
        <v>268.27528746946928</v>
      </c>
      <c r="E29" s="2">
        <f>(A29-B29)^2</f>
        <v>62.936532570147307</v>
      </c>
      <c r="F29" s="2">
        <f>(C29-B29)^2</f>
        <v>54.654871416817663</v>
      </c>
      <c r="G29" s="3">
        <f>J30</f>
        <v>150.68388348250431</v>
      </c>
      <c r="H29" s="4">
        <f>(G29/2)</f>
        <v>75.341941741252157</v>
      </c>
      <c r="I29" s="2">
        <f>(A29/B29)</f>
        <v>1.0608816812555999</v>
      </c>
      <c r="J29" s="2">
        <f>(C29/B29)</f>
        <v>1.0567348184390162</v>
      </c>
      <c r="K29" s="2">
        <f>I29^0.5</f>
        <v>1.0299911073672432</v>
      </c>
      <c r="L29" s="2">
        <f>J29^0.5</f>
        <v>1.0279760787289829</v>
      </c>
      <c r="M29" s="2">
        <f>INT(K29)-E30</f>
        <v>0</v>
      </c>
      <c r="N29" s="2">
        <f>INT(L29)-E30</f>
        <v>0</v>
      </c>
      <c r="O29" s="2">
        <f>(M29+45/360)^2</f>
        <v>1.5625E-2</v>
      </c>
      <c r="P29" s="2">
        <f>(N29+45/360)^2</f>
        <v>1.5625E-2</v>
      </c>
      <c r="Q29" s="2">
        <f>(O29+P29)/3</f>
        <v>1.0416666666666666E-2</v>
      </c>
      <c r="R29" s="2">
        <f>(Q29*4)</f>
        <v>4.1666666666666664E-2</v>
      </c>
      <c r="S29" s="2">
        <f>R29/3</f>
        <v>1.3888888888888888E-2</v>
      </c>
      <c r="T29" s="5">
        <f>(G30+H29)/2</f>
        <v>75.498139290483408</v>
      </c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</row>
    <row r="30" spans="1:38" ht="15.75" thickBot="1" x14ac:dyDescent="0.3">
      <c r="A30" s="6">
        <f>(H29+C29)/2</f>
        <v>106.52047087062608</v>
      </c>
      <c r="B30" s="2">
        <f>Q29/3</f>
        <v>3.472222222222222E-3</v>
      </c>
      <c r="C30" s="2">
        <f>B30/2</f>
        <v>1.736111111111111E-3</v>
      </c>
      <c r="D30" s="7">
        <f>C30/2</f>
        <v>8.6805555555555551E-4</v>
      </c>
      <c r="E30" s="8">
        <v>1</v>
      </c>
      <c r="F30" s="2">
        <f>(F29+E29)^0.5</f>
        <v>10.843957026241156</v>
      </c>
      <c r="G30" s="9">
        <f>(H29)*((F30-C30-D30)^(B30-C30))</f>
        <v>75.654336839714645</v>
      </c>
      <c r="H30" s="10">
        <f>(C29+A29+G30+T29)/4</f>
        <v>106.7727094197065</v>
      </c>
      <c r="I30" s="2">
        <f>E29-F29-D29</f>
        <v>-259.99362631613963</v>
      </c>
      <c r="J30" s="2">
        <f>D29-E29-F29</f>
        <v>150.68388348250431</v>
      </c>
      <c r="K30" s="2">
        <f>F29+E29-D29</f>
        <v>-150.68388348250431</v>
      </c>
      <c r="L30" s="2">
        <f>F29+D29-E29</f>
        <v>259.99362631613963</v>
      </c>
      <c r="M30" s="41" t="str">
        <f>IF(M31&lt;H30,"short","long")</f>
        <v>short</v>
      </c>
      <c r="N30" s="2"/>
      <c r="O30" s="2"/>
      <c r="P30" s="2"/>
      <c r="Q30" s="2"/>
      <c r="R30" s="2"/>
      <c r="S30" s="2"/>
      <c r="T30" s="2">
        <f>(H29+T29)/2</f>
        <v>75.420040515867782</v>
      </c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</row>
    <row r="31" spans="1:38" ht="15.75" thickBot="1" x14ac:dyDescent="0.3">
      <c r="A31" s="42">
        <f>D21</f>
        <v>138.23936154862795</v>
      </c>
      <c r="B31" s="42">
        <f>D22</f>
        <v>130.30610669515531</v>
      </c>
      <c r="C31" s="42">
        <f>C25</f>
        <v>137.69900000000001</v>
      </c>
      <c r="D31" s="43" t="str">
        <f>M30</f>
        <v>short</v>
      </c>
      <c r="E31" s="14">
        <f>ABS(H30-G30)</f>
        <v>31.118372579991856</v>
      </c>
      <c r="F31" s="2">
        <f>ABS(G30-H29)</f>
        <v>0.31239509846248836</v>
      </c>
      <c r="G31" s="2">
        <f>ABS(A30-G30)</f>
        <v>30.866134030911439</v>
      </c>
      <c r="H31" s="2">
        <f>ABS(G31-E31)</f>
        <v>0.25223854908041687</v>
      </c>
      <c r="I31" s="15">
        <f>IF(H31&gt;F31,H30,F32)</f>
        <v>110.29972750603059</v>
      </c>
      <c r="J31" s="5">
        <f>(H30+H31)</f>
        <v>107.02494796878692</v>
      </c>
      <c r="K31" s="6">
        <f>(H29+H30+G30+H31*3)/3</f>
        <v>86.175234549304847</v>
      </c>
      <c r="L31" s="6">
        <f>INT((H30+G30)/2)^0.5</f>
        <v>9.5393920141694561</v>
      </c>
      <c r="M31" s="44">
        <f>(L31+(360+30)/10000)^2</f>
        <v>91.745593577105211</v>
      </c>
      <c r="N31" s="2"/>
      <c r="O31" s="2"/>
      <c r="P31" s="2"/>
      <c r="Q31" s="2"/>
      <c r="R31" s="2"/>
      <c r="S31" s="2"/>
      <c r="T31" s="2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</row>
    <row r="32" spans="1:38" ht="15.75" thickBot="1" x14ac:dyDescent="0.3">
      <c r="A32" s="2">
        <f>(C29+J31+K31)/3</f>
        <v>110.29972750603059</v>
      </c>
      <c r="B32" s="16" t="s">
        <v>8</v>
      </c>
      <c r="C32" s="2" t="e">
        <f>((B32*D32+E32/360)^2+B32^2)/2</f>
        <v>#VALUE!</v>
      </c>
      <c r="D32" s="2">
        <v>0.1</v>
      </c>
      <c r="E32" s="2">
        <f>H31*10000</f>
        <v>2522.3854908041685</v>
      </c>
      <c r="F32" s="2">
        <f>(A32)</f>
        <v>110.29972750603059</v>
      </c>
      <c r="G32" s="17">
        <f>(H32+H30+G30+J32*3)/6</f>
        <v>139.11420131373293</v>
      </c>
      <c r="H32" s="18">
        <f>(J32+K32)/2</f>
        <v>145.2297978839058</v>
      </c>
      <c r="I32" s="19">
        <f>IF(H31&gt;F31,0,1)</f>
        <v>1</v>
      </c>
      <c r="J32" s="20">
        <f>H30+(((H30-G30)*2))</f>
        <v>169.00945457969021</v>
      </c>
      <c r="K32" s="21">
        <f>(((((((G30-(I31-H30))+G30))/2)))+J32)/2</f>
        <v>121.45014118812141</v>
      </c>
      <c r="L32" s="22">
        <f>IF(J32&gt;((C29+B29+A29)/3),0,1)</f>
        <v>0</v>
      </c>
      <c r="M32" s="14"/>
      <c r="N32" s="2"/>
      <c r="O32" s="2"/>
      <c r="P32" s="2"/>
      <c r="Q32" s="2"/>
      <c r="R32" s="2"/>
      <c r="S32" s="2"/>
      <c r="T32" s="2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</row>
    <row r="33" spans="1:38" x14ac:dyDescent="0.25">
      <c r="A33" s="45">
        <f>P48</f>
        <v>224.9000313964286</v>
      </c>
      <c r="B33" s="46">
        <f>(A33*10^0.125)</f>
        <v>299.909011961342</v>
      </c>
      <c r="C33" s="47">
        <f>INT(B33)</f>
        <v>299</v>
      </c>
      <c r="D33" s="47">
        <f>C33*4</f>
        <v>1196</v>
      </c>
      <c r="E33" s="47">
        <f>D33/5</f>
        <v>239.2</v>
      </c>
      <c r="F33" s="48">
        <f>E33^2</f>
        <v>57216.639999999992</v>
      </c>
      <c r="G33" s="48">
        <f>(F33^0.125)</f>
        <v>3.9326952517764404</v>
      </c>
      <c r="H33" s="48">
        <f>G33/3</f>
        <v>1.3108984172588134</v>
      </c>
      <c r="I33" s="48">
        <f>(H33*100)</f>
        <v>131.08984172588134</v>
      </c>
      <c r="J33" s="48">
        <f>(F33/100)</f>
        <v>572.16639999999995</v>
      </c>
      <c r="K33" s="48">
        <f>(J33+I33)/2</f>
        <v>351.62812086294065</v>
      </c>
      <c r="L33" s="48">
        <f>(K33+I33)/2</f>
        <v>241.358981294411</v>
      </c>
      <c r="M33" s="48">
        <f>(L33+A33)/2</f>
        <v>233.1295063454198</v>
      </c>
      <c r="N33" s="48">
        <f>M33*100^0.5</f>
        <v>2331.295063454198</v>
      </c>
      <c r="O33" s="48">
        <f>INT(N33)/10</f>
        <v>233.1</v>
      </c>
      <c r="P33" s="48">
        <f>(O33)^2/10000</f>
        <v>5.4335610000000001</v>
      </c>
      <c r="Q33" s="48">
        <f>(P33+I33+M33)/3</f>
        <v>123.21763635710037</v>
      </c>
      <c r="R33" s="49">
        <f>Q38^0.5</f>
        <v>32.466855155681465</v>
      </c>
      <c r="S33" s="50"/>
      <c r="T33" s="45">
        <f>AI48</f>
        <v>223.02586446812504</v>
      </c>
      <c r="U33" s="46">
        <f>(T33*10^0.125)</f>
        <v>297.40977019499746</v>
      </c>
      <c r="V33" s="47">
        <f>INT(U33)</f>
        <v>297</v>
      </c>
      <c r="W33" s="47">
        <f>V33*4</f>
        <v>1188</v>
      </c>
      <c r="X33" s="47">
        <f>W33/5</f>
        <v>237.6</v>
      </c>
      <c r="Y33" s="48">
        <f>X33^2</f>
        <v>56453.759999999995</v>
      </c>
      <c r="Z33" s="48">
        <f>(Y33^0.125)</f>
        <v>3.9261022776283041</v>
      </c>
      <c r="AA33" s="48">
        <f>Z33/3</f>
        <v>1.3087007592094346</v>
      </c>
      <c r="AB33" s="48">
        <f>(AA33*100)</f>
        <v>130.87007592094346</v>
      </c>
      <c r="AC33" s="48">
        <f>(Y33/100)</f>
        <v>564.5376</v>
      </c>
      <c r="AD33" s="48">
        <f>(AC33+AB33)/2</f>
        <v>347.70383796047173</v>
      </c>
      <c r="AE33" s="48">
        <f>(AD33+AB33)/2</f>
        <v>239.2869569407076</v>
      </c>
      <c r="AF33" s="48">
        <f>(AE33+T33)/2</f>
        <v>231.15641070441632</v>
      </c>
      <c r="AG33" s="48">
        <f>AF33*100^0.5</f>
        <v>2311.5641070441634</v>
      </c>
      <c r="AH33" s="48">
        <f>INT(AG33)/10</f>
        <v>231.1</v>
      </c>
      <c r="AI33" s="48">
        <f>(AH33)^2/10000</f>
        <v>5.3407210000000003</v>
      </c>
      <c r="AJ33" s="48">
        <f>(AI33+AB33+AF33)/3</f>
        <v>122.45573587511994</v>
      </c>
      <c r="AK33" s="49">
        <f>AJ38^0.5</f>
        <v>32.466855155681465</v>
      </c>
      <c r="AL33" s="50"/>
    </row>
    <row r="34" spans="1:38" x14ac:dyDescent="0.25">
      <c r="A34" s="51">
        <f>(O35-O34)</f>
        <v>3.6432233091445312</v>
      </c>
      <c r="B34" s="46">
        <f>(B35+A36)/2</f>
        <v>218.06025302642956</v>
      </c>
      <c r="C34" s="52">
        <f>(D36*C36*B36*C35*D35*A34)</f>
        <v>16801660402283.229</v>
      </c>
      <c r="D34" s="47">
        <f>(C35*C34*A34)</f>
        <v>17620334600.84074</v>
      </c>
      <c r="E34" s="51">
        <f>INT(A34+1)</f>
        <v>4</v>
      </c>
      <c r="F34" s="53">
        <f>(Q46*-1)</f>
        <v>-224.68255805757502</v>
      </c>
      <c r="G34" s="54"/>
      <c r="H34" s="45">
        <f>IF(F34&gt;0,-1,1)</f>
        <v>1</v>
      </c>
      <c r="I34" s="54"/>
      <c r="J34" s="54"/>
      <c r="K34" s="54"/>
      <c r="L34" s="54"/>
      <c r="M34" s="54"/>
      <c r="N34" s="54">
        <f>(M33+O33)/2</f>
        <v>233.1147531727099</v>
      </c>
      <c r="O34" s="54">
        <f>N34-A33</f>
        <v>8.2147217762812943</v>
      </c>
      <c r="P34" s="54">
        <f>(Q38+R36)/2</f>
        <v>1049.53347985</v>
      </c>
      <c r="Q34" s="55">
        <f>(Q37*A34*100)</f>
        <v>674.51216107842606</v>
      </c>
      <c r="R34" s="49">
        <f>INT(R33)+0.326</f>
        <v>32.326000000000001</v>
      </c>
      <c r="S34" s="50"/>
      <c r="T34" s="51">
        <f>(AH35-AH34)</f>
        <v>3.5191295896499071</v>
      </c>
      <c r="U34" s="46">
        <f>(U35+T36)/2</f>
        <v>216.33534683384602</v>
      </c>
      <c r="V34" s="52">
        <f>(W36*V36*U36*V35*W35*T34)</f>
        <v>10559012263532.414</v>
      </c>
      <c r="W34" s="47">
        <f>(V35*V34*T34)</f>
        <v>11940625619.597551</v>
      </c>
      <c r="X34" s="51">
        <f>INT(T34+1)</f>
        <v>4</v>
      </c>
      <c r="Y34" s="53">
        <f>(AJ46*-1)</f>
        <v>-3.6933548160445593</v>
      </c>
      <c r="Z34" s="54"/>
      <c r="AA34" s="45">
        <f>IF(Y34&gt;0,-1,1)</f>
        <v>1</v>
      </c>
      <c r="AB34" s="54"/>
      <c r="AC34" s="54"/>
      <c r="AD34" s="54"/>
      <c r="AE34" s="54"/>
      <c r="AF34" s="54"/>
      <c r="AG34" s="54">
        <f>(AF33+AH33)/2</f>
        <v>231.12820535220817</v>
      </c>
      <c r="AH34" s="54">
        <f>AG34-T33</f>
        <v>8.1023408840831337</v>
      </c>
      <c r="AI34" s="54">
        <f>(AJ38+AK36)/2</f>
        <v>1049.53347985</v>
      </c>
      <c r="AJ34" s="55">
        <f>(AJ37*T34*100)</f>
        <v>1267.2893507831407</v>
      </c>
      <c r="AK34" s="49">
        <f>INT(AK33)+0.326</f>
        <v>32.326000000000001</v>
      </c>
      <c r="AL34" s="50"/>
    </row>
    <row r="35" spans="1:38" x14ac:dyDescent="0.25">
      <c r="A35" s="51">
        <f>N34</f>
        <v>233.1147531727099</v>
      </c>
      <c r="B35" s="56">
        <f>(N34+N36)/2</f>
        <v>223.07841974185635</v>
      </c>
      <c r="C35" s="47">
        <f>(A34/D36)</f>
        <v>2.8785657708263007E-4</v>
      </c>
      <c r="D35" s="47">
        <f>(A34+B36+C36+D36)</f>
        <v>28790.362992822742</v>
      </c>
      <c r="E35" s="57">
        <f>(E34*C36)</f>
        <v>13895.808949509561</v>
      </c>
      <c r="F35" s="58"/>
      <c r="G35" s="54"/>
      <c r="H35" s="54"/>
      <c r="I35" s="54"/>
      <c r="J35" s="54"/>
      <c r="K35" s="54"/>
      <c r="L35" s="54"/>
      <c r="M35" s="54">
        <f>(N34+N36)/2</f>
        <v>223.07841974185635</v>
      </c>
      <c r="N35" s="54">
        <f>(I33+N34)/2</f>
        <v>182.10229744929563</v>
      </c>
      <c r="O35" s="54">
        <f>A33-N36</f>
        <v>11.857945085425825</v>
      </c>
      <c r="P35" s="54"/>
      <c r="Q35" s="48"/>
      <c r="R35" s="59"/>
      <c r="S35" s="50"/>
      <c r="T35" s="51">
        <f>AG34</f>
        <v>231.12820535220817</v>
      </c>
      <c r="U35" s="56">
        <f>(AG34+AG36)/2</f>
        <v>221.26629967330007</v>
      </c>
      <c r="V35" s="47">
        <f>(T34/W36)</f>
        <v>3.213427662005247E-4</v>
      </c>
      <c r="W35" s="47">
        <f>(T34+U36+V36+W36)</f>
        <v>25018.11421241087</v>
      </c>
      <c r="X35" s="57">
        <f>(X34*V36)</f>
        <v>12447.767370944692</v>
      </c>
      <c r="Y35" s="58"/>
      <c r="Z35" s="54"/>
      <c r="AA35" s="54"/>
      <c r="AB35" s="54"/>
      <c r="AC35" s="54"/>
      <c r="AD35" s="54"/>
      <c r="AE35" s="54"/>
      <c r="AF35" s="54">
        <f>(AG34+AG36)/2</f>
        <v>221.26629967330007</v>
      </c>
      <c r="AG35" s="54">
        <f>(AB33+AG34)/2</f>
        <v>180.99914063657582</v>
      </c>
      <c r="AH35" s="54">
        <f>T33-AG36</f>
        <v>11.621470473733041</v>
      </c>
      <c r="AI35" s="54"/>
      <c r="AJ35" s="48"/>
      <c r="AK35" s="59"/>
      <c r="AL35" s="50"/>
    </row>
    <row r="36" spans="1:38" x14ac:dyDescent="0.25">
      <c r="A36" s="60">
        <f>N36</f>
        <v>213.04208631100278</v>
      </c>
      <c r="B36" s="46">
        <f>G42</f>
        <v>12656.383766068104</v>
      </c>
      <c r="C36" s="47">
        <f>(B36/A34)</f>
        <v>3473.9522373773902</v>
      </c>
      <c r="D36" s="47">
        <f>(A34*C36)</f>
        <v>12656.383766068104</v>
      </c>
      <c r="E36" s="51">
        <f>INT(A34)+1</f>
        <v>4</v>
      </c>
      <c r="F36" s="58">
        <f>(Q46)</f>
        <v>224.68255805757502</v>
      </c>
      <c r="G36" s="54"/>
      <c r="H36" s="45">
        <f>IF(F34&lt;0,1,-1)</f>
        <v>1</v>
      </c>
      <c r="I36" s="54"/>
      <c r="J36" s="54"/>
      <c r="K36" s="54"/>
      <c r="L36" s="54"/>
      <c r="M36" s="54">
        <f>(N35+P33*2)</f>
        <v>192.96941944929563</v>
      </c>
      <c r="N36" s="54">
        <f>(N34+M36)/2</f>
        <v>213.04208631100278</v>
      </c>
      <c r="O36" s="54">
        <f>(N35+J33)/2</f>
        <v>377.13434872464779</v>
      </c>
      <c r="P36" s="45">
        <f>IF(Q46&gt;1,-1,1)</f>
        <v>-1</v>
      </c>
      <c r="Q36" s="55">
        <f>F44-F41</f>
        <v>-2.1394679292996672</v>
      </c>
      <c r="R36" s="49">
        <f>R34^2</f>
        <v>1044.970276</v>
      </c>
      <c r="S36" s="50"/>
      <c r="T36" s="60">
        <f>AG36</f>
        <v>211.404393994392</v>
      </c>
      <c r="U36" s="46">
        <f>Z42</f>
        <v>10951.326620042524</v>
      </c>
      <c r="V36" s="47">
        <f>(U36/T34)</f>
        <v>3111.9418427361729</v>
      </c>
      <c r="W36" s="47">
        <f>(T34*V36)</f>
        <v>10951.326620042524</v>
      </c>
      <c r="X36" s="51">
        <f>INT(T34)+1</f>
        <v>4</v>
      </c>
      <c r="Y36" s="58">
        <f>(AJ46)</f>
        <v>3.6933548160445593</v>
      </c>
      <c r="Z36" s="54"/>
      <c r="AA36" s="45">
        <f>IF(Y34&lt;0,1,-1)</f>
        <v>1</v>
      </c>
      <c r="AB36" s="54"/>
      <c r="AC36" s="54"/>
      <c r="AD36" s="54"/>
      <c r="AE36" s="54"/>
      <c r="AF36" s="54">
        <f>(AG35+AI33*2)</f>
        <v>191.68058263657582</v>
      </c>
      <c r="AG36" s="54">
        <f>(AG34+AF36)/2</f>
        <v>211.404393994392</v>
      </c>
      <c r="AH36" s="54">
        <f>(AG35+AC33)/2</f>
        <v>372.76837031828791</v>
      </c>
      <c r="AI36" s="45">
        <f>IF(AJ46&gt;1,-1,1)</f>
        <v>-1</v>
      </c>
      <c r="AJ36" s="55">
        <f>Y44-Y41</f>
        <v>-1.1206974542153425</v>
      </c>
      <c r="AK36" s="49">
        <f>AK34^2</f>
        <v>1044.970276</v>
      </c>
      <c r="AL36" s="50"/>
    </row>
    <row r="37" spans="1:38" ht="15.75" thickBot="1" x14ac:dyDescent="0.3">
      <c r="A37" s="60">
        <f>(O35+O34)+A33</f>
        <v>244.97269825813572</v>
      </c>
      <c r="B37" s="61">
        <f>(A35+B35)/2</f>
        <v>228.09658645728314</v>
      </c>
      <c r="C37" s="51">
        <f>(C35)</f>
        <v>2.8785657708263007E-4</v>
      </c>
      <c r="D37" s="47">
        <f>(D34*D35*D36*B36*A34)</f>
        <v>2.9605087813792695E+23</v>
      </c>
      <c r="E37" s="47">
        <f>(C37*A34)</f>
        <v>1.0487257913179974E-3</v>
      </c>
      <c r="F37" s="54">
        <f>(F39/O39)*O40-F40</f>
        <v>232.30336901697507</v>
      </c>
      <c r="G37" s="54"/>
      <c r="H37" s="54"/>
      <c r="I37" s="54"/>
      <c r="J37" s="54"/>
      <c r="K37" s="54"/>
      <c r="L37" s="54"/>
      <c r="M37" s="54"/>
      <c r="N37" s="55">
        <f>(F37+Q46)*F40</f>
        <v>-102676.76709142234</v>
      </c>
      <c r="O37" s="45">
        <f>H36</f>
        <v>1</v>
      </c>
      <c r="P37" s="45">
        <f>IF(Q46&lt;100,1,-1)</f>
        <v>-1</v>
      </c>
      <c r="Q37" s="55">
        <f>Q36+F44</f>
        <v>1.8514159134450887</v>
      </c>
      <c r="R37" s="59"/>
      <c r="S37" s="50"/>
      <c r="T37" s="60">
        <f>(AH35+AH34)+T33</f>
        <v>242.74967582594121</v>
      </c>
      <c r="U37" s="61">
        <f>(T35+U35)/2</f>
        <v>226.19725251275412</v>
      </c>
      <c r="V37" s="51">
        <f>(V35)</f>
        <v>3.213427662005247E-4</v>
      </c>
      <c r="W37" s="47">
        <f>(W34*W35*W36*U36*T34)</f>
        <v>1.2608121235157989E+23</v>
      </c>
      <c r="X37" s="47">
        <f>(V37*T34)</f>
        <v>1.1308468369562185E-3</v>
      </c>
      <c r="Y37" s="54">
        <f>(Y39/AH39)*AH40-Y40</f>
        <v>7.5509253816816262</v>
      </c>
      <c r="Z37" s="54"/>
      <c r="AA37" s="54"/>
      <c r="AB37" s="54"/>
      <c r="AC37" s="54"/>
      <c r="AD37" s="54"/>
      <c r="AE37" s="54"/>
      <c r="AF37" s="54"/>
      <c r="AG37" s="55">
        <f>(Y37+AJ46)*Y40</f>
        <v>-41.529116421226476</v>
      </c>
      <c r="AH37" s="45">
        <f>AA36</f>
        <v>1</v>
      </c>
      <c r="AI37" s="45">
        <f>IF(AJ46&lt;100,1,-1)</f>
        <v>1</v>
      </c>
      <c r="AJ37" s="55">
        <f>AJ36+Y44</f>
        <v>3.6011443128163236</v>
      </c>
      <c r="AK37" s="59"/>
      <c r="AL37" s="50"/>
    </row>
    <row r="38" spans="1:38" ht="15.75" thickBot="1" x14ac:dyDescent="0.3">
      <c r="A38" s="60">
        <f>(O35*-1-O34)+A33</f>
        <v>204.82736453472148</v>
      </c>
      <c r="B38" s="47">
        <f>(B35+B34)/2</f>
        <v>220.56933638414296</v>
      </c>
      <c r="C38" s="47">
        <f>(B34+A36)/2</f>
        <v>215.55116966871617</v>
      </c>
      <c r="D38" s="47">
        <f>D34</f>
        <v>17620334600.84074</v>
      </c>
      <c r="E38" s="47">
        <f>(B35+A33)/2</f>
        <v>223.98922556914249</v>
      </c>
      <c r="F38" s="62">
        <f>(F40/O40)</f>
        <v>-53.452817638366596</v>
      </c>
      <c r="G38" s="62"/>
      <c r="H38" s="63">
        <v>0.51</v>
      </c>
      <c r="I38" s="64"/>
      <c r="J38" s="64"/>
      <c r="K38" s="64"/>
      <c r="L38" s="64"/>
      <c r="M38" s="64"/>
      <c r="N38" s="65">
        <v>0.9</v>
      </c>
      <c r="O38" s="66">
        <f>H34</f>
        <v>1</v>
      </c>
      <c r="P38" s="66">
        <f>IF(Q46&lt;0,-1,1)</f>
        <v>1</v>
      </c>
      <c r="Q38" s="67">
        <f>(Q40*(N38+H38+N39+H39)*4)</f>
        <v>1054.0966837000001</v>
      </c>
      <c r="R38" s="68">
        <f>(O45+F47+O47)/300</f>
        <v>16.042718779190803</v>
      </c>
      <c r="S38" s="69">
        <f>A25/100</f>
        <v>1.3918000000000001</v>
      </c>
      <c r="T38" s="60">
        <f>(AH35*-1-AH34)+T33</f>
        <v>203.30205311030886</v>
      </c>
      <c r="U38" s="47">
        <f>(U35+U34)/2</f>
        <v>218.80082325357304</v>
      </c>
      <c r="V38" s="47">
        <f>(U34+T36)/2</f>
        <v>213.86987041411902</v>
      </c>
      <c r="W38" s="47">
        <f>W34</f>
        <v>11940625619.597551</v>
      </c>
      <c r="X38" s="47">
        <f>(U35+T33)/2</f>
        <v>222.14608207071257</v>
      </c>
      <c r="Y38" s="54">
        <f>(Y40/AH40)</f>
        <v>-1.5505873302545226</v>
      </c>
      <c r="Z38" s="54"/>
      <c r="AA38" s="54"/>
      <c r="AB38" s="54"/>
      <c r="AC38" s="54"/>
      <c r="AD38" s="54"/>
      <c r="AE38" s="54"/>
      <c r="AF38" s="54"/>
      <c r="AG38" s="54"/>
      <c r="AH38" s="45">
        <f>AA34</f>
        <v>1</v>
      </c>
      <c r="AI38" s="45">
        <f>IF(AJ46&lt;0,-1,1)</f>
        <v>1</v>
      </c>
      <c r="AJ38" s="70">
        <f>Q38</f>
        <v>1054.0966837000001</v>
      </c>
      <c r="AK38" s="71" t="s">
        <v>9</v>
      </c>
      <c r="AL38" s="50"/>
    </row>
    <row r="39" spans="1:38" ht="15.75" thickBot="1" x14ac:dyDescent="0.3">
      <c r="A39" s="51">
        <f>(A38-A37)+A33-A35</f>
        <v>-48.360055499695534</v>
      </c>
      <c r="B39" s="51">
        <f>(A39*-1)+A40</f>
        <v>20.07266686170712</v>
      </c>
      <c r="C39" s="51">
        <f>(B39/2)+A34</f>
        <v>13.679556739998091</v>
      </c>
      <c r="D39" s="51">
        <f>(C47+C40+B46+B39+A34)*-1</f>
        <v>7.8434117130844001</v>
      </c>
      <c r="E39" s="51">
        <f>(C39*A34)*D39</f>
        <v>390.89744286044476</v>
      </c>
      <c r="F39" s="66">
        <f>(E39*A34)</f>
        <v>1424.1266753141649</v>
      </c>
      <c r="G39" s="66">
        <f>(F39+E39)</f>
        <v>1815.0241181746096</v>
      </c>
      <c r="H39" s="72">
        <v>0.1797</v>
      </c>
      <c r="I39" s="73"/>
      <c r="J39" s="73"/>
      <c r="K39" s="73"/>
      <c r="L39" s="73"/>
      <c r="M39" s="73"/>
      <c r="N39" s="74">
        <v>0.32600000000000001</v>
      </c>
      <c r="O39" s="62">
        <v>785.5</v>
      </c>
      <c r="P39" s="66">
        <f>IF(N37&gt;-1,1,-1)</f>
        <v>-1</v>
      </c>
      <c r="Q39" s="75">
        <f>N38</f>
        <v>0.9</v>
      </c>
      <c r="R39" s="76">
        <f>(F48+H43+O47)/300</f>
        <v>19.788263566505794</v>
      </c>
      <c r="S39" s="77">
        <f>(B25)/100</f>
        <v>1.3584800000000001</v>
      </c>
      <c r="T39" s="51">
        <f>(T38-T37)+T33-T35</f>
        <v>-47.549963599715483</v>
      </c>
      <c r="U39" s="51">
        <f>(T39*-1)+T40</f>
        <v>19.723811357816174</v>
      </c>
      <c r="V39" s="51">
        <f>(U39/2)+T34</f>
        <v>13.381035268557994</v>
      </c>
      <c r="W39" s="51">
        <f>(V47+V40+U46+U39+T34)*-1</f>
        <v>7.6767082021698059</v>
      </c>
      <c r="X39" s="51">
        <f>(V39*T34)*W39</f>
        <v>361.49309670692196</v>
      </c>
      <c r="Y39" s="45">
        <f>(X39*T34)</f>
        <v>1272.1410530755045</v>
      </c>
      <c r="Z39" s="45">
        <f>(Y39+X39)</f>
        <v>1633.6341497824264</v>
      </c>
      <c r="AA39" s="54"/>
      <c r="AB39" s="54"/>
      <c r="AC39" s="54"/>
      <c r="AD39" s="54"/>
      <c r="AE39" s="54"/>
      <c r="AF39" s="54"/>
      <c r="AG39" s="54"/>
      <c r="AH39" s="54">
        <v>785.5</v>
      </c>
      <c r="AI39" s="45">
        <f>IF(AG37&gt;-1,1,-1)</f>
        <v>-1</v>
      </c>
      <c r="AJ39" s="78">
        <f>H38</f>
        <v>0.51</v>
      </c>
      <c r="AK39" s="79">
        <f>(Y48+AA43)/2</f>
        <v>1924.5952140396562</v>
      </c>
      <c r="AL39" s="50"/>
    </row>
    <row r="40" spans="1:38" ht="15.75" thickBot="1" x14ac:dyDescent="0.3">
      <c r="A40" s="51">
        <f>(A38-A37)+A33-A36</f>
        <v>-28.287388637988414</v>
      </c>
      <c r="B40" s="51">
        <f>A41+(A40*-1)+A39</f>
        <v>-96.720110999391068</v>
      </c>
      <c r="C40" s="47">
        <f>(B40/10)</f>
        <v>-9.6720110999391071</v>
      </c>
      <c r="D40" s="47"/>
      <c r="E40" s="47"/>
      <c r="F40" s="62">
        <f>(Q46*-1)</f>
        <v>-224.68255805757502</v>
      </c>
      <c r="G40" s="62"/>
      <c r="H40" s="80"/>
      <c r="I40" s="81"/>
      <c r="J40" s="81"/>
      <c r="K40" s="81"/>
      <c r="L40" s="81"/>
      <c r="M40" s="81"/>
      <c r="N40" s="82">
        <f>IF((R41+AK41+AK109+R109)/4&gt;1,0,1)</f>
        <v>1</v>
      </c>
      <c r="O40" s="62">
        <f>(H48/1000)*8.9</f>
        <v>4.2033810000000003</v>
      </c>
      <c r="P40" s="66">
        <f>(P42+O44)/2</f>
        <v>1023.4690419580025</v>
      </c>
      <c r="Q40" s="83">
        <f>(R43+S43+S41+S40)/4*100</f>
        <v>137.56025</v>
      </c>
      <c r="R40" s="84">
        <f>(P43+P42)/200</f>
        <v>10.29323569792667</v>
      </c>
      <c r="S40" s="85">
        <f>C25/100</f>
        <v>1.3769900000000002</v>
      </c>
      <c r="T40" s="51">
        <f>(T38-T37)+T33-T36</f>
        <v>-27.826152241899308</v>
      </c>
      <c r="U40" s="51">
        <f>T41+(T40*-1)+T39</f>
        <v>-95.099927199430965</v>
      </c>
      <c r="V40" s="47">
        <f>(U40/10)</f>
        <v>-9.5099927199430958</v>
      </c>
      <c r="W40" s="47"/>
      <c r="X40" s="47"/>
      <c r="Y40" s="54">
        <f>(AJ46*-1)</f>
        <v>-3.6933548160445593</v>
      </c>
      <c r="Z40" s="54"/>
      <c r="AA40" s="54"/>
      <c r="AB40" s="54"/>
      <c r="AC40" s="54"/>
      <c r="AD40" s="54"/>
      <c r="AE40" s="54"/>
      <c r="AF40" s="54"/>
      <c r="AG40" s="54"/>
      <c r="AH40" s="54">
        <f>(AA48/1000)*8.9</f>
        <v>2.381907</v>
      </c>
      <c r="AI40" s="45">
        <f>(AI42+AH44)/2</f>
        <v>1023.8498119703977</v>
      </c>
      <c r="AJ40" s="86" t="s">
        <v>10</v>
      </c>
      <c r="AK40" s="79">
        <f>(AI43+AI42)/2</f>
        <v>1029.6509329579908</v>
      </c>
      <c r="AL40" s="50"/>
    </row>
    <row r="41" spans="1:38" x14ac:dyDescent="0.25">
      <c r="A41" s="51">
        <f>(A40+A39)</f>
        <v>-76.647444137683948</v>
      </c>
      <c r="B41" s="47"/>
      <c r="C41" s="47">
        <f>((F41+E41*-1)+E45)*10-A34+O41*-1-C37*111</f>
        <v>10.093118854743556</v>
      </c>
      <c r="D41" s="47"/>
      <c r="E41" s="47">
        <f>(E45+O41+F41)</f>
        <v>-1.9076329042618134E-2</v>
      </c>
      <c r="F41" s="62">
        <f>(O41*E45)</f>
        <v>6.1303517720444232</v>
      </c>
      <c r="G41" s="62"/>
      <c r="H41" s="87">
        <f>(P42+H42)/2</f>
        <v>781.02449244325203</v>
      </c>
      <c r="I41" s="62"/>
      <c r="J41" s="62"/>
      <c r="K41" s="62"/>
      <c r="L41" s="62"/>
      <c r="M41" s="62"/>
      <c r="N41" s="62">
        <f>(A37-A33)-(A33-B38)</f>
        <v>15.741971849421475</v>
      </c>
      <c r="O41" s="66">
        <f>(P41+A34+C37*10)</f>
        <v>-1.251663113085842</v>
      </c>
      <c r="P41" s="62">
        <f>E45</f>
        <v>-4.8977649880011995</v>
      </c>
      <c r="Q41" s="88">
        <f>(Q37*Q36*10)</f>
        <v>-39.610449706108156</v>
      </c>
      <c r="R41" s="89">
        <f>(P52+O52+P54+O54+N54+P53+O53+N53+H55+F55+E55+E54+F54+H54+H53+F53+E53+E52+F52+H52)</f>
        <v>0</v>
      </c>
      <c r="S41" s="90">
        <f>(S43+R43)/2</f>
        <v>1.37514</v>
      </c>
      <c r="T41" s="51">
        <f>(T40+T39)</f>
        <v>-75.376115841614791</v>
      </c>
      <c r="U41" s="47"/>
      <c r="V41" s="47">
        <f>((Y41+X41*-1)+X45)*10-T34+AH41*-1-V37*111</f>
        <v>9.9699739675182606</v>
      </c>
      <c r="W41" s="47"/>
      <c r="X41" s="47">
        <f>(X45+AH41+Y41)</f>
        <v>-0.13885336046789032</v>
      </c>
      <c r="Y41" s="54">
        <f>(AH41*X45)</f>
        <v>5.8425392212470086</v>
      </c>
      <c r="Z41" s="54"/>
      <c r="AA41" s="78">
        <f>(AI42+AA42)/2</f>
        <v>781.18990505967167</v>
      </c>
      <c r="AB41" s="54"/>
      <c r="AC41" s="54"/>
      <c r="AD41" s="54"/>
      <c r="AE41" s="54"/>
      <c r="AF41" s="54"/>
      <c r="AG41" s="54">
        <f>(T37-T33)-(T33-U38)</f>
        <v>15.498770143264181</v>
      </c>
      <c r="AH41" s="45">
        <f>(AI41+T34+V37*10)</f>
        <v>-1.2295247822014932</v>
      </c>
      <c r="AI41" s="54">
        <f>X45</f>
        <v>-4.7518677995134055</v>
      </c>
      <c r="AJ41" s="55">
        <f>(AJ37*AJ36*10)</f>
        <v>-40.357932636353127</v>
      </c>
      <c r="AK41" s="91">
        <f>(AI52+AH52+AI54+AH54+AG54+AI53+AH53+AG53+AA55+Y55+X55+X54+Y54+AA54+AA53+Y53+X53+X52+Y52+AA52)</f>
        <v>0</v>
      </c>
      <c r="AL41" s="50"/>
    </row>
    <row r="42" spans="1:38" x14ac:dyDescent="0.25">
      <c r="A42" s="51">
        <f>(A33+A41)</f>
        <v>148.25258725874465</v>
      </c>
      <c r="B42" s="47">
        <f>(A33+A42)/2</f>
        <v>186.57630932758661</v>
      </c>
      <c r="C42" s="47">
        <f>(E38-A33)-(A33-B42)</f>
        <v>-39.2345278961281</v>
      </c>
      <c r="D42" s="51">
        <f>(B38+C38)/2</f>
        <v>218.06025302642956</v>
      </c>
      <c r="E42" s="51">
        <f>(A37+A43)</f>
        <v>450.71086862014329</v>
      </c>
      <c r="F42" s="87">
        <f>(G39*2)-G46</f>
        <v>3473.9522373773902</v>
      </c>
      <c r="G42" s="87">
        <f>(A34*F42)</f>
        <v>12656.383766068104</v>
      </c>
      <c r="H42" s="87">
        <f>(N44+P42)/2</f>
        <v>521.01635942450764</v>
      </c>
      <c r="I42" s="87"/>
      <c r="J42" s="87"/>
      <c r="K42" s="87"/>
      <c r="L42" s="87"/>
      <c r="M42" s="87"/>
      <c r="N42" s="92">
        <f>(O42+O43)/2</f>
        <v>1056.7315518471582</v>
      </c>
      <c r="O42" s="93">
        <f>(A36+C38)/2*Q47/Q39</f>
        <v>1000.0509306193443</v>
      </c>
      <c r="P42" s="94">
        <f>B35*Q47/Q39</f>
        <v>1041.0326254619963</v>
      </c>
      <c r="Q42" s="95">
        <f>(A38+B35)/2</f>
        <v>213.95289213828892</v>
      </c>
      <c r="R42" s="96">
        <f>(F48+F47+F45+F43)/4.79</f>
        <v>1303.6658442748594</v>
      </c>
      <c r="S42" s="97">
        <f>((((S44/10)+Q40)/2-R43*-1)+Q40+S43+R43)/4.96</f>
        <v>47.179105580696834</v>
      </c>
      <c r="T42" s="51">
        <f>(T33+T41)</f>
        <v>147.64974862651025</v>
      </c>
      <c r="U42" s="47">
        <f>(T33+T42)/2</f>
        <v>185.33780654731765</v>
      </c>
      <c r="V42" s="47">
        <f>(X38-T33)-(T33-U42)</f>
        <v>-38.567840318219851</v>
      </c>
      <c r="W42" s="51">
        <f>(U38+V38)/2</f>
        <v>216.33534683384602</v>
      </c>
      <c r="X42" s="51">
        <f>(T37+T43)</f>
        <v>446.93151133366257</v>
      </c>
      <c r="Y42" s="78">
        <f>(Z39*2)-Z46</f>
        <v>3111.9418427361729</v>
      </c>
      <c r="Z42" s="78">
        <f>(T34*Y42)</f>
        <v>10951.326620042524</v>
      </c>
      <c r="AA42" s="78">
        <f>(AG44+AI42)/2</f>
        <v>521.12663518616648</v>
      </c>
      <c r="AB42" s="78"/>
      <c r="AC42" s="78"/>
      <c r="AD42" s="78"/>
      <c r="AE42" s="78"/>
      <c r="AF42" s="78"/>
      <c r="AG42" s="98">
        <f>(AH42+AH43)/2</f>
        <v>1056.7910155167622</v>
      </c>
      <c r="AH42" s="99">
        <f>(T36+V38)/2*AJ47/AJ39</f>
        <v>1000.6453280200259</v>
      </c>
      <c r="AI42" s="100">
        <f>U35*AJ47/AJ39</f>
        <v>1041.2531749331768</v>
      </c>
      <c r="AJ42" s="48">
        <f>(T38+U35)/2</f>
        <v>212.28417639180446</v>
      </c>
      <c r="AK42" s="45"/>
      <c r="AL42" s="50"/>
    </row>
    <row r="43" spans="1:38" x14ac:dyDescent="0.25">
      <c r="A43" s="51">
        <f>((A38+A37+A36+A35)/4-A38-A33)*-1</f>
        <v>205.73817036200759</v>
      </c>
      <c r="B43" s="47">
        <f>(B38+C38)/2</f>
        <v>218.06025302642956</v>
      </c>
      <c r="C43" s="47">
        <f>(E45+A34)</f>
        <v>-1.2545416788566683</v>
      </c>
      <c r="D43" s="51">
        <f>(A45+D44+A37+D44)/2</f>
        <v>380.3043886838102</v>
      </c>
      <c r="E43" s="51">
        <f>(A38+D44+A37)/3</f>
        <v>201.65890620780579</v>
      </c>
      <c r="F43" s="101">
        <f>(O43+P42)/2</f>
        <v>1077.2223992684842</v>
      </c>
      <c r="G43" s="95"/>
      <c r="H43" s="102">
        <f>(O43+P42+N42)/3</f>
        <v>1070.392116794709</v>
      </c>
      <c r="I43" s="87"/>
      <c r="J43" s="87"/>
      <c r="K43" s="87"/>
      <c r="L43" s="87"/>
      <c r="M43" s="87"/>
      <c r="N43" s="103">
        <f>((A43+A37)/2)*Q47/Q39</f>
        <v>1051.658693447001</v>
      </c>
      <c r="O43" s="104">
        <f>((A44+A35)/2)*Q47/Q39</f>
        <v>1113.4121730749721</v>
      </c>
      <c r="P43" s="105">
        <f>B34*Q47/Q39</f>
        <v>1017.614514123338</v>
      </c>
      <c r="Q43" s="88">
        <f>A34+E45</f>
        <v>-1.2545416788566683</v>
      </c>
      <c r="R43" s="106">
        <f>S38</f>
        <v>1.3918000000000001</v>
      </c>
      <c r="S43" s="106">
        <f>S39</f>
        <v>1.3584800000000001</v>
      </c>
      <c r="T43" s="51">
        <f>((T38+T37+T36+T35)/4-T38-T33)*-1</f>
        <v>204.18183550772133</v>
      </c>
      <c r="U43" s="47">
        <f>(U38+V38)/2</f>
        <v>216.33534683384602</v>
      </c>
      <c r="V43" s="47">
        <f>(X45+T34)</f>
        <v>-1.2327382098634985</v>
      </c>
      <c r="W43" s="51">
        <f>(T45+W44+T37+W44)/2</f>
        <v>377.40072139110532</v>
      </c>
      <c r="X43" s="51">
        <f>(T38+W44+T37)/3</f>
        <v>200.06888008662577</v>
      </c>
      <c r="Y43" s="78">
        <f>(AH43+AI42)/2</f>
        <v>1077.0949389733378</v>
      </c>
      <c r="Z43" s="48"/>
      <c r="AA43" s="78">
        <f>(AH43+AI42+AG42)/3</f>
        <v>1070.3269644878126</v>
      </c>
      <c r="AB43" s="78"/>
      <c r="AC43" s="78"/>
      <c r="AD43" s="78"/>
      <c r="AE43" s="78"/>
      <c r="AF43" s="78"/>
      <c r="AG43" s="107">
        <f>((T43+T37)/2)*AJ47/AJ39</f>
        <v>1051.6035560792061</v>
      </c>
      <c r="AH43" s="108">
        <f>((T44+T35)/2)*AJ47/AJ39</f>
        <v>1112.9367030134986</v>
      </c>
      <c r="AI43" s="109">
        <f>U34*AJ47/AJ39</f>
        <v>1018.0486909828047</v>
      </c>
      <c r="AJ43" s="55">
        <f>T34+X45</f>
        <v>-1.2327382098634985</v>
      </c>
      <c r="AK43" s="45"/>
      <c r="AL43" s="50"/>
    </row>
    <row r="44" spans="1:38" x14ac:dyDescent="0.25">
      <c r="A44" s="51">
        <f>((A38+A37+A36+A35)/4-A38-A33*-1)</f>
        <v>244.06189243084961</v>
      </c>
      <c r="B44" s="47">
        <f>B35/2</f>
        <v>111.53920987092818</v>
      </c>
      <c r="C44" s="47">
        <f>(B34+C38)/2</f>
        <v>216.80571134757287</v>
      </c>
      <c r="D44" s="51">
        <f>(A43+A42+B44)/3</f>
        <v>155.17665583056012</v>
      </c>
      <c r="E44" s="51">
        <f>(A38+A37+B44)/3</f>
        <v>187.11309088792845</v>
      </c>
      <c r="F44" s="95">
        <f>E41+(C48*-1)-E41-E45</f>
        <v>3.9908838427447559</v>
      </c>
      <c r="G44" s="95"/>
      <c r="H44" s="87">
        <f>(P44+N44)/2</f>
        <v>365.89784878536585</v>
      </c>
      <c r="I44" s="95"/>
      <c r="J44" s="95"/>
      <c r="K44" s="95"/>
      <c r="L44" s="95"/>
      <c r="M44" s="95"/>
      <c r="N44" s="110">
        <f>((N43+N42)/2/Q38)</f>
        <v>1.0000933870190485</v>
      </c>
      <c r="O44" s="104">
        <f>((A36+D42)/2)*Q47/Q39</f>
        <v>1005.9054584540088</v>
      </c>
      <c r="P44" s="111">
        <f>((B44+E43)/2)*Q47/Q39</f>
        <v>730.79560418371261</v>
      </c>
      <c r="Q44" s="88">
        <f>(Q43*Q41/10)</f>
        <v>4.9692960074568555</v>
      </c>
      <c r="R44" s="66">
        <f>(R43+R42+F48)/3</f>
        <v>1355.9424035126287</v>
      </c>
      <c r="S44" s="112">
        <f>(R39+R40+R38+F45+O48)/5</f>
        <v>470.51817360512689</v>
      </c>
      <c r="T44" s="51">
        <f>((T38+T37+T36+T35)/4-T38-T33*-1)</f>
        <v>241.86989342852874</v>
      </c>
      <c r="U44" s="47">
        <f>U35/2</f>
        <v>110.63314983665003</v>
      </c>
      <c r="V44" s="47">
        <f>(U34+V38)/2</f>
        <v>215.10260862398252</v>
      </c>
      <c r="W44" s="51">
        <f>(T43+T42+U44)/3</f>
        <v>154.1549113236272</v>
      </c>
      <c r="X44" s="51">
        <f>(T38+T37+U44)/3</f>
        <v>185.56162625763338</v>
      </c>
      <c r="Y44" s="48">
        <f>X41+(V48*-1)-X41-X45</f>
        <v>4.7218417670316661</v>
      </c>
      <c r="Z44" s="48"/>
      <c r="AA44" s="78">
        <f>(AI44+AG44)/2</f>
        <v>366.03184762931426</v>
      </c>
      <c r="AB44" s="48"/>
      <c r="AC44" s="48"/>
      <c r="AD44" s="48"/>
      <c r="AE44" s="48"/>
      <c r="AF44" s="48"/>
      <c r="AG44" s="107">
        <f>((AG43+AG42)/2/AJ38)</f>
        <v>1.0000954391561416</v>
      </c>
      <c r="AH44" s="108">
        <f>((T36+W42)/2)*AJ47/AJ39</f>
        <v>1006.4464490076188</v>
      </c>
      <c r="AI44" s="109">
        <f>((U44+X43)/2)*AJ47/AJ39</f>
        <v>731.06359981947242</v>
      </c>
      <c r="AJ44" s="55">
        <f>(AJ43*AJ41/10)</f>
        <v>4.9750765631929621</v>
      </c>
      <c r="AK44" s="45">
        <f>(AK43+AK42+Y48)/3</f>
        <v>926.28782119716664</v>
      </c>
      <c r="AL44" s="50"/>
    </row>
    <row r="45" spans="1:38" x14ac:dyDescent="0.25">
      <c r="A45" s="51">
        <f>(A38+A43)/2</f>
        <v>205.28276744836455</v>
      </c>
      <c r="B45" s="47">
        <f>(A35+B37)/2</f>
        <v>230.60566981499653</v>
      </c>
      <c r="C45" s="47">
        <f>(A34*C37)</f>
        <v>1.0487257913179974E-3</v>
      </c>
      <c r="D45" s="47">
        <f>(A35+B45)/2</f>
        <v>231.86021149385323</v>
      </c>
      <c r="E45" s="47">
        <f>(D45-A33)-(A33-A36)</f>
        <v>-4.8977649880011995</v>
      </c>
      <c r="F45" s="113">
        <f>(N45+H45)/2</f>
        <v>1092.650578732565</v>
      </c>
      <c r="G45" s="95"/>
      <c r="H45" s="114">
        <f>A44*Q47/Q39</f>
        <v>1138.9554980106316</v>
      </c>
      <c r="I45" s="95"/>
      <c r="J45" s="95"/>
      <c r="K45" s="95"/>
      <c r="L45" s="95"/>
      <c r="M45" s="95"/>
      <c r="N45" s="115">
        <f>(N43+P42)/2</f>
        <v>1046.3456594544987</v>
      </c>
      <c r="O45" s="116">
        <f>((E42+A42)/2)*Q47/Q39</f>
        <v>1397.5813970507386</v>
      </c>
      <c r="P45" s="105">
        <f>((E43+E45/10)/2)*Q47/Q39</f>
        <v>469.39463598767986</v>
      </c>
      <c r="Q45" s="51">
        <f>(Q44+C48)</f>
        <v>5.8761771527132991</v>
      </c>
      <c r="R45" s="45"/>
      <c r="S45" s="50"/>
      <c r="T45" s="51">
        <f>(T38+T43)/2</f>
        <v>203.74194430901508</v>
      </c>
      <c r="U45" s="47">
        <f>(T35+U37)/2</f>
        <v>228.66272893248114</v>
      </c>
      <c r="V45" s="47">
        <f>(T34*V37)</f>
        <v>1.1308468369562185E-3</v>
      </c>
      <c r="W45" s="47">
        <f>(T35+U45)/2</f>
        <v>229.89546714234467</v>
      </c>
      <c r="X45" s="47">
        <f>(W45-T33)-(T33-T36)</f>
        <v>-4.7518677995134055</v>
      </c>
      <c r="Y45" s="78">
        <f>(AG45+AA45)/2</f>
        <v>1092.3198143496338</v>
      </c>
      <c r="Z45" s="48"/>
      <c r="AA45" s="117">
        <f>T44*AJ47/AJ39</f>
        <v>1138.2112631930763</v>
      </c>
      <c r="AB45" s="48"/>
      <c r="AC45" s="48"/>
      <c r="AD45" s="48"/>
      <c r="AE45" s="48"/>
      <c r="AF45" s="48"/>
      <c r="AG45" s="107">
        <f>(AG43+AI42)/2</f>
        <v>1046.4283655061913</v>
      </c>
      <c r="AH45" s="108">
        <f>((X42+T42)/2)*AJ47/AJ39</f>
        <v>1399.0147293180535</v>
      </c>
      <c r="AI45" s="109">
        <f>((X43+X45/10)/2)*AJ47/AJ39</f>
        <v>469.6322195451163</v>
      </c>
      <c r="AJ45" s="51">
        <f>(AJ44+V48)</f>
        <v>5.0051025956747015</v>
      </c>
      <c r="AK45" s="45"/>
      <c r="AL45" s="50"/>
    </row>
    <row r="46" spans="1:38" x14ac:dyDescent="0.25">
      <c r="A46" s="51">
        <f>(A34*-1)+A41</f>
        <v>-80.290667446828479</v>
      </c>
      <c r="B46" s="51">
        <f>(A47*-1)+A46</f>
        <v>-7.2864466182890624</v>
      </c>
      <c r="C46" s="51">
        <f>(B46/2)+A34</f>
        <v>0</v>
      </c>
      <c r="D46" s="47"/>
      <c r="E46" s="51">
        <f>(C46*A34)+D39</f>
        <v>7.8434117130844001</v>
      </c>
      <c r="F46" s="87">
        <f>A42*Q47/Q47</f>
        <v>148.25258725874465</v>
      </c>
      <c r="G46" s="87">
        <f>(E46+F46)</f>
        <v>156.09599897182906</v>
      </c>
      <c r="H46" s="118">
        <f>(O47+H44)/2</f>
        <v>1234.6076178396841</v>
      </c>
      <c r="I46" s="95"/>
      <c r="J46" s="95"/>
      <c r="K46" s="95"/>
      <c r="L46" s="95"/>
      <c r="M46" s="95"/>
      <c r="N46" s="119">
        <f>(O43+H43+O43)/3</f>
        <v>1099.0721543148845</v>
      </c>
      <c r="O46" s="104">
        <f>((B37+E45)/2)*Q47/Q39</f>
        <v>520.79725009499123</v>
      </c>
      <c r="P46" s="120">
        <f>D42*Q47/Q39</f>
        <v>1017.614514123338</v>
      </c>
      <c r="Q46" s="52">
        <f>((Q45*Q44*C48*-1)*Q47*Q36*Q37)*0.51</f>
        <v>224.68255805757502</v>
      </c>
      <c r="R46" s="45"/>
      <c r="S46" s="50"/>
      <c r="T46" s="51">
        <f>(T34*-1)+T41</f>
        <v>-78.895245431264698</v>
      </c>
      <c r="U46" s="51">
        <f>(T47*-1)+T46</f>
        <v>-7.0382591792998141</v>
      </c>
      <c r="V46" s="51">
        <f>(U46/2)+T34</f>
        <v>0</v>
      </c>
      <c r="W46" s="47"/>
      <c r="X46" s="51">
        <f>(V46*T34)+W39</f>
        <v>7.6767082021698059</v>
      </c>
      <c r="Y46" s="78">
        <f>T42*AJ47/AJ47</f>
        <v>147.64974862651025</v>
      </c>
      <c r="Z46" s="78">
        <f>(X46+Y46)</f>
        <v>155.32645682868005</v>
      </c>
      <c r="AA46" s="48">
        <f>(AH47+AA44)/2</f>
        <v>1234.6194798938632</v>
      </c>
      <c r="AB46" s="48"/>
      <c r="AC46" s="48"/>
      <c r="AD46" s="48"/>
      <c r="AE46" s="48"/>
      <c r="AF46" s="48"/>
      <c r="AG46" s="121">
        <f>(AH43+AA43+AH43)/3</f>
        <v>1098.7334568382698</v>
      </c>
      <c r="AH46" s="108">
        <f>((U37+X45)/2)*AJ47/AJ39</f>
        <v>521.04796403115449</v>
      </c>
      <c r="AI46" s="109">
        <f>W42*AJ47/AJ39</f>
        <v>1018.0486909828047</v>
      </c>
      <c r="AJ46" s="52">
        <f>((AJ45*AJ44*V48*-1)*AJ47*AJ36*AJ37)*0.51</f>
        <v>3.6933548160445593</v>
      </c>
      <c r="AK46" s="45"/>
      <c r="AL46" s="50"/>
    </row>
    <row r="47" spans="1:38" x14ac:dyDescent="0.25">
      <c r="A47" s="51">
        <f>A34+A41</f>
        <v>-73.004220828539417</v>
      </c>
      <c r="B47" s="51">
        <f>(A48+(A46*-1)+A47)</f>
        <v>-146.00844165707883</v>
      </c>
      <c r="C47" s="47">
        <f>(B47/10)</f>
        <v>-14.600844165707883</v>
      </c>
      <c r="D47" s="47"/>
      <c r="E47" s="47">
        <f>((D43+B44)/2)*Q47</f>
        <v>1032.8715569649507</v>
      </c>
      <c r="F47" s="122">
        <f>((E42+B44)/2)*Q47/Q39</f>
        <v>1311.9168498125002</v>
      </c>
      <c r="G47" s="95"/>
      <c r="H47" s="95">
        <f>(Q48/2)</f>
        <v>472.29006593250006</v>
      </c>
      <c r="I47" s="95"/>
      <c r="J47" s="95"/>
      <c r="K47" s="95"/>
      <c r="L47" s="95"/>
      <c r="M47" s="95"/>
      <c r="N47" s="87">
        <f>(Q48/2)/Q39</f>
        <v>524.76673992500002</v>
      </c>
      <c r="O47" s="123">
        <f>E42*Q47/Q39</f>
        <v>2103.3173868940021</v>
      </c>
      <c r="P47" s="105">
        <f>((B34+A37)/2)*Q47/Q39</f>
        <v>1080.4102196639858</v>
      </c>
      <c r="Q47" s="124">
        <f>ROUND(O40,N48)</f>
        <v>4.2</v>
      </c>
      <c r="R47" s="125">
        <f>(P42+P44)/2</f>
        <v>885.91411482285446</v>
      </c>
      <c r="S47" s="50"/>
      <c r="T47" s="51">
        <f>T34+T41</f>
        <v>-71.856986251964884</v>
      </c>
      <c r="U47" s="51">
        <f>(T48+(T46*-1)+T47)</f>
        <v>-143.71397250392977</v>
      </c>
      <c r="V47" s="47">
        <f>(U47/10)</f>
        <v>-14.371397250392977</v>
      </c>
      <c r="W47" s="47"/>
      <c r="X47" s="47">
        <f>((W43+U44)/2)*AJ47</f>
        <v>585.64064547330645</v>
      </c>
      <c r="Y47" s="48">
        <f>((X42+U44)/2)*AJ47/AJ39</f>
        <v>1311.9168498125002</v>
      </c>
      <c r="Z47" s="48"/>
      <c r="AA47" s="48">
        <f>(AJ48/2)</f>
        <v>267.63103736175003</v>
      </c>
      <c r="AB47" s="48"/>
      <c r="AC47" s="48"/>
      <c r="AD47" s="48"/>
      <c r="AE47" s="48"/>
      <c r="AF47" s="48"/>
      <c r="AG47" s="78">
        <f>(AJ48/2)/AJ39</f>
        <v>524.76673992500002</v>
      </c>
      <c r="AH47" s="126">
        <f>X42*AJ47/AJ39</f>
        <v>2103.2071121584122</v>
      </c>
      <c r="AI47" s="109">
        <f>((U34+T37)/2)*AJ47/AJ39</f>
        <v>1080.2000533171463</v>
      </c>
      <c r="AJ47" s="124">
        <f>ROUND(AH40,AG48)</f>
        <v>2.4</v>
      </c>
      <c r="AK47" s="125">
        <f>(AI42+AI44)/2</f>
        <v>886.15838737632453</v>
      </c>
      <c r="AL47" s="50"/>
    </row>
    <row r="48" spans="1:38" x14ac:dyDescent="0.25">
      <c r="A48" s="78">
        <f>(A46+A47)</f>
        <v>-153.2948882753679</v>
      </c>
      <c r="B48" s="48"/>
      <c r="C48" s="55">
        <f>INT(C41)-C41+N48</f>
        <v>0.90688114525644359</v>
      </c>
      <c r="D48" s="48"/>
      <c r="E48" s="78" t="s">
        <v>11</v>
      </c>
      <c r="F48" s="118">
        <f>((O48+B44+E42)/3)*Q47/Q39</f>
        <v>2762.7695662630272</v>
      </c>
      <c r="G48" s="95"/>
      <c r="H48" s="95">
        <f>ROUND(H47,2)</f>
        <v>472.29</v>
      </c>
      <c r="I48" s="95"/>
      <c r="J48" s="95"/>
      <c r="K48" s="95"/>
      <c r="L48" s="95"/>
      <c r="M48" s="95"/>
      <c r="N48" s="95">
        <v>1</v>
      </c>
      <c r="O48" s="127">
        <f>((B34+B44+E42)/3)*Q47/Q39</f>
        <v>1213.8160712494462</v>
      </c>
      <c r="P48" s="128">
        <f>(Q48/Q47)</f>
        <v>224.9000313964286</v>
      </c>
      <c r="Q48" s="45">
        <f>P34*Q39</f>
        <v>944.58013186500011</v>
      </c>
      <c r="R48" s="125">
        <f>(F43+P44)/2</f>
        <v>904.0090017260984</v>
      </c>
      <c r="S48" s="50"/>
      <c r="T48" s="78">
        <f>(T46+T47)</f>
        <v>-150.75223168322958</v>
      </c>
      <c r="U48" s="48"/>
      <c r="V48" s="55">
        <f>INT(V41)-V41+AG48</f>
        <v>3.0026032481739406E-2</v>
      </c>
      <c r="W48" s="48"/>
      <c r="X48" s="78" t="s">
        <v>11</v>
      </c>
      <c r="Y48" s="48">
        <f>((AH48+U44+X42)/3)*AJ47/AJ39</f>
        <v>2778.8634635915</v>
      </c>
      <c r="Z48" s="48"/>
      <c r="AA48" s="48">
        <f>ROUND(AA47,2)</f>
        <v>267.63</v>
      </c>
      <c r="AB48" s="48"/>
      <c r="AC48" s="48"/>
      <c r="AD48" s="48"/>
      <c r="AE48" s="48"/>
      <c r="AF48" s="48"/>
      <c r="AG48" s="48">
        <v>1</v>
      </c>
      <c r="AH48" s="129">
        <f>((U34+U44+X42)/3)*AJ47/AJ39</f>
        <v>1213.9607968692685</v>
      </c>
      <c r="AI48" s="130">
        <f>(AJ48/AJ47)</f>
        <v>223.02586446812504</v>
      </c>
      <c r="AJ48" s="45">
        <f>AI34*AJ39</f>
        <v>535.26207472350006</v>
      </c>
      <c r="AK48" s="125">
        <f>(Y43+AI44)/2</f>
        <v>904.07926939640515</v>
      </c>
      <c r="AL48" s="50"/>
    </row>
    <row r="49" spans="1:38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0"/>
      <c r="K49" s="50"/>
      <c r="L49" s="50"/>
      <c r="M49" s="50"/>
      <c r="N49" s="59"/>
      <c r="O49" s="59"/>
      <c r="P49" s="59" t="s">
        <v>12</v>
      </c>
      <c r="Q49" s="131" t="b">
        <f>IF(R49&gt;0,"M")</f>
        <v>0</v>
      </c>
      <c r="R49" s="131">
        <f>(R53*R51)</f>
        <v>-1</v>
      </c>
      <c r="S49" s="50"/>
      <c r="T49" s="59"/>
      <c r="U49" s="59"/>
      <c r="V49" s="59"/>
      <c r="W49" s="59"/>
      <c r="X49" s="59"/>
      <c r="Y49" s="59"/>
      <c r="Z49" s="59"/>
      <c r="AA49" s="59"/>
      <c r="AB49" s="59"/>
      <c r="AC49" s="50"/>
      <c r="AD49" s="50"/>
      <c r="AE49" s="50"/>
      <c r="AF49" s="50"/>
      <c r="AG49" s="59"/>
      <c r="AH49" s="59"/>
      <c r="AI49" s="59" t="s">
        <v>12</v>
      </c>
      <c r="AJ49" s="131" t="b">
        <f>IF(AK49&gt;0,"M")</f>
        <v>0</v>
      </c>
      <c r="AK49" s="131">
        <f>(AK53*AK51)</f>
        <v>-1</v>
      </c>
      <c r="AL49" s="50"/>
    </row>
    <row r="50" spans="1:38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0"/>
      <c r="K50" s="50"/>
      <c r="L50" s="50"/>
      <c r="M50" s="50"/>
      <c r="N50" s="59"/>
      <c r="O50" s="59"/>
      <c r="P50" s="59"/>
      <c r="Q50" s="131" t="str">
        <f>IF(R53+R54&lt;0,"-M")</f>
        <v>-M</v>
      </c>
      <c r="R50" s="131">
        <f>(R54*R52)</f>
        <v>-1</v>
      </c>
      <c r="S50" s="50"/>
      <c r="T50" s="59"/>
      <c r="U50" s="59"/>
      <c r="V50" s="59"/>
      <c r="W50" s="59"/>
      <c r="X50" s="59"/>
      <c r="Y50" s="59"/>
      <c r="Z50" s="59"/>
      <c r="AA50" s="59"/>
      <c r="AB50" s="59"/>
      <c r="AC50" s="50"/>
      <c r="AD50" s="50"/>
      <c r="AE50" s="50"/>
      <c r="AF50" s="50"/>
      <c r="AG50" s="59"/>
      <c r="AH50" s="59"/>
      <c r="AI50" s="59"/>
      <c r="AJ50" s="131" t="str">
        <f>IF(AK53+AK54&lt;0,"-M")</f>
        <v>-M</v>
      </c>
      <c r="AK50" s="131">
        <f>(AK54*AK52)</f>
        <v>-1</v>
      </c>
      <c r="AL50" s="50"/>
    </row>
    <row r="51" spans="1:38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0"/>
      <c r="K51" s="50"/>
      <c r="L51" s="50"/>
      <c r="M51" s="50"/>
      <c r="N51" s="59"/>
      <c r="O51" s="59"/>
      <c r="P51" s="59"/>
      <c r="Q51" s="131" t="b">
        <f>IF(R53+R54&gt;0,"+M")</f>
        <v>0</v>
      </c>
      <c r="R51" s="131">
        <f>(P53*O53*N53)</f>
        <v>1</v>
      </c>
      <c r="S51" s="50"/>
      <c r="T51" s="59"/>
      <c r="U51" s="59"/>
      <c r="V51" s="59"/>
      <c r="W51" s="59"/>
      <c r="X51" s="59"/>
      <c r="Y51" s="59"/>
      <c r="Z51" s="59"/>
      <c r="AA51" s="59"/>
      <c r="AB51" s="59"/>
      <c r="AC51" s="50"/>
      <c r="AD51" s="50"/>
      <c r="AE51" s="50"/>
      <c r="AF51" s="50"/>
      <c r="AG51" s="59"/>
      <c r="AH51" s="59"/>
      <c r="AI51" s="59"/>
      <c r="AJ51" s="131" t="b">
        <f>IF(AK53+AK54&gt;0,"+M")</f>
        <v>0</v>
      </c>
      <c r="AK51" s="131">
        <f>(AI53*AH53*AG53)</f>
        <v>1</v>
      </c>
      <c r="AL51" s="50"/>
    </row>
    <row r="52" spans="1:38" x14ac:dyDescent="0.25">
      <c r="A52" s="131"/>
      <c r="B52" s="59"/>
      <c r="C52" s="131" t="str">
        <f>IF(S54&lt;690," BS ")</f>
        <v xml:space="preserve"> BS </v>
      </c>
      <c r="D52" s="131" t="b">
        <f>IF(S54&gt;3444," MB ")</f>
        <v>0</v>
      </c>
      <c r="E52" s="132">
        <f>P86</f>
        <v>-1</v>
      </c>
      <c r="F52" s="132">
        <f>P61</f>
        <v>-1</v>
      </c>
      <c r="G52" s="133"/>
      <c r="H52" s="132">
        <f>P38</f>
        <v>1</v>
      </c>
      <c r="I52" s="59"/>
      <c r="J52" s="50"/>
      <c r="K52" s="50"/>
      <c r="L52" s="50"/>
      <c r="M52" s="50"/>
      <c r="N52" s="131" t="str">
        <f>IF((M54+M53)=0,"E")</f>
        <v>E</v>
      </c>
      <c r="O52" s="131">
        <f>IF(Q53&gt;0,-1,1)</f>
        <v>1</v>
      </c>
      <c r="P52" s="131">
        <f>IF(Q53&lt;0,1,-1)</f>
        <v>1</v>
      </c>
      <c r="Q52" s="59"/>
      <c r="R52" s="131">
        <f>(P54*O54*N54)</f>
        <v>1</v>
      </c>
      <c r="S52" s="50"/>
      <c r="T52" s="131"/>
      <c r="U52" s="59"/>
      <c r="V52" s="131" t="str">
        <f>IF(AL54&lt;690," BS ")</f>
        <v xml:space="preserve"> BS </v>
      </c>
      <c r="W52" s="131" t="b">
        <f>IF(AL54&gt;3444," MB ")</f>
        <v>0</v>
      </c>
      <c r="X52" s="132">
        <f>AI86</f>
        <v>-1</v>
      </c>
      <c r="Y52" s="132">
        <f>AI61</f>
        <v>-1</v>
      </c>
      <c r="Z52" s="133"/>
      <c r="AA52" s="132">
        <f>AI38</f>
        <v>1</v>
      </c>
      <c r="AB52" s="59"/>
      <c r="AC52" s="50"/>
      <c r="AD52" s="50"/>
      <c r="AE52" s="50"/>
      <c r="AF52" s="50"/>
      <c r="AG52" s="131" t="str">
        <f>IF((AF54+AF53)=0,"E")</f>
        <v>E</v>
      </c>
      <c r="AH52" s="131">
        <f>IF(AJ53&gt;0,-1,1)</f>
        <v>1</v>
      </c>
      <c r="AI52" s="131">
        <f>IF(AJ53&lt;0,1,-1)</f>
        <v>1</v>
      </c>
      <c r="AJ52" s="59"/>
      <c r="AK52" s="131">
        <f>(AI54*AH54*AG54)</f>
        <v>1</v>
      </c>
      <c r="AL52" s="50"/>
    </row>
    <row r="53" spans="1:38" x14ac:dyDescent="0.25">
      <c r="A53" s="59"/>
      <c r="B53" s="59"/>
      <c r="C53" s="131" t="b">
        <f>IF(S54&gt;690," AS ")</f>
        <v>0</v>
      </c>
      <c r="D53" s="59"/>
      <c r="E53" s="45">
        <f>P84</f>
        <v>1</v>
      </c>
      <c r="F53" s="45">
        <f>P59</f>
        <v>1</v>
      </c>
      <c r="G53" s="131"/>
      <c r="H53" s="45">
        <f>P36</f>
        <v>-1</v>
      </c>
      <c r="I53" s="59"/>
      <c r="J53" s="50"/>
      <c r="K53" s="50"/>
      <c r="L53" s="50"/>
      <c r="M53" s="134"/>
      <c r="N53" s="125">
        <f>O85</f>
        <v>-1</v>
      </c>
      <c r="O53" s="125">
        <f>O60</f>
        <v>-1</v>
      </c>
      <c r="P53" s="125">
        <f>(O38)</f>
        <v>1</v>
      </c>
      <c r="Q53" s="135">
        <f>(Q46+Q69+Q94)</f>
        <v>-1825.2359602237766</v>
      </c>
      <c r="R53" s="136">
        <f>(P53+O53+N53)</f>
        <v>-1</v>
      </c>
      <c r="S53" s="137">
        <f>INT(R53)+R53</f>
        <v>-2</v>
      </c>
      <c r="T53" s="59"/>
      <c r="U53" s="59"/>
      <c r="V53" s="131" t="b">
        <f>IF(AL54&gt;690," AS ")</f>
        <v>0</v>
      </c>
      <c r="W53" s="59"/>
      <c r="X53" s="45">
        <f>AI84</f>
        <v>1</v>
      </c>
      <c r="Y53" s="45">
        <f>AI59</f>
        <v>1</v>
      </c>
      <c r="Z53" s="131"/>
      <c r="AA53" s="45">
        <f>AI36</f>
        <v>-1</v>
      </c>
      <c r="AB53" s="59"/>
      <c r="AC53" s="50"/>
      <c r="AD53" s="50"/>
      <c r="AE53" s="50"/>
      <c r="AF53" s="134"/>
      <c r="AG53" s="125">
        <f>AH85</f>
        <v>-1</v>
      </c>
      <c r="AH53" s="125">
        <f>AH60</f>
        <v>-1</v>
      </c>
      <c r="AI53" s="125">
        <f>(AH38)</f>
        <v>1</v>
      </c>
      <c r="AJ53" s="135">
        <f>(AJ46+AJ69+AJ94)</f>
        <v>-1120.0903194886416</v>
      </c>
      <c r="AK53" s="136">
        <f>(AI53+AH53+AG53)</f>
        <v>-1</v>
      </c>
      <c r="AL53" s="137">
        <f>INT(AK53)+AK53</f>
        <v>-2</v>
      </c>
    </row>
    <row r="54" spans="1:38" x14ac:dyDescent="0.25">
      <c r="A54" s="59"/>
      <c r="B54" s="59"/>
      <c r="C54" s="131" t="b">
        <f>IF(S54=0," F ")</f>
        <v>0</v>
      </c>
      <c r="D54" s="59"/>
      <c r="E54" s="45">
        <f>P87</f>
        <v>-1</v>
      </c>
      <c r="F54" s="45">
        <f>P62</f>
        <v>1</v>
      </c>
      <c r="G54" s="131"/>
      <c r="H54" s="45">
        <f>P39</f>
        <v>-1</v>
      </c>
      <c r="I54" s="59"/>
      <c r="J54" s="50"/>
      <c r="K54" s="50"/>
      <c r="L54" s="50"/>
      <c r="M54" s="134"/>
      <c r="N54" s="125">
        <f>O86</f>
        <v>-1</v>
      </c>
      <c r="O54" s="125">
        <f>O61</f>
        <v>-1</v>
      </c>
      <c r="P54" s="125">
        <f>O37</f>
        <v>1</v>
      </c>
      <c r="Q54" s="131" t="b">
        <f>IF(Q53&gt;0,Q55)</f>
        <v>0</v>
      </c>
      <c r="R54" s="138">
        <f>(P54+O54+N54)</f>
        <v>-1</v>
      </c>
      <c r="S54" s="137">
        <f>(S53^8)</f>
        <v>256</v>
      </c>
      <c r="T54" s="59"/>
      <c r="U54" s="59"/>
      <c r="V54" s="131" t="b">
        <f>IF(AL54=0," F ")</f>
        <v>0</v>
      </c>
      <c r="W54" s="59"/>
      <c r="X54" s="45">
        <f>AI87</f>
        <v>-1</v>
      </c>
      <c r="Y54" s="45">
        <f>AI62</f>
        <v>-1</v>
      </c>
      <c r="Z54" s="131"/>
      <c r="AA54" s="45">
        <f>AI39</f>
        <v>-1</v>
      </c>
      <c r="AB54" s="59"/>
      <c r="AC54" s="50"/>
      <c r="AD54" s="50"/>
      <c r="AE54" s="50"/>
      <c r="AF54" s="134"/>
      <c r="AG54" s="125">
        <f>AH86</f>
        <v>-1</v>
      </c>
      <c r="AH54" s="125">
        <f>AH61</f>
        <v>-1</v>
      </c>
      <c r="AI54" s="125">
        <f>AH37</f>
        <v>1</v>
      </c>
      <c r="AJ54" s="131" t="b">
        <f>IF(AJ53&gt;0,AJ55)</f>
        <v>0</v>
      </c>
      <c r="AK54" s="138">
        <f>(AI54+AH54+AG54)</f>
        <v>-1</v>
      </c>
      <c r="AL54" s="137">
        <f>(AL53^8)</f>
        <v>256</v>
      </c>
    </row>
    <row r="55" spans="1:38" x14ac:dyDescent="0.25">
      <c r="A55" s="59"/>
      <c r="B55" s="59"/>
      <c r="C55" s="131" t="b">
        <f>IF(S54&gt;1797," UB ")</f>
        <v>0</v>
      </c>
      <c r="D55" s="59"/>
      <c r="E55" s="139">
        <f>P85</f>
        <v>1</v>
      </c>
      <c r="F55" s="139">
        <f>P60</f>
        <v>1</v>
      </c>
      <c r="G55" s="140"/>
      <c r="H55" s="139">
        <f>P37</f>
        <v>-1</v>
      </c>
      <c r="I55" s="59"/>
      <c r="J55" s="50"/>
      <c r="K55" s="50"/>
      <c r="L55" s="50"/>
      <c r="M55" s="50"/>
      <c r="N55" s="59"/>
      <c r="O55" s="59"/>
      <c r="P55" s="59"/>
      <c r="Q55" s="141">
        <f>-OR33+1</f>
        <v>1</v>
      </c>
      <c r="R55" s="131"/>
      <c r="S55" s="50"/>
      <c r="T55" s="59"/>
      <c r="U55" s="59"/>
      <c r="V55" s="131" t="b">
        <f>IF(AL54&gt;1797," UB ")</f>
        <v>0</v>
      </c>
      <c r="W55" s="59"/>
      <c r="X55" s="139">
        <f>AI85</f>
        <v>1</v>
      </c>
      <c r="Y55" s="139">
        <f>AI60</f>
        <v>1</v>
      </c>
      <c r="Z55" s="140"/>
      <c r="AA55" s="139">
        <f>AI37</f>
        <v>1</v>
      </c>
      <c r="AB55" s="59"/>
      <c r="AC55" s="50"/>
      <c r="AD55" s="50"/>
      <c r="AE55" s="50"/>
      <c r="AF55" s="50"/>
      <c r="AG55" s="59"/>
      <c r="AH55" s="59"/>
      <c r="AI55" s="59"/>
      <c r="AJ55" s="141">
        <f>-PK33+1</f>
        <v>1</v>
      </c>
      <c r="AK55" s="131"/>
      <c r="AL55" s="50"/>
    </row>
    <row r="56" spans="1:38" x14ac:dyDescent="0.25">
      <c r="A56" s="45">
        <f>P71</f>
        <v>224.79411241947116</v>
      </c>
      <c r="B56" s="47">
        <f>(A56*10^0.125)</f>
        <v>299.76776673549642</v>
      </c>
      <c r="C56" s="47">
        <f>INT(B56)</f>
        <v>299</v>
      </c>
      <c r="D56" s="47">
        <f>C56*4</f>
        <v>1196</v>
      </c>
      <c r="E56" s="47">
        <f>D56/5</f>
        <v>239.2</v>
      </c>
      <c r="F56" s="48">
        <f>E56^2</f>
        <v>57216.639999999992</v>
      </c>
      <c r="G56" s="48">
        <f>(F56^0.125)</f>
        <v>3.9326952517764404</v>
      </c>
      <c r="H56" s="48">
        <f>G56/3</f>
        <v>1.3108984172588134</v>
      </c>
      <c r="I56" s="48">
        <f>(H56*100)</f>
        <v>131.08984172588134</v>
      </c>
      <c r="J56" s="48">
        <f>(F56/100)</f>
        <v>572.16639999999995</v>
      </c>
      <c r="K56" s="48">
        <f>(J56+I56)/2</f>
        <v>351.62812086294065</v>
      </c>
      <c r="L56" s="48">
        <f>(K56+I56)/2</f>
        <v>241.358981294411</v>
      </c>
      <c r="M56" s="48">
        <f>(L56+A56)/2</f>
        <v>233.07654685694109</v>
      </c>
      <c r="N56" s="48">
        <f>M56*100^0.5</f>
        <v>2330.765468569411</v>
      </c>
      <c r="O56" s="48">
        <f>INT(N56)/10</f>
        <v>233</v>
      </c>
      <c r="P56" s="48">
        <f>(O56)^2/10000</f>
        <v>5.4288999999999996</v>
      </c>
      <c r="Q56" s="48">
        <f>(P56+I56+M56)/3</f>
        <v>123.19842952760747</v>
      </c>
      <c r="R56" s="49">
        <f>Q61^0.5</f>
        <v>32.466855155681465</v>
      </c>
      <c r="S56" s="50"/>
      <c r="T56" s="45">
        <f>AI71</f>
        <v>224.54010777266953</v>
      </c>
      <c r="U56" s="47">
        <f>(T56*10^0.125)</f>
        <v>299.42904609511737</v>
      </c>
      <c r="V56" s="47">
        <f>INT(U56)</f>
        <v>299</v>
      </c>
      <c r="W56" s="47">
        <f>V56*4</f>
        <v>1196</v>
      </c>
      <c r="X56" s="47">
        <f>W56/5</f>
        <v>239.2</v>
      </c>
      <c r="Y56" s="48">
        <f>X56^2</f>
        <v>57216.639999999992</v>
      </c>
      <c r="Z56" s="48">
        <f>(Y56^0.125)</f>
        <v>3.9326952517764404</v>
      </c>
      <c r="AA56" s="48">
        <f>Z56/3</f>
        <v>1.3108984172588134</v>
      </c>
      <c r="AB56" s="48">
        <f>(AA56*100)</f>
        <v>131.08984172588134</v>
      </c>
      <c r="AC56" s="48">
        <f>(Y56/100)</f>
        <v>572.16639999999995</v>
      </c>
      <c r="AD56" s="48">
        <f>(AC56+AB56)/2</f>
        <v>351.62812086294065</v>
      </c>
      <c r="AE56" s="48">
        <f>(AD56+AB56)/2</f>
        <v>241.358981294411</v>
      </c>
      <c r="AF56" s="48">
        <f>(AE56+T56)/2</f>
        <v>232.94954453354026</v>
      </c>
      <c r="AG56" s="48">
        <f>AF56*100^0.5</f>
        <v>2329.4954453354026</v>
      </c>
      <c r="AH56" s="48">
        <f>INT(AG56)/10</f>
        <v>232.9</v>
      </c>
      <c r="AI56" s="48">
        <f>(AH56)^2/10000</f>
        <v>5.4242410000000003</v>
      </c>
      <c r="AJ56" s="48">
        <f>(AI56+AB56+AF56)/3</f>
        <v>123.15454241980721</v>
      </c>
      <c r="AK56" s="49">
        <f>AJ61^0.5</f>
        <v>32.466855155681465</v>
      </c>
      <c r="AL56" s="50"/>
    </row>
    <row r="57" spans="1:38" x14ac:dyDescent="0.25">
      <c r="A57" s="51">
        <f>(O58-O57)</f>
        <v>3.5698859076485121</v>
      </c>
      <c r="B57" s="47">
        <f>(B58+A59)/2</f>
        <v>217.99461748423508</v>
      </c>
      <c r="C57" s="52">
        <f>(D59*C59*B59*C58*D58*A57)</f>
        <v>13383219916436.4</v>
      </c>
      <c r="D57" s="47">
        <f>(C58*C57*A57)</f>
        <v>14451259361.301332</v>
      </c>
      <c r="E57" s="51">
        <f>INT(A57+1)</f>
        <v>4</v>
      </c>
      <c r="F57" s="53">
        <f>(Q69*-1)</f>
        <v>2.966932551609784</v>
      </c>
      <c r="G57" s="54"/>
      <c r="H57" s="45">
        <f>IF(F57&lt;0,1,-1)</f>
        <v>-1</v>
      </c>
      <c r="I57" s="54"/>
      <c r="J57" s="54"/>
      <c r="K57" s="54"/>
      <c r="L57" s="54"/>
      <c r="M57" s="54"/>
      <c r="N57" s="54">
        <f>(M56+O56)/2</f>
        <v>233.03827342847055</v>
      </c>
      <c r="O57" s="54">
        <f>N57-A56</f>
        <v>8.2441610089993844</v>
      </c>
      <c r="P57" s="54">
        <f>(Q61+R59)/2</f>
        <v>1039.04834185</v>
      </c>
      <c r="Q57" s="55">
        <f>(Q60*A57*100)</f>
        <v>-28.111169836254156</v>
      </c>
      <c r="R57" s="49">
        <f>INT(R56)</f>
        <v>32</v>
      </c>
      <c r="S57" s="50"/>
      <c r="T57" s="51">
        <f>(AH58-AH57)</f>
        <v>3.2651626470210147</v>
      </c>
      <c r="U57" s="47">
        <f>(U58+T59)/2</f>
        <v>217.89890354035347</v>
      </c>
      <c r="V57" s="52">
        <f>(W59*V59*U59*V58*W58*T57)</f>
        <v>5002817497789.8506</v>
      </c>
      <c r="W57" s="47">
        <f>(V58*V57*T57)</f>
        <v>6112902652.4664106</v>
      </c>
      <c r="X57" s="51">
        <f>INT(T57+1)</f>
        <v>4</v>
      </c>
      <c r="Y57" s="53">
        <f>(AJ69*-1)</f>
        <v>17.087116278279588</v>
      </c>
      <c r="Z57" s="54"/>
      <c r="AA57" s="45">
        <f>IF(Y57&lt;0,1,-1)</f>
        <v>-1</v>
      </c>
      <c r="AB57" s="54"/>
      <c r="AC57" s="54"/>
      <c r="AD57" s="54"/>
      <c r="AE57" s="54"/>
      <c r="AF57" s="54"/>
      <c r="AG57" s="54">
        <f>(AF56+AH56)/2</f>
        <v>232.92477226677013</v>
      </c>
      <c r="AH57" s="54">
        <f>AG57-T56</f>
        <v>8.3846644941006048</v>
      </c>
      <c r="AI57" s="54">
        <f>(AJ61+AK59)/2</f>
        <v>1039.04834185</v>
      </c>
      <c r="AJ57" s="55">
        <f>(AJ60*T57*100)</f>
        <v>80.600704487819854</v>
      </c>
      <c r="AK57" s="49">
        <f>INT(AK56)</f>
        <v>32</v>
      </c>
      <c r="AL57" s="50"/>
    </row>
    <row r="58" spans="1:38" x14ac:dyDescent="0.25">
      <c r="A58" s="51">
        <f>N57</f>
        <v>233.03827342847055</v>
      </c>
      <c r="B58" s="51">
        <f>(N57+N59)/2</f>
        <v>223.00916946564689</v>
      </c>
      <c r="C58" s="47">
        <f>(A57/D59)</f>
        <v>3.0247587702961134E-4</v>
      </c>
      <c r="D58" s="47">
        <f>(A57+B59+C59+D59)</f>
        <v>26914.052451431933</v>
      </c>
      <c r="E58" s="57">
        <f>(E57*C59)</f>
        <v>13224.195064019646</v>
      </c>
      <c r="F58" s="58"/>
      <c r="G58" s="54"/>
      <c r="H58" s="54"/>
      <c r="I58" s="54"/>
      <c r="J58" s="54"/>
      <c r="K58" s="54"/>
      <c r="L58" s="54"/>
      <c r="M58" s="54">
        <f>(N57+N59)/2</f>
        <v>223.00916946564689</v>
      </c>
      <c r="N58" s="54">
        <f>(I56+N57)/2</f>
        <v>182.06405757717596</v>
      </c>
      <c r="O58" s="54">
        <f>A56-N59</f>
        <v>11.814046916647897</v>
      </c>
      <c r="P58" s="54"/>
      <c r="Q58" s="48"/>
      <c r="R58" s="59"/>
      <c r="S58" s="50"/>
      <c r="T58" s="51">
        <f>AG57</f>
        <v>232.92477226677013</v>
      </c>
      <c r="U58" s="51">
        <f>(AG57+AG59)/2</f>
        <v>222.90752644915904</v>
      </c>
      <c r="V58" s="47">
        <f>(T57/W59)</f>
        <v>3.7422086645792991E-4</v>
      </c>
      <c r="W58" s="47">
        <f>(T57+U59+V59+W59)</f>
        <v>20125.941285221259</v>
      </c>
      <c r="X58" s="57">
        <f>(X57*V59)</f>
        <v>10688.874829083539</v>
      </c>
      <c r="Y58" s="58"/>
      <c r="Z58" s="54"/>
      <c r="AA58" s="54"/>
      <c r="AB58" s="54"/>
      <c r="AC58" s="54"/>
      <c r="AD58" s="54"/>
      <c r="AE58" s="54"/>
      <c r="AF58" s="54">
        <f>(AG57+AG59)/2</f>
        <v>222.90752644915904</v>
      </c>
      <c r="AG58" s="54">
        <f>(AB56+AG57)/2</f>
        <v>182.00730699632572</v>
      </c>
      <c r="AH58" s="54">
        <f>T56-AG59</f>
        <v>11.649827141121619</v>
      </c>
      <c r="AI58" s="54"/>
      <c r="AJ58" s="48"/>
      <c r="AK58" s="59"/>
      <c r="AL58" s="50"/>
    </row>
    <row r="59" spans="1:38" x14ac:dyDescent="0.25">
      <c r="A59" s="60">
        <f>N59</f>
        <v>212.98006550282327</v>
      </c>
      <c r="B59" s="47">
        <f>G65</f>
        <v>11802.216899759687</v>
      </c>
      <c r="C59" s="47">
        <f>(B59/A57)</f>
        <v>3306.0487660049116</v>
      </c>
      <c r="D59" s="47">
        <f>(A57*C59)</f>
        <v>11802.216899759687</v>
      </c>
      <c r="E59" s="51">
        <f>INT(A57)+1</f>
        <v>4</v>
      </c>
      <c r="F59" s="58">
        <f>(Q69)</f>
        <v>-2.966932551609784</v>
      </c>
      <c r="G59" s="54"/>
      <c r="H59" s="45">
        <f>IF(F57&gt;0,-1,1)</f>
        <v>-1</v>
      </c>
      <c r="I59" s="54"/>
      <c r="J59" s="54"/>
      <c r="K59" s="54"/>
      <c r="L59" s="54"/>
      <c r="M59" s="54">
        <f>(N58+P56*2)</f>
        <v>192.92185757717596</v>
      </c>
      <c r="N59" s="54">
        <f>(N57+M59)/2</f>
        <v>212.98006550282327</v>
      </c>
      <c r="O59" s="54">
        <f>(N58+J56)/2</f>
        <v>377.11522878858796</v>
      </c>
      <c r="P59" s="45">
        <f>IF(Q69&gt;1,-1,1)</f>
        <v>1</v>
      </c>
      <c r="Q59" s="55">
        <f>F67-F64</f>
        <v>-3.0555540646547072</v>
      </c>
      <c r="R59" s="49">
        <f>R57^2</f>
        <v>1024</v>
      </c>
      <c r="S59" s="50"/>
      <c r="T59" s="60">
        <f>AG59</f>
        <v>212.89028063154791</v>
      </c>
      <c r="U59" s="47">
        <f>Z65</f>
        <v>8725.2287076516768</v>
      </c>
      <c r="V59" s="47">
        <f>(U59/T57)</f>
        <v>2672.2187072708848</v>
      </c>
      <c r="W59" s="47">
        <f>(T57*V59)</f>
        <v>8725.2287076516768</v>
      </c>
      <c r="X59" s="51">
        <f>INT(T57)+1</f>
        <v>4</v>
      </c>
      <c r="Y59" s="58">
        <f>(AJ69)</f>
        <v>-17.087116278279588</v>
      </c>
      <c r="Z59" s="54"/>
      <c r="AA59" s="45">
        <f>IF(Y57&gt;0,-1,1)</f>
        <v>-1</v>
      </c>
      <c r="AB59" s="54"/>
      <c r="AC59" s="54"/>
      <c r="AD59" s="54"/>
      <c r="AE59" s="54"/>
      <c r="AF59" s="54">
        <f>(AG58+AI56*2)</f>
        <v>192.85578899632571</v>
      </c>
      <c r="AG59" s="54">
        <f>(AG57+AF59)/2</f>
        <v>212.89028063154791</v>
      </c>
      <c r="AH59" s="54">
        <f>(AG58+AC56)/2</f>
        <v>377.08685349816284</v>
      </c>
      <c r="AI59" s="45">
        <f>IF(AJ69&gt;1,-1,1)</f>
        <v>1</v>
      </c>
      <c r="AJ59" s="55">
        <f>Y67-Y64</f>
        <v>-2.6963154109846332</v>
      </c>
      <c r="AK59" s="49">
        <f>AK57^2</f>
        <v>1024</v>
      </c>
      <c r="AL59" s="50"/>
    </row>
    <row r="60" spans="1:38" x14ac:dyDescent="0.25">
      <c r="A60" s="60">
        <f>(O58+O57)+A56</f>
        <v>244.85232034511844</v>
      </c>
      <c r="B60" s="47">
        <f>(A58+B58)/2</f>
        <v>228.02372144705873</v>
      </c>
      <c r="C60" s="51">
        <f>(C58)</f>
        <v>3.0247587702961134E-4</v>
      </c>
      <c r="D60" s="47">
        <f>(D57*D58*D59*B59*A57)</f>
        <v>1.9340438210175595E+23</v>
      </c>
      <c r="E60" s="47">
        <f>(C60*A57)</f>
        <v>1.0798043708116337E-3</v>
      </c>
      <c r="F60" s="54">
        <f>(F62/O62)*O63-F63</f>
        <v>4.1967162564183713</v>
      </c>
      <c r="G60" s="54"/>
      <c r="H60" s="54"/>
      <c r="I60" s="54"/>
      <c r="J60" s="54"/>
      <c r="K60" s="54"/>
      <c r="L60" s="54"/>
      <c r="M60" s="54"/>
      <c r="N60" s="47">
        <f>(F60+Q69)*F63</f>
        <v>3.6486853052358752</v>
      </c>
      <c r="O60" s="45">
        <f>H59</f>
        <v>-1</v>
      </c>
      <c r="P60" s="45">
        <f>IF(Q69&lt;100,1,-1)</f>
        <v>1</v>
      </c>
      <c r="Q60" s="55">
        <f>Q59+F67</f>
        <v>-7.8745289243070005E-2</v>
      </c>
      <c r="R60" s="59"/>
      <c r="S60" s="50"/>
      <c r="T60" s="60">
        <f>(AH58+AH57)+T56</f>
        <v>244.57459940789175</v>
      </c>
      <c r="U60" s="47">
        <f>(T58+U58)/2</f>
        <v>227.91614935796457</v>
      </c>
      <c r="V60" s="51">
        <f>(V58)</f>
        <v>3.7422086645792991E-4</v>
      </c>
      <c r="W60" s="47">
        <f>(W57*W58*W59*U59*T57)</f>
        <v>3.0581736352044957E+22</v>
      </c>
      <c r="X60" s="47">
        <f>(V60*T57)</f>
        <v>1.2218919948942721E-3</v>
      </c>
      <c r="Y60" s="54">
        <f>(Y62/AH62)*AH63-Y63</f>
        <v>-13.837961367384453</v>
      </c>
      <c r="Z60" s="54"/>
      <c r="AA60" s="54"/>
      <c r="AB60" s="54"/>
      <c r="AC60" s="54"/>
      <c r="AD60" s="54"/>
      <c r="AE60" s="54"/>
      <c r="AF60" s="54"/>
      <c r="AG60" s="47">
        <f>(Y60+AJ69)*Y63</f>
        <v>-528.42039764628623</v>
      </c>
      <c r="AH60" s="45">
        <f>AA59</f>
        <v>-1</v>
      </c>
      <c r="AI60" s="45">
        <f>IF(AJ69&lt;100,1,-1)</f>
        <v>1</v>
      </c>
      <c r="AJ60" s="55">
        <f>AJ59+Y67</f>
        <v>0.24685050394459296</v>
      </c>
      <c r="AK60" s="59"/>
      <c r="AL60" s="50"/>
    </row>
    <row r="61" spans="1:38" x14ac:dyDescent="0.25">
      <c r="A61" s="60">
        <f>(O58*-1-O57)+A56</f>
        <v>204.73590449382388</v>
      </c>
      <c r="B61" s="47">
        <f>(B58+B57)/2</f>
        <v>220.50189347494097</v>
      </c>
      <c r="C61" s="47">
        <f>(B57+A59)/2</f>
        <v>215.48734149352919</v>
      </c>
      <c r="D61" s="47">
        <f>D57</f>
        <v>14451259361.301332</v>
      </c>
      <c r="E61" s="47">
        <f>(B58+A56)/2</f>
        <v>223.90164094255903</v>
      </c>
      <c r="F61" s="54">
        <f>(F63/O63)</f>
        <v>0.71296962603683545</v>
      </c>
      <c r="G61" s="54"/>
      <c r="H61" s="54"/>
      <c r="I61" s="54"/>
      <c r="J61" s="54"/>
      <c r="K61" s="54"/>
      <c r="L61" s="54"/>
      <c r="M61" s="54"/>
      <c r="N61" s="54"/>
      <c r="O61" s="45">
        <f>H57</f>
        <v>-1</v>
      </c>
      <c r="P61" s="45">
        <f>IF(Q69&lt;0,-1,1)</f>
        <v>-1</v>
      </c>
      <c r="Q61" s="58">
        <f>Q38</f>
        <v>1054.0966837000001</v>
      </c>
      <c r="R61" s="59"/>
      <c r="S61" s="50"/>
      <c r="T61" s="60">
        <f>(AH58*-1-AH57)+T56</f>
        <v>204.5056161374473</v>
      </c>
      <c r="U61" s="47">
        <f>(U58+U57)/2</f>
        <v>220.40321499475624</v>
      </c>
      <c r="V61" s="47">
        <f>(U57+T59)/2</f>
        <v>215.39459208595071</v>
      </c>
      <c r="W61" s="47">
        <f>W57</f>
        <v>6112902652.4664106</v>
      </c>
      <c r="X61" s="47">
        <f>(U58+T56)/2</f>
        <v>223.7238171109143</v>
      </c>
      <c r="Y61" s="54">
        <f>(Y63/AH63)</f>
        <v>7.2460020585170328</v>
      </c>
      <c r="Z61" s="54"/>
      <c r="AA61" s="54"/>
      <c r="AB61" s="54"/>
      <c r="AC61" s="54"/>
      <c r="AD61" s="54"/>
      <c r="AE61" s="54"/>
      <c r="AF61" s="54"/>
      <c r="AG61" s="54"/>
      <c r="AH61" s="45">
        <f>AA57</f>
        <v>-1</v>
      </c>
      <c r="AI61" s="45">
        <f>IF(AJ69&lt;0,-1,1)</f>
        <v>-1</v>
      </c>
      <c r="AJ61" s="58">
        <f>AJ38</f>
        <v>1054.0966837000001</v>
      </c>
      <c r="AK61" s="59"/>
      <c r="AL61" s="50"/>
    </row>
    <row r="62" spans="1:38" x14ac:dyDescent="0.25">
      <c r="A62" s="51">
        <f>(A61-A60)+A56-A58</f>
        <v>-48.360576860293946</v>
      </c>
      <c r="B62" s="51">
        <f>(A62*-1)+A63</f>
        <v>20.058207925647281</v>
      </c>
      <c r="C62" s="51">
        <f>(B62/2)+A57</f>
        <v>13.598989870472153</v>
      </c>
      <c r="D62" s="51">
        <f>(C70+C63+B69+B62+A57)*-1</f>
        <v>7.8024053315184396</v>
      </c>
      <c r="E62" s="51">
        <f>(C62*A57)*D62</f>
        <v>378.78214116535389</v>
      </c>
      <c r="F62" s="45">
        <f>(E62*A57)</f>
        <v>1352.2090278151263</v>
      </c>
      <c r="G62" s="45">
        <f>(F62+E62)</f>
        <v>1730.9911689804803</v>
      </c>
      <c r="H62" s="54"/>
      <c r="I62" s="54"/>
      <c r="J62" s="54"/>
      <c r="K62" s="54"/>
      <c r="L62" s="54"/>
      <c r="M62" s="54"/>
      <c r="N62" s="54"/>
      <c r="O62" s="54">
        <v>785.5</v>
      </c>
      <c r="P62" s="45">
        <f>IF(N60&gt;-1,1,-1)</f>
        <v>1</v>
      </c>
      <c r="Q62" s="48">
        <f>Q39</f>
        <v>0.9</v>
      </c>
      <c r="R62" s="59"/>
      <c r="S62" s="50"/>
      <c r="T62" s="51">
        <f>(T61-T60)+T56-T58</f>
        <v>-48.453647764545053</v>
      </c>
      <c r="U62" s="51">
        <f>(T62*-1)+T63</f>
        <v>20.034491635222224</v>
      </c>
      <c r="V62" s="51">
        <f>(U62/2)+T57</f>
        <v>13.282408464632127</v>
      </c>
      <c r="W62" s="51">
        <f>(V70+V63+U69+U62+T57)*-1</f>
        <v>7.6429288140771732</v>
      </c>
      <c r="X62" s="51">
        <f>(V62*T57)*W62</f>
        <v>331.4678916100234</v>
      </c>
      <c r="Y62" s="45">
        <f>(X62*T57)</f>
        <v>1082.2965783718587</v>
      </c>
      <c r="Z62" s="45">
        <f>(Y62+X62)</f>
        <v>1413.764469981882</v>
      </c>
      <c r="AA62" s="54"/>
      <c r="AB62" s="54"/>
      <c r="AC62" s="54"/>
      <c r="AD62" s="54"/>
      <c r="AE62" s="54"/>
      <c r="AF62" s="54"/>
      <c r="AG62" s="54"/>
      <c r="AH62" s="54">
        <v>785.5</v>
      </c>
      <c r="AI62" s="45">
        <f>IF(AG60&gt;-1,1,-1)</f>
        <v>-1</v>
      </c>
      <c r="AJ62" s="48">
        <f>AJ39</f>
        <v>0.51</v>
      </c>
      <c r="AK62" s="59"/>
      <c r="AL62" s="50"/>
    </row>
    <row r="63" spans="1:38" x14ac:dyDescent="0.25">
      <c r="A63" s="51">
        <f>(A61-A60)+A56-A59</f>
        <v>-28.302368934646665</v>
      </c>
      <c r="B63" s="51">
        <f>A64+(A63*-1)+A62</f>
        <v>-96.721153720587893</v>
      </c>
      <c r="C63" s="47">
        <f>(B63/10)</f>
        <v>-9.6721153720587889</v>
      </c>
      <c r="D63" s="47"/>
      <c r="E63" s="47"/>
      <c r="F63" s="54">
        <f>(Q69*-1)</f>
        <v>2.966932551609784</v>
      </c>
      <c r="G63" s="54"/>
      <c r="H63" s="54"/>
      <c r="I63" s="54"/>
      <c r="J63" s="54"/>
      <c r="K63" s="54"/>
      <c r="L63" s="54"/>
      <c r="M63" s="54"/>
      <c r="N63" s="54"/>
      <c r="O63" s="54">
        <f>(H71/1000)*8.9</f>
        <v>4.1613730000000002</v>
      </c>
      <c r="P63" s="45">
        <f>(P65+O67)/2</f>
        <v>1013.414158661207</v>
      </c>
      <c r="Q63" s="48">
        <f>H71/(Q70*1000)</f>
        <v>0.11239663461538461</v>
      </c>
      <c r="R63" s="59"/>
      <c r="S63" s="50"/>
      <c r="T63" s="51">
        <f>(T61-T60)+T56-T59</f>
        <v>-28.419156129322829</v>
      </c>
      <c r="U63" s="51">
        <f>T64+(T63*-1)+T62</f>
        <v>-96.907295529090106</v>
      </c>
      <c r="V63" s="47">
        <f>(U63/10)</f>
        <v>-9.6907295529090103</v>
      </c>
      <c r="W63" s="47"/>
      <c r="X63" s="47"/>
      <c r="Y63" s="54">
        <f>(AJ69*-1)</f>
        <v>17.087116278279588</v>
      </c>
      <c r="Z63" s="54"/>
      <c r="AA63" s="54"/>
      <c r="AB63" s="54"/>
      <c r="AC63" s="54"/>
      <c r="AD63" s="54"/>
      <c r="AE63" s="54"/>
      <c r="AF63" s="54"/>
      <c r="AG63" s="54"/>
      <c r="AH63" s="54">
        <f>(AA71/1000)*8.9</f>
        <v>2.3581439999999998</v>
      </c>
      <c r="AI63" s="45">
        <f>(AI65+AH67)/2</f>
        <v>1014.1107840616264</v>
      </c>
      <c r="AJ63" s="48">
        <f>AA71/(AJ70*1000)</f>
        <v>0.11227118644067796</v>
      </c>
      <c r="AK63" s="59"/>
      <c r="AL63" s="50"/>
    </row>
    <row r="64" spans="1:38" x14ac:dyDescent="0.25">
      <c r="A64" s="51">
        <f>(A63+A62)</f>
        <v>-76.662945794940612</v>
      </c>
      <c r="B64" s="47"/>
      <c r="C64" s="47">
        <f>((F64+E64*-1)+E68)*10-A57+O64*-1-C60*111</f>
        <v>10.153284872410193</v>
      </c>
      <c r="D64" s="47"/>
      <c r="E64" s="47">
        <f>(E68+O64+F64)</f>
        <v>-4.1774299517735258E-2</v>
      </c>
      <c r="F64" s="54">
        <f>(O64*E68)</f>
        <v>6.0323628400663445</v>
      </c>
      <c r="G64" s="54"/>
      <c r="H64" s="78">
        <f>(P65+H65)/2</f>
        <v>773.34599152929991</v>
      </c>
      <c r="I64" s="54"/>
      <c r="J64" s="54"/>
      <c r="K64" s="54"/>
      <c r="L64" s="54"/>
      <c r="M64" s="54"/>
      <c r="N64" s="54">
        <f>(A60-A56)-(A56-B61)</f>
        <v>15.76598898111709</v>
      </c>
      <c r="O64" s="45">
        <f>(P64+A57+C60*10)</f>
        <v>-1.2506132365826359</v>
      </c>
      <c r="P64" s="54">
        <f>E68</f>
        <v>-4.8235239030014441</v>
      </c>
      <c r="Q64" s="55">
        <f>(Q60*Q59*10)</f>
        <v>2.4061048861907315</v>
      </c>
      <c r="R64" s="59"/>
      <c r="S64" s="50"/>
      <c r="T64" s="51">
        <f>(T63+T62)</f>
        <v>-76.872803893867882</v>
      </c>
      <c r="U64" s="47"/>
      <c r="V64" s="47">
        <f>((Y64+X64*-1)+X68)*10-T57+AH64*-1-V60*111</f>
        <v>10.425847540706842</v>
      </c>
      <c r="W64" s="47"/>
      <c r="X64" s="47">
        <f>(X68+AH64+Y64)</f>
        <v>-0.12625056684531444</v>
      </c>
      <c r="Y64" s="54">
        <f>(AH64*X68)</f>
        <v>5.6394813259138594</v>
      </c>
      <c r="Z64" s="54"/>
      <c r="AA64" s="78">
        <f>(AI65+AA65)/2</f>
        <v>773.867827707694</v>
      </c>
      <c r="AB64" s="54"/>
      <c r="AC64" s="54"/>
      <c r="AD64" s="54"/>
      <c r="AE64" s="54"/>
      <c r="AF64" s="54"/>
      <c r="AG64" s="54">
        <f>(T60-T56)-(T56-U61)</f>
        <v>15.897598857308935</v>
      </c>
      <c r="AH64" s="45">
        <f>(AI64+T57+V60*10)</f>
        <v>-1.2484135185367902</v>
      </c>
      <c r="AI64" s="54">
        <f>X68</f>
        <v>-4.5173183742223841</v>
      </c>
      <c r="AJ64" s="55">
        <f>(AJ60*AJ59*10)</f>
        <v>-6.6558681799512893</v>
      </c>
      <c r="AK64" s="59"/>
      <c r="AL64" s="50"/>
    </row>
    <row r="65" spans="1:38" x14ac:dyDescent="0.25">
      <c r="A65" s="51">
        <f>(A56+A64)</f>
        <v>148.13116662453055</v>
      </c>
      <c r="B65" s="47">
        <f>(A56+A65)/2</f>
        <v>186.46263952200087</v>
      </c>
      <c r="C65" s="47">
        <f>(E61-A56)-(A56-B65)</f>
        <v>-39.223944374382427</v>
      </c>
      <c r="D65" s="51">
        <f>(B61+C61)/2</f>
        <v>217.99461748423508</v>
      </c>
      <c r="E65" s="51">
        <f>(A60+A66)</f>
        <v>450.48069631585446</v>
      </c>
      <c r="F65" s="78">
        <f>(G62*2)-G69</f>
        <v>3306.0487660049116</v>
      </c>
      <c r="G65" s="78">
        <f>(A57*F65)</f>
        <v>11802.216899759687</v>
      </c>
      <c r="H65" s="78">
        <f>(N67+P65)/2</f>
        <v>515.89404419516507</v>
      </c>
      <c r="I65" s="78"/>
      <c r="J65" s="78"/>
      <c r="K65" s="78"/>
      <c r="L65" s="78"/>
      <c r="M65" s="78"/>
      <c r="N65" s="78">
        <f>(O65+O66)/2</f>
        <v>1046.3157227386118</v>
      </c>
      <c r="O65" s="45">
        <f>(A59+C61)/2*Q70/Q62</f>
        <v>990.23578505823684</v>
      </c>
      <c r="P65" s="45">
        <f>B58*Q70/Q62</f>
        <v>1030.7979388634346</v>
      </c>
      <c r="Q65" s="48">
        <f>(A61+B58)/2</f>
        <v>213.8725369797354</v>
      </c>
      <c r="R65" s="59"/>
      <c r="S65" s="50"/>
      <c r="T65" s="51">
        <f>(T56+T64)</f>
        <v>147.66730387880165</v>
      </c>
      <c r="U65" s="47">
        <f>(T56+T65)/2</f>
        <v>186.10370582573557</v>
      </c>
      <c r="V65" s="47">
        <f>(X61-T56)-(T56-U65)</f>
        <v>-39.252692608689188</v>
      </c>
      <c r="W65" s="51">
        <f>(U61+V61)/2</f>
        <v>217.89890354035347</v>
      </c>
      <c r="X65" s="51">
        <f>(T60+T66)</f>
        <v>449.89650620709432</v>
      </c>
      <c r="Y65" s="78">
        <f>(Z62*2)-Z69</f>
        <v>2672.2187072708853</v>
      </c>
      <c r="Z65" s="78">
        <f>(T57*Y65)</f>
        <v>8725.2287076516768</v>
      </c>
      <c r="AA65" s="78">
        <f>(AG67+AI65)/2</f>
        <v>516.24200361143664</v>
      </c>
      <c r="AB65" s="78"/>
      <c r="AC65" s="78"/>
      <c r="AD65" s="78"/>
      <c r="AE65" s="78"/>
      <c r="AF65" s="78"/>
      <c r="AG65" s="78">
        <f>(AH65+AH66)/2</f>
        <v>1046.9237111783118</v>
      </c>
      <c r="AH65" s="45">
        <f>(T59+V61)/2*AJ70/AJ62</f>
        <v>990.93362707185952</v>
      </c>
      <c r="AI65" s="45">
        <f>U58*AJ70/AJ62</f>
        <v>1031.4936518039515</v>
      </c>
      <c r="AJ65" s="48">
        <f>(T61+U58)/2</f>
        <v>213.70657129330317</v>
      </c>
      <c r="AK65" s="59"/>
      <c r="AL65" s="50"/>
    </row>
    <row r="66" spans="1:38" x14ac:dyDescent="0.25">
      <c r="A66" s="51">
        <f>((A61+A60+A59+A58)/4-A61-A56)*-1</f>
        <v>205.62837597073602</v>
      </c>
      <c r="B66" s="47">
        <f>(B61+C61)/2</f>
        <v>217.99461748423508</v>
      </c>
      <c r="C66" s="47">
        <f>(E68+A57)</f>
        <v>-1.253637995352932</v>
      </c>
      <c r="D66" s="51">
        <f>(A68+D67+A60+D67)/2</f>
        <v>380.10527273139581</v>
      </c>
      <c r="E66" s="51">
        <f>(A61+D67+A60)/3</f>
        <v>201.55875576054632</v>
      </c>
      <c r="F66" s="78">
        <f>(O66+P65)/2</f>
        <v>1066.5967996412105</v>
      </c>
      <c r="G66" s="48"/>
      <c r="H66" s="78">
        <f>(O66+P65+N65)/3</f>
        <v>1059.8364406736775</v>
      </c>
      <c r="I66" s="78"/>
      <c r="J66" s="78"/>
      <c r="K66" s="78"/>
      <c r="L66" s="78"/>
      <c r="M66" s="78"/>
      <c r="N66" s="78">
        <f>((A66+A60)/2)*Q70/Q62</f>
        <v>1041.1109425966413</v>
      </c>
      <c r="O66" s="45">
        <f>((A67+A58)/2)*Q70/Q62</f>
        <v>1102.3956604189866</v>
      </c>
      <c r="P66" s="45">
        <f>B57*Q70/Q62</f>
        <v>1007.6195652604644</v>
      </c>
      <c r="Q66" s="55">
        <f>A57+E68</f>
        <v>-1.253637995352932</v>
      </c>
      <c r="R66" s="59"/>
      <c r="S66" s="50"/>
      <c r="T66" s="51">
        <f>((T61+T60+T59+T58)/4-T61-T56)*-1</f>
        <v>205.32190679920257</v>
      </c>
      <c r="U66" s="47">
        <f>(U61+V61)/2</f>
        <v>217.89890354035347</v>
      </c>
      <c r="V66" s="47">
        <f>(X68+T57)</f>
        <v>-1.2521557272013695</v>
      </c>
      <c r="W66" s="51">
        <f>(T68+W67+T60+W67)/2</f>
        <v>379.55850507230292</v>
      </c>
      <c r="X66" s="51">
        <f>(T61+W67+T60)/3</f>
        <v>201.29818005984453</v>
      </c>
      <c r="Y66" s="78">
        <f>(AH66+AI65)/2</f>
        <v>1067.2037235443579</v>
      </c>
      <c r="Z66" s="48"/>
      <c r="AA66" s="78">
        <f>(AH66+AI65+AG65)/3</f>
        <v>1060.4437194223426</v>
      </c>
      <c r="AB66" s="78"/>
      <c r="AC66" s="78"/>
      <c r="AD66" s="78"/>
      <c r="AE66" s="78"/>
      <c r="AF66" s="78"/>
      <c r="AG66" s="78">
        <f>((T66+T60)/2)*AJ70/AJ62</f>
        <v>1040.9370143615124</v>
      </c>
      <c r="AH66" s="45">
        <f>((T67+T58)/2)*AJ70/AJ62</f>
        <v>1102.9137952847643</v>
      </c>
      <c r="AI66" s="45">
        <f>U57*AJ70/AJ62</f>
        <v>1008.3164948141846</v>
      </c>
      <c r="AJ66" s="55">
        <f>T57+X68</f>
        <v>-1.2521557272013695</v>
      </c>
      <c r="AK66" s="59"/>
      <c r="AL66" s="50"/>
    </row>
    <row r="67" spans="1:38" x14ac:dyDescent="0.25">
      <c r="A67" s="51">
        <f>((A61+A60+A59+A58)/4-A61-A56*-1)</f>
        <v>243.95984886820631</v>
      </c>
      <c r="B67" s="47">
        <f>B58/2</f>
        <v>111.50458473282345</v>
      </c>
      <c r="C67" s="47">
        <f>(B57+C61)/2</f>
        <v>216.74097948888215</v>
      </c>
      <c r="D67" s="51">
        <f>(A66+A65+B67)/3</f>
        <v>155.08804244269666</v>
      </c>
      <c r="E67" s="51">
        <f>(A61+A60+B67)/3</f>
        <v>187.03093652392192</v>
      </c>
      <c r="F67" s="48">
        <f>E64+(C71*-1)-E64-E68</f>
        <v>2.9768087754116372</v>
      </c>
      <c r="G67" s="48"/>
      <c r="H67" s="78">
        <f>(P67+N67)/2</f>
        <v>362.25715711134171</v>
      </c>
      <c r="I67" s="48"/>
      <c r="J67" s="48"/>
      <c r="K67" s="48"/>
      <c r="L67" s="48"/>
      <c r="M67" s="48"/>
      <c r="N67" s="78">
        <f>((N66+N65)/2/Q61)</f>
        <v>0.99014952689545832</v>
      </c>
      <c r="O67" s="45">
        <f>((A59+D65)/2)*Q70/Q62</f>
        <v>996.03037845897938</v>
      </c>
      <c r="P67" s="45">
        <f>((B67+E66)/2)*Q70/Q62</f>
        <v>723.52416469578793</v>
      </c>
      <c r="Q67" s="55">
        <f>(Q66*Q64/10)</f>
        <v>-0.3016384506133043</v>
      </c>
      <c r="R67" s="59"/>
      <c r="S67" s="50"/>
      <c r="T67" s="51">
        <f>((T61+T60+T59+T58)/4-T61-T56*-1)</f>
        <v>243.75830874613649</v>
      </c>
      <c r="U67" s="47">
        <f>U58/2</f>
        <v>111.45376322457952</v>
      </c>
      <c r="V67" s="47">
        <f>(U57+V61)/2</f>
        <v>216.6467478131521</v>
      </c>
      <c r="W67" s="51">
        <f>(T66+T65+U67)/3</f>
        <v>154.81432463419458</v>
      </c>
      <c r="X67" s="51">
        <f>(T61+T60+U67)/3</f>
        <v>186.84465958997285</v>
      </c>
      <c r="Y67" s="48">
        <f>X64+(V71*-1)-X64-X68</f>
        <v>2.9431659149292262</v>
      </c>
      <c r="Z67" s="48"/>
      <c r="AA67" s="78">
        <f>(AI67+AG67)/2</f>
        <v>362.30624935222602</v>
      </c>
      <c r="AB67" s="48"/>
      <c r="AC67" s="48"/>
      <c r="AD67" s="48"/>
      <c r="AE67" s="48"/>
      <c r="AF67" s="48"/>
      <c r="AG67" s="78">
        <f>((AG66+AG65)/2/AJ61)</f>
        <v>0.99035541892191237</v>
      </c>
      <c r="AH67" s="45">
        <f>((T59+W65)/2)*AJ70/AJ62</f>
        <v>996.72791631930124</v>
      </c>
      <c r="AI67" s="45">
        <f>((U67+X66)/2)*AJ70/AJ62</f>
        <v>723.62214328553011</v>
      </c>
      <c r="AJ67" s="55">
        <f>(AJ66*AJ64/10)</f>
        <v>0.83341834610233634</v>
      </c>
      <c r="AK67" s="59"/>
      <c r="AL67" s="50"/>
    </row>
    <row r="68" spans="1:38" x14ac:dyDescent="0.25">
      <c r="A68" s="51">
        <f>(A61+A66)/2</f>
        <v>205.18214023227995</v>
      </c>
      <c r="B68" s="47">
        <f>(A58+B60)/2</f>
        <v>230.53099743776465</v>
      </c>
      <c r="C68" s="47">
        <f>(A57*C60)</f>
        <v>1.0798043708116337E-3</v>
      </c>
      <c r="D68" s="47">
        <f>(A58+B68)/2</f>
        <v>231.78463543311761</v>
      </c>
      <c r="E68" s="47">
        <f>(D68-A56)-(A56-A59)</f>
        <v>-4.8235239030014441</v>
      </c>
      <c r="F68" s="78">
        <f>(N68+H68)/2</f>
        <v>1081.7955377493181</v>
      </c>
      <c r="G68" s="48"/>
      <c r="H68" s="117">
        <f>A67*Q70/Q62</f>
        <v>1127.636634768598</v>
      </c>
      <c r="I68" s="48"/>
      <c r="J68" s="48"/>
      <c r="K68" s="48"/>
      <c r="L68" s="48"/>
      <c r="M68" s="48"/>
      <c r="N68" s="78">
        <f>(N66+P65)/2</f>
        <v>1035.954440730038</v>
      </c>
      <c r="O68" s="45">
        <f>((E65+A65)/2)*Q70/Q62</f>
        <v>1383.4585276844452</v>
      </c>
      <c r="P68" s="45">
        <f>((E66+E68/10)/2)*Q70/Q62</f>
        <v>464.70991001123559</v>
      </c>
      <c r="Q68" s="51">
        <f>(Q67+C71)</f>
        <v>1.5450766769765025</v>
      </c>
      <c r="R68" s="59"/>
      <c r="S68" s="50"/>
      <c r="T68" s="51">
        <f>(T61+T66)/2</f>
        <v>204.91376146832494</v>
      </c>
      <c r="U68" s="47">
        <f>(T58+U60)/2</f>
        <v>230.42046081236737</v>
      </c>
      <c r="V68" s="47">
        <f>(T57*V60)</f>
        <v>1.2218919948942721E-3</v>
      </c>
      <c r="W68" s="47">
        <f>(T58+U68)/2</f>
        <v>231.67261653956876</v>
      </c>
      <c r="X68" s="47">
        <f>(W68-T56)-(T56-T59)</f>
        <v>-4.5173183742223841</v>
      </c>
      <c r="Y68" s="78">
        <f>(AG68+AA68)/2</f>
        <v>1082.0974789343877</v>
      </c>
      <c r="Z68" s="48"/>
      <c r="AA68" s="117">
        <f>T67*AJ70/AJ62</f>
        <v>1127.9796247860434</v>
      </c>
      <c r="AB68" s="48"/>
      <c r="AC68" s="48"/>
      <c r="AD68" s="48"/>
      <c r="AE68" s="48"/>
      <c r="AF68" s="48"/>
      <c r="AG68" s="78">
        <f>(AG66+AI65)/2</f>
        <v>1036.2153330827318</v>
      </c>
      <c r="AH68" s="45">
        <f>((X65+T65)/2)*AJ70/AJ62</f>
        <v>1382.5986194144257</v>
      </c>
      <c r="AI68" s="45">
        <f>((X66+X68/10)/2)*AJ70/AJ62</f>
        <v>464.70354686756525</v>
      </c>
      <c r="AJ68" s="51">
        <f>(AJ67+V71)</f>
        <v>2.4075708053954941</v>
      </c>
      <c r="AK68" s="59"/>
      <c r="AL68" s="50"/>
    </row>
    <row r="69" spans="1:38" x14ac:dyDescent="0.25">
      <c r="A69" s="51">
        <f>(A57*-1)+A64</f>
        <v>-80.232831702589124</v>
      </c>
      <c r="B69" s="51">
        <f>(A70*-1)+A69</f>
        <v>-7.1397718152970242</v>
      </c>
      <c r="C69" s="51">
        <f>(B69/2)+A57</f>
        <v>0</v>
      </c>
      <c r="D69" s="47"/>
      <c r="E69" s="51">
        <f>(C69*A57)+D62</f>
        <v>7.8024053315184396</v>
      </c>
      <c r="F69" s="78">
        <f>A65*Q70/Q70</f>
        <v>148.13116662453055</v>
      </c>
      <c r="G69" s="78">
        <f>(E69+F69)</f>
        <v>155.93357195604898</v>
      </c>
      <c r="H69" s="48">
        <f>(O70+H67)/2</f>
        <v>1222.2395211523121</v>
      </c>
      <c r="I69" s="48"/>
      <c r="J69" s="48"/>
      <c r="K69" s="48"/>
      <c r="L69" s="48"/>
      <c r="M69" s="48"/>
      <c r="N69" s="78">
        <f>(O66+H66+O66)/3</f>
        <v>1088.2092538372169</v>
      </c>
      <c r="O69" s="45">
        <f>((B60+E68)/2)*Q70/Q62</f>
        <v>515.84045654626573</v>
      </c>
      <c r="P69" s="45">
        <f>D65*Q70/Q62</f>
        <v>1007.6195652604644</v>
      </c>
      <c r="Q69" s="135">
        <f>((Q68*Q67*C71*-1)*Q70*Q59*Q60)*-3.444</f>
        <v>-2.966932551609784</v>
      </c>
      <c r="R69" s="59"/>
      <c r="S69" s="50"/>
      <c r="T69" s="51">
        <f>(T57*-1)+T64</f>
        <v>-80.137966540888897</v>
      </c>
      <c r="U69" s="51">
        <f>(T70*-1)+T69</f>
        <v>-6.5303252940420293</v>
      </c>
      <c r="V69" s="51">
        <f>(U69/2)+T57</f>
        <v>0</v>
      </c>
      <c r="W69" s="47"/>
      <c r="X69" s="51">
        <f>(V69*T57)+W62</f>
        <v>7.6429288140771732</v>
      </c>
      <c r="Y69" s="78">
        <f>T65*AJ70/AJ70</f>
        <v>147.66730387880165</v>
      </c>
      <c r="Z69" s="78">
        <f>(X69+Y69)</f>
        <v>155.31023269287883</v>
      </c>
      <c r="AA69" s="48">
        <f>(AH70+AA67)/2</f>
        <v>1222.0901390376255</v>
      </c>
      <c r="AB69" s="48"/>
      <c r="AC69" s="48"/>
      <c r="AD69" s="48"/>
      <c r="AE69" s="48"/>
      <c r="AF69" s="48"/>
      <c r="AG69" s="78">
        <f>(AH66+AA66+AH66)/3</f>
        <v>1088.7571033306237</v>
      </c>
      <c r="AH69" s="45">
        <f>((U60+X68)/2)*AJ70/AJ62</f>
        <v>516.88356972708982</v>
      </c>
      <c r="AI69" s="45">
        <f>W65*AJ70/AJ62</f>
        <v>1008.3164948141846</v>
      </c>
      <c r="AJ69" s="135">
        <f>((AJ68*AJ67*V71*-1)*AJ70*AJ59*AJ60)*-3.444</f>
        <v>-17.087116278279588</v>
      </c>
      <c r="AK69" s="59"/>
      <c r="AL69" s="50"/>
    </row>
    <row r="70" spans="1:38" x14ac:dyDescent="0.25">
      <c r="A70" s="51">
        <f>A57+A64</f>
        <v>-73.0930598872921</v>
      </c>
      <c r="B70" s="51">
        <f>(A71+(A69*-1)+A70)</f>
        <v>-146.1861197745842</v>
      </c>
      <c r="C70" s="47">
        <f>(B70/10)</f>
        <v>-14.61861197745842</v>
      </c>
      <c r="D70" s="47"/>
      <c r="E70" s="47">
        <f>((D66+B67)/2)*Q70</f>
        <v>1022.5485035255761</v>
      </c>
      <c r="F70" s="48">
        <f>((E65+B67)/2)*Q70/Q62</f>
        <v>1298.8104273125002</v>
      </c>
      <c r="G70" s="48"/>
      <c r="H70" s="48">
        <f>(Q71/2)</f>
        <v>467.57175383250001</v>
      </c>
      <c r="I70" s="48"/>
      <c r="J70" s="48"/>
      <c r="K70" s="48"/>
      <c r="L70" s="48"/>
      <c r="M70" s="48"/>
      <c r="N70" s="78">
        <f>(Q71/2)/Q62</f>
        <v>519.52417092500002</v>
      </c>
      <c r="O70" s="45">
        <f>E65*Q70/Q62</f>
        <v>2082.2218851932826</v>
      </c>
      <c r="P70" s="45">
        <f>((B57+A60)/2)*Q70/Q62</f>
        <v>1069.6907007611726</v>
      </c>
      <c r="Q70" s="124">
        <f>ROUND(O63,N71)</f>
        <v>4.16</v>
      </c>
      <c r="R70" s="59"/>
      <c r="S70" s="50"/>
      <c r="T70" s="51">
        <f>T57+T64</f>
        <v>-73.607641246846867</v>
      </c>
      <c r="U70" s="51">
        <f>(T71+(T69*-1)+T70)</f>
        <v>-147.21528249369373</v>
      </c>
      <c r="V70" s="47">
        <f>(U70/10)</f>
        <v>-14.721528249369374</v>
      </c>
      <c r="W70" s="47"/>
      <c r="X70" s="47">
        <f>((W66+U67)/2)*AJ70</f>
        <v>579.39447659032123</v>
      </c>
      <c r="Y70" s="48">
        <f>((X65+U67)/2)*AJ70/AJ62</f>
        <v>1298.8104273125002</v>
      </c>
      <c r="Z70" s="48"/>
      <c r="AA70" s="48">
        <f>(AJ71/2)</f>
        <v>264.95732717175002</v>
      </c>
      <c r="AB70" s="48"/>
      <c r="AC70" s="48"/>
      <c r="AD70" s="48"/>
      <c r="AE70" s="48"/>
      <c r="AF70" s="48"/>
      <c r="AG70" s="78">
        <f>(AJ71/2)/AJ62</f>
        <v>519.52417092500002</v>
      </c>
      <c r="AH70" s="45">
        <f>X65*AJ70/AJ62</f>
        <v>2081.8740287230248</v>
      </c>
      <c r="AI70" s="45">
        <f>((U57+T60)/2)*AJ70/AJ62</f>
        <v>1070.0367323116261</v>
      </c>
      <c r="AJ70" s="124">
        <f>ROUND(AH63,AG71)</f>
        <v>2.36</v>
      </c>
      <c r="AK70" s="59"/>
      <c r="AL70" s="50"/>
    </row>
    <row r="71" spans="1:38" x14ac:dyDescent="0.25">
      <c r="A71" s="78">
        <f>(A69+A70)</f>
        <v>-153.32589158988122</v>
      </c>
      <c r="B71" s="48"/>
      <c r="C71" s="55">
        <f>INT(C64)-C64+N71</f>
        <v>1.8467151275898068</v>
      </c>
      <c r="D71" s="48"/>
      <c r="E71" s="78" t="s">
        <v>11</v>
      </c>
      <c r="F71" s="48">
        <f>((O71+B67+E65)/3)*Q70/Q62</f>
        <v>2717.4538832359299</v>
      </c>
      <c r="G71" s="48"/>
      <c r="H71" s="48">
        <f>ROUND(H70,2)</f>
        <v>467.57</v>
      </c>
      <c r="I71" s="48"/>
      <c r="J71" s="48"/>
      <c r="K71" s="48"/>
      <c r="L71" s="48"/>
      <c r="M71" s="48"/>
      <c r="N71" s="48">
        <v>2</v>
      </c>
      <c r="O71" s="45">
        <f>((B57+B67+E65)/3)*Q70/Q62</f>
        <v>1201.746806628488</v>
      </c>
      <c r="P71" s="78">
        <f>(Q71/Q70)</f>
        <v>224.79411241947116</v>
      </c>
      <c r="Q71" s="45">
        <f>P57*Q62</f>
        <v>935.14350766500002</v>
      </c>
      <c r="R71" s="59"/>
      <c r="S71" s="50"/>
      <c r="T71" s="78">
        <f>(T69+T70)</f>
        <v>-153.74560778773576</v>
      </c>
      <c r="U71" s="48"/>
      <c r="V71" s="55">
        <f>INT(V64)-V64+AG71</f>
        <v>1.5741524592931579</v>
      </c>
      <c r="W71" s="48"/>
      <c r="X71" s="78" t="s">
        <v>11</v>
      </c>
      <c r="Y71" s="48">
        <f>((AH71+U67+X65)/3)*AJ70/AJ62</f>
        <v>2719.906765196672</v>
      </c>
      <c r="Z71" s="48"/>
      <c r="AA71" s="48">
        <f>ROUND(AA70,2)</f>
        <v>264.95999999999998</v>
      </c>
      <c r="AB71" s="48"/>
      <c r="AC71" s="48"/>
      <c r="AD71" s="48"/>
      <c r="AE71" s="48"/>
      <c r="AF71" s="48"/>
      <c r="AG71" s="48">
        <v>2</v>
      </c>
      <c r="AH71" s="45">
        <f>((U57+U67+X65)/3)*AJ70/AJ62</f>
        <v>1201.9791164797282</v>
      </c>
      <c r="AI71" s="78">
        <f>(AJ71/AJ70)</f>
        <v>224.54010777266953</v>
      </c>
      <c r="AJ71" s="45">
        <f>AI57*AJ62</f>
        <v>529.91465434350005</v>
      </c>
      <c r="AK71" s="59"/>
      <c r="AL71" s="50"/>
    </row>
    <row r="72" spans="1:38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 t="s">
        <v>12</v>
      </c>
      <c r="Q72" s="59"/>
      <c r="R72" s="59"/>
      <c r="S72" s="50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 t="s">
        <v>12</v>
      </c>
      <c r="AJ72" s="59"/>
      <c r="AK72" s="59"/>
      <c r="AL72" s="50"/>
    </row>
    <row r="73" spans="1:38" x14ac:dyDescent="0.25">
      <c r="A73" s="59"/>
      <c r="B73" s="59"/>
      <c r="C73" s="59"/>
      <c r="D73" s="59"/>
      <c r="E73" s="59"/>
      <c r="F73" s="59"/>
      <c r="G73" s="59"/>
      <c r="H73" s="59"/>
      <c r="I73" s="50"/>
      <c r="J73" s="50"/>
      <c r="K73" s="50"/>
      <c r="L73" s="50"/>
      <c r="M73" s="50"/>
      <c r="N73" s="59"/>
      <c r="O73" s="59"/>
      <c r="P73" s="59"/>
      <c r="Q73" s="59"/>
      <c r="R73" s="59"/>
      <c r="S73" s="50"/>
      <c r="T73" s="59"/>
      <c r="U73" s="59"/>
      <c r="V73" s="59"/>
      <c r="W73" s="59"/>
      <c r="X73" s="59"/>
      <c r="Y73" s="59"/>
      <c r="Z73" s="59"/>
      <c r="AA73" s="59"/>
      <c r="AB73" s="50"/>
      <c r="AC73" s="50"/>
      <c r="AD73" s="50"/>
      <c r="AE73" s="50"/>
      <c r="AF73" s="50"/>
      <c r="AG73" s="59"/>
      <c r="AH73" s="59"/>
      <c r="AI73" s="59"/>
      <c r="AJ73" s="59"/>
      <c r="AK73" s="59"/>
      <c r="AL73" s="50"/>
    </row>
    <row r="74" spans="1:38" x14ac:dyDescent="0.25">
      <c r="A74" s="59"/>
      <c r="B74" s="59"/>
      <c r="C74" s="59"/>
      <c r="D74" s="59"/>
      <c r="E74" s="59"/>
      <c r="F74" s="59"/>
      <c r="G74" s="59"/>
      <c r="H74" s="59"/>
      <c r="I74" s="50"/>
      <c r="J74" s="50"/>
      <c r="K74" s="50"/>
      <c r="L74" s="50"/>
      <c r="M74" s="50"/>
      <c r="N74" s="59"/>
      <c r="O74" s="59"/>
      <c r="P74" s="59"/>
      <c r="Q74" s="59"/>
      <c r="R74" s="59"/>
      <c r="S74" s="50"/>
      <c r="T74" s="59"/>
      <c r="U74" s="59"/>
      <c r="V74" s="59"/>
      <c r="W74" s="59"/>
      <c r="X74" s="59"/>
      <c r="Y74" s="59"/>
      <c r="Z74" s="59"/>
      <c r="AA74" s="59"/>
      <c r="AB74" s="50"/>
      <c r="AC74" s="50"/>
      <c r="AD74" s="50"/>
      <c r="AE74" s="50"/>
      <c r="AF74" s="50"/>
      <c r="AG74" s="59"/>
      <c r="AH74" s="59"/>
      <c r="AI74" s="59"/>
      <c r="AJ74" s="59"/>
      <c r="AK74" s="59"/>
      <c r="AL74" s="50"/>
    </row>
    <row r="75" spans="1:38" x14ac:dyDescent="0.25">
      <c r="A75" s="59"/>
      <c r="B75" s="59"/>
      <c r="C75" s="59"/>
      <c r="D75" s="59"/>
      <c r="E75" s="59"/>
      <c r="F75" s="59"/>
      <c r="G75" s="59"/>
      <c r="H75" s="59"/>
      <c r="I75" s="50"/>
      <c r="J75" s="50"/>
      <c r="K75" s="50"/>
      <c r="L75" s="50"/>
      <c r="M75" s="50"/>
      <c r="N75" s="59"/>
      <c r="O75" s="59"/>
      <c r="P75" s="59"/>
      <c r="Q75" s="59"/>
      <c r="R75" s="59"/>
      <c r="S75" s="50"/>
      <c r="T75" s="59"/>
      <c r="U75" s="59"/>
      <c r="V75" s="59"/>
      <c r="W75" s="59"/>
      <c r="X75" s="59"/>
      <c r="Y75" s="59"/>
      <c r="Z75" s="59"/>
      <c r="AA75" s="59"/>
      <c r="AB75" s="50"/>
      <c r="AC75" s="50"/>
      <c r="AD75" s="50"/>
      <c r="AE75" s="50"/>
      <c r="AF75" s="50"/>
      <c r="AG75" s="59"/>
      <c r="AH75" s="59"/>
      <c r="AI75" s="59"/>
      <c r="AJ75" s="59"/>
      <c r="AK75" s="59"/>
      <c r="AL75" s="50"/>
    </row>
    <row r="76" spans="1:38" x14ac:dyDescent="0.25">
      <c r="A76" s="59"/>
      <c r="B76" s="59"/>
      <c r="C76" s="59"/>
      <c r="D76" s="59"/>
      <c r="E76" s="59"/>
      <c r="F76" s="59"/>
      <c r="G76" s="59"/>
      <c r="H76" s="59"/>
      <c r="I76" s="50"/>
      <c r="J76" s="50"/>
      <c r="K76" s="50"/>
      <c r="L76" s="50"/>
      <c r="M76" s="50"/>
      <c r="N76" s="59"/>
      <c r="O76" s="59"/>
      <c r="P76" s="59"/>
      <c r="Q76" s="59"/>
      <c r="R76" s="59"/>
      <c r="S76" s="50"/>
      <c r="T76" s="59"/>
      <c r="U76" s="59"/>
      <c r="V76" s="59"/>
      <c r="W76" s="59"/>
      <c r="X76" s="59"/>
      <c r="Y76" s="59"/>
      <c r="Z76" s="59"/>
      <c r="AA76" s="59"/>
      <c r="AB76" s="50"/>
      <c r="AC76" s="50"/>
      <c r="AD76" s="50"/>
      <c r="AE76" s="50"/>
      <c r="AF76" s="50"/>
      <c r="AG76" s="59"/>
      <c r="AH76" s="59"/>
      <c r="AI76" s="59"/>
      <c r="AJ76" s="59"/>
      <c r="AK76" s="59"/>
      <c r="AL76" s="50"/>
    </row>
    <row r="77" spans="1:38" x14ac:dyDescent="0.25">
      <c r="A77" s="59"/>
      <c r="B77" s="59"/>
      <c r="C77" s="59"/>
      <c r="D77" s="59"/>
      <c r="E77" s="59"/>
      <c r="F77" s="59"/>
      <c r="G77" s="59"/>
      <c r="H77" s="59"/>
      <c r="I77" s="50"/>
      <c r="J77" s="50"/>
      <c r="K77" s="50"/>
      <c r="L77" s="50"/>
      <c r="M77" s="50"/>
      <c r="N77" s="59"/>
      <c r="O77" s="59"/>
      <c r="P77" s="59"/>
      <c r="Q77" s="59"/>
      <c r="R77" s="59"/>
      <c r="S77" s="50"/>
      <c r="T77" s="59"/>
      <c r="U77" s="59"/>
      <c r="V77" s="59"/>
      <c r="W77" s="59"/>
      <c r="X77" s="59"/>
      <c r="Y77" s="59"/>
      <c r="Z77" s="59"/>
      <c r="AA77" s="59"/>
      <c r="AB77" s="50"/>
      <c r="AC77" s="50"/>
      <c r="AD77" s="50"/>
      <c r="AE77" s="50"/>
      <c r="AF77" s="50"/>
      <c r="AG77" s="59"/>
      <c r="AH77" s="59"/>
      <c r="AI77" s="59"/>
      <c r="AJ77" s="59"/>
      <c r="AK77" s="59"/>
      <c r="AL77" s="50"/>
    </row>
    <row r="78" spans="1:38" x14ac:dyDescent="0.25">
      <c r="A78" s="59"/>
      <c r="B78" s="59"/>
      <c r="C78" s="59"/>
      <c r="D78" s="59"/>
      <c r="E78" s="59"/>
      <c r="F78" s="59"/>
      <c r="G78" s="59"/>
      <c r="H78" s="59"/>
      <c r="I78" s="50"/>
      <c r="J78" s="50"/>
      <c r="K78" s="50"/>
      <c r="L78" s="50"/>
      <c r="M78" s="50"/>
      <c r="N78" s="59"/>
      <c r="O78" s="59"/>
      <c r="P78" s="59"/>
      <c r="Q78" s="59"/>
      <c r="R78" s="59"/>
      <c r="S78" s="50"/>
      <c r="T78" s="59"/>
      <c r="U78" s="59"/>
      <c r="V78" s="59"/>
      <c r="W78" s="59"/>
      <c r="X78" s="59"/>
      <c r="Y78" s="59"/>
      <c r="Z78" s="59"/>
      <c r="AA78" s="59"/>
      <c r="AB78" s="50"/>
      <c r="AC78" s="50"/>
      <c r="AD78" s="50"/>
      <c r="AE78" s="50"/>
      <c r="AF78" s="50"/>
      <c r="AG78" s="59"/>
      <c r="AH78" s="59"/>
      <c r="AI78" s="59"/>
      <c r="AJ78" s="59"/>
      <c r="AK78" s="59"/>
      <c r="AL78" s="50"/>
    </row>
    <row r="79" spans="1:38" x14ac:dyDescent="0.25">
      <c r="A79" s="59"/>
      <c r="B79" s="59"/>
      <c r="C79" s="59"/>
      <c r="D79" s="59"/>
      <c r="E79" s="59"/>
      <c r="F79" s="59"/>
      <c r="G79" s="59"/>
      <c r="H79" s="59"/>
      <c r="I79" s="50"/>
      <c r="J79" s="50"/>
      <c r="K79" s="50"/>
      <c r="L79" s="50"/>
      <c r="M79" s="50"/>
      <c r="N79" s="59"/>
      <c r="O79" s="59"/>
      <c r="P79" s="59"/>
      <c r="Q79" s="59"/>
      <c r="R79" s="59"/>
      <c r="S79" s="50"/>
      <c r="T79" s="59"/>
      <c r="U79" s="59"/>
      <c r="V79" s="59"/>
      <c r="W79" s="59"/>
      <c r="X79" s="59"/>
      <c r="Y79" s="59"/>
      <c r="Z79" s="59"/>
      <c r="AA79" s="59"/>
      <c r="AB79" s="50"/>
      <c r="AC79" s="50"/>
      <c r="AD79" s="50"/>
      <c r="AE79" s="50"/>
      <c r="AF79" s="50"/>
      <c r="AG79" s="59"/>
      <c r="AH79" s="59"/>
      <c r="AI79" s="59"/>
      <c r="AJ79" s="59"/>
      <c r="AK79" s="59"/>
      <c r="AL79" s="50"/>
    </row>
    <row r="80" spans="1:38" x14ac:dyDescent="0.25">
      <c r="A80" s="59"/>
      <c r="B80" s="59"/>
      <c r="C80" s="59"/>
      <c r="D80" s="59"/>
      <c r="E80" s="59"/>
      <c r="F80" s="59"/>
      <c r="G80" s="59"/>
      <c r="H80" s="59"/>
      <c r="I80" s="50"/>
      <c r="J80" s="50"/>
      <c r="K80" s="50"/>
      <c r="L80" s="50"/>
      <c r="M80" s="50"/>
      <c r="N80" s="59"/>
      <c r="O80" s="59"/>
      <c r="P80" s="59"/>
      <c r="Q80" s="59"/>
      <c r="R80" s="59"/>
      <c r="S80" s="50"/>
      <c r="T80" s="59"/>
      <c r="U80" s="59"/>
      <c r="V80" s="59"/>
      <c r="W80" s="59"/>
      <c r="X80" s="59"/>
      <c r="Y80" s="59"/>
      <c r="Z80" s="59"/>
      <c r="AA80" s="59"/>
      <c r="AB80" s="50"/>
      <c r="AC80" s="50"/>
      <c r="AD80" s="50"/>
      <c r="AE80" s="50"/>
      <c r="AF80" s="50"/>
      <c r="AG80" s="59"/>
      <c r="AH80" s="59"/>
      <c r="AI80" s="59"/>
      <c r="AJ80" s="59"/>
      <c r="AK80" s="59"/>
      <c r="AL80" s="50"/>
    </row>
    <row r="81" spans="1:38" x14ac:dyDescent="0.25">
      <c r="A81" s="45">
        <f>P96</f>
        <v>224.74008835976932</v>
      </c>
      <c r="B81" s="47">
        <f>(A81*10^0.125)</f>
        <v>299.69572449403154</v>
      </c>
      <c r="C81" s="47">
        <f>INT(B81)</f>
        <v>299</v>
      </c>
      <c r="D81" s="47">
        <f>C81*4</f>
        <v>1196</v>
      </c>
      <c r="E81" s="47">
        <f>D81/5</f>
        <v>239.2</v>
      </c>
      <c r="F81" s="48">
        <f>E81^2</f>
        <v>57216.639999999992</v>
      </c>
      <c r="G81" s="48">
        <f>(F81^0.125)</f>
        <v>3.9326952517764404</v>
      </c>
      <c r="H81" s="48">
        <f>G81/3</f>
        <v>1.3108984172588134</v>
      </c>
      <c r="I81" s="48">
        <f>(H81*100)</f>
        <v>131.08984172588134</v>
      </c>
      <c r="J81" s="48">
        <f>(F81/100)</f>
        <v>572.16639999999995</v>
      </c>
      <c r="K81" s="48">
        <f>(J81+I81)/2</f>
        <v>351.62812086294065</v>
      </c>
      <c r="L81" s="48">
        <f>(K81+I81)/2</f>
        <v>241.358981294411</v>
      </c>
      <c r="M81" s="48">
        <f>(L81+A81)/2</f>
        <v>233.04953482709016</v>
      </c>
      <c r="N81" s="48">
        <f>M81*100^0.5</f>
        <v>2330.4953482709016</v>
      </c>
      <c r="O81" s="48">
        <f>INT(N81)/10</f>
        <v>233</v>
      </c>
      <c r="P81" s="48">
        <f>(O81)^2/10000</f>
        <v>5.4288999999999996</v>
      </c>
      <c r="Q81" s="48">
        <f>(P81+I81+M81)/3</f>
        <v>123.18942551765717</v>
      </c>
      <c r="R81" s="49">
        <f>Q86^0.5</f>
        <v>32.466855155681465</v>
      </c>
      <c r="S81" s="50"/>
      <c r="T81" s="45">
        <f>AI96</f>
        <v>224.73055739758271</v>
      </c>
      <c r="U81" s="47">
        <f>(T81*10^0.125)</f>
        <v>299.68301475168658</v>
      </c>
      <c r="V81" s="47">
        <f>INT(U81)</f>
        <v>299</v>
      </c>
      <c r="W81" s="47">
        <f>V81*4</f>
        <v>1196</v>
      </c>
      <c r="X81" s="47">
        <f>W81/5</f>
        <v>239.2</v>
      </c>
      <c r="Y81" s="48">
        <f>X81^2</f>
        <v>57216.639999999992</v>
      </c>
      <c r="Z81" s="48">
        <f>(Y81^0.125)</f>
        <v>3.9326952517764404</v>
      </c>
      <c r="AA81" s="48">
        <f>Z81/3</f>
        <v>1.3108984172588134</v>
      </c>
      <c r="AB81" s="48">
        <f>(AA81*100)</f>
        <v>131.08984172588134</v>
      </c>
      <c r="AC81" s="48">
        <f>(Y81/100)</f>
        <v>572.16639999999995</v>
      </c>
      <c r="AD81" s="48">
        <f>(AC81+AB81)/2</f>
        <v>351.62812086294065</v>
      </c>
      <c r="AE81" s="48">
        <f>(AD81+AB81)/2</f>
        <v>241.358981294411</v>
      </c>
      <c r="AF81" s="48">
        <f>(AE81+T81)/2</f>
        <v>233.04476934599685</v>
      </c>
      <c r="AG81" s="48">
        <f>AF81*100^0.5</f>
        <v>2330.4476934599684</v>
      </c>
      <c r="AH81" s="48">
        <f>INT(AG81)/10</f>
        <v>233</v>
      </c>
      <c r="AI81" s="48">
        <f>(AH81)^2/10000</f>
        <v>5.4288999999999996</v>
      </c>
      <c r="AJ81" s="48">
        <f>(AI81+AB81+AF81)/3</f>
        <v>123.1878370239594</v>
      </c>
      <c r="AK81" s="49">
        <f>AJ86^0.5</f>
        <v>32.466855155681465</v>
      </c>
      <c r="AL81" s="50"/>
    </row>
    <row r="82" spans="1:38" x14ac:dyDescent="0.25">
      <c r="A82" s="51">
        <f>(O83-O82)</f>
        <v>3.4854733143644125</v>
      </c>
      <c r="B82" s="47">
        <f>(B83+A84)/2</f>
        <v>217.98364384710811</v>
      </c>
      <c r="C82" s="52">
        <f>(D84*C84*B84*C83*D83*A82)</f>
        <v>10278441674866.322</v>
      </c>
      <c r="D82" s="47">
        <f>(C83*C82*A82)</f>
        <v>11472690524.278624</v>
      </c>
      <c r="E82" s="51">
        <f>INT(A82+1)</f>
        <v>4</v>
      </c>
      <c r="F82" s="53">
        <f>(Q94*-1)</f>
        <v>2046.951585729742</v>
      </c>
      <c r="G82" s="54"/>
      <c r="H82" s="45">
        <f>IF(F82&lt;0,1,-1)</f>
        <v>-1</v>
      </c>
      <c r="I82" s="54"/>
      <c r="J82" s="54"/>
      <c r="K82" s="54"/>
      <c r="L82" s="54"/>
      <c r="M82" s="54"/>
      <c r="N82" s="54">
        <f>(M81+O81)/2</f>
        <v>233.02476741354508</v>
      </c>
      <c r="O82" s="54">
        <f>N82-A81</f>
        <v>8.2846790537757613</v>
      </c>
      <c r="P82" s="54">
        <f>(Q86+R84)/2</f>
        <v>1039.04834185</v>
      </c>
      <c r="Q82" s="55">
        <f>(Q85*A82*100)</f>
        <v>-691.51395786415412</v>
      </c>
      <c r="R82" s="49">
        <f>INT(R81)</f>
        <v>32</v>
      </c>
      <c r="S82" s="50"/>
      <c r="T82" s="51">
        <f>(AH83-AH82)</f>
        <v>3.4705811859478217</v>
      </c>
      <c r="U82" s="47">
        <f>(U83+T84)/2</f>
        <v>217.98170787041397</v>
      </c>
      <c r="V82" s="52">
        <f>(W84*V84*U84*V83*W83*T82)</f>
        <v>9804904330940.4629</v>
      </c>
      <c r="W82" s="47">
        <f>(V83*V82*T82)</f>
        <v>11009015476.655918</v>
      </c>
      <c r="X82" s="51">
        <f>INT(T82+1)</f>
        <v>4</v>
      </c>
      <c r="Y82" s="53">
        <f>(AJ94*-1)</f>
        <v>1106.6965580264066</v>
      </c>
      <c r="Z82" s="54"/>
      <c r="AA82" s="45">
        <f>IF(Y82&lt;0,1,-1)</f>
        <v>-1</v>
      </c>
      <c r="AB82" s="54"/>
      <c r="AC82" s="54"/>
      <c r="AD82" s="54"/>
      <c r="AE82" s="54"/>
      <c r="AF82" s="54"/>
      <c r="AG82" s="54">
        <f>(AF81+AH81)/2</f>
        <v>233.02238467299844</v>
      </c>
      <c r="AH82" s="54">
        <f>AG82-T81</f>
        <v>8.2918272754157272</v>
      </c>
      <c r="AI82" s="54">
        <f>(AJ86+AK84)/2</f>
        <v>1039.04834185</v>
      </c>
      <c r="AJ82" s="55">
        <f>(AJ85*T82*100)</f>
        <v>-682.78007641311365</v>
      </c>
      <c r="AK82" s="49">
        <f>INT(AK81)</f>
        <v>32</v>
      </c>
      <c r="AL82" s="50"/>
    </row>
    <row r="83" spans="1:38" x14ac:dyDescent="0.25">
      <c r="A83" s="51">
        <f>N82</f>
        <v>233.02476741354508</v>
      </c>
      <c r="B83" s="51">
        <f>(N82+N84)/2</f>
        <v>222.99735170258711</v>
      </c>
      <c r="C83" s="47">
        <f>(A82/D84)</f>
        <v>3.2024048941364238E-4</v>
      </c>
      <c r="D83" s="47">
        <f>(A82+B84+C84+D84)</f>
        <v>24893.987743416314</v>
      </c>
      <c r="E83" s="57">
        <f>(E82*C84)</f>
        <v>12490.612936933634</v>
      </c>
      <c r="F83" s="58"/>
      <c r="G83" s="54"/>
      <c r="H83" s="54"/>
      <c r="I83" s="54"/>
      <c r="J83" s="54"/>
      <c r="K83" s="54"/>
      <c r="L83" s="54"/>
      <c r="M83" s="54">
        <f>(N82+N84)/2</f>
        <v>222.99735170258711</v>
      </c>
      <c r="N83" s="54">
        <f>(I81+N82)/2</f>
        <v>182.05730456971321</v>
      </c>
      <c r="O83" s="54">
        <f>A81-N84</f>
        <v>11.770152368140174</v>
      </c>
      <c r="P83" s="54"/>
      <c r="Q83" s="48"/>
      <c r="R83" s="59"/>
      <c r="S83" s="50"/>
      <c r="T83" s="51">
        <f>AG82</f>
        <v>233.02238467299844</v>
      </c>
      <c r="U83" s="51">
        <f>(AG82+AG84)/2</f>
        <v>222.9952668046088</v>
      </c>
      <c r="V83" s="47">
        <f>(T82/W84)</f>
        <v>3.2352132577021458E-4</v>
      </c>
      <c r="W83" s="47">
        <f>(T82+U84+V84+W84)</f>
        <v>24549.495029465943</v>
      </c>
      <c r="X83" s="57">
        <f>(X82*V84)</f>
        <v>12363.945376636637</v>
      </c>
      <c r="Y83" s="58"/>
      <c r="Z83" s="54"/>
      <c r="AA83" s="54"/>
      <c r="AB83" s="54"/>
      <c r="AC83" s="54"/>
      <c r="AD83" s="54"/>
      <c r="AE83" s="54"/>
      <c r="AF83" s="54">
        <f>(AG82+AG84)/2</f>
        <v>222.9952668046088</v>
      </c>
      <c r="AG83" s="54">
        <f>(AB81+AG82)/2</f>
        <v>182.05611319943989</v>
      </c>
      <c r="AH83" s="54">
        <f>T81-AG84</f>
        <v>11.762408461363549</v>
      </c>
      <c r="AI83" s="54"/>
      <c r="AJ83" s="48"/>
      <c r="AK83" s="59"/>
      <c r="AL83" s="50"/>
    </row>
    <row r="84" spans="1:38" x14ac:dyDescent="0.25">
      <c r="A84" s="60">
        <f>N84</f>
        <v>212.96993599162914</v>
      </c>
      <c r="B84" s="47">
        <f>G90</f>
        <v>10883.924517934271</v>
      </c>
      <c r="C84" s="47">
        <f>(B84/A82)</f>
        <v>3122.6532342334085</v>
      </c>
      <c r="D84" s="47">
        <f>(A82*C84)</f>
        <v>10883.924517934271</v>
      </c>
      <c r="E84" s="51">
        <f>INT(A82)+1</f>
        <v>4</v>
      </c>
      <c r="F84" s="58">
        <f>(Q94)</f>
        <v>-2046.951585729742</v>
      </c>
      <c r="G84" s="54"/>
      <c r="H84" s="45">
        <f>IF(F82&gt;0,-1,1)</f>
        <v>-1</v>
      </c>
      <c r="I84" s="54"/>
      <c r="J84" s="54"/>
      <c r="K84" s="54"/>
      <c r="L84" s="54"/>
      <c r="M84" s="54">
        <f>(N83+P81*2)</f>
        <v>192.91510456971321</v>
      </c>
      <c r="N84" s="54">
        <f>(N82+M84)/2</f>
        <v>212.96993599162914</v>
      </c>
      <c r="O84" s="54">
        <f>(N83+J81)/2</f>
        <v>377.11185228485658</v>
      </c>
      <c r="P84" s="45">
        <f>IF(Q94&gt;1,-1,1)</f>
        <v>1</v>
      </c>
      <c r="Q84" s="55">
        <f>F92-F89</f>
        <v>-3.9543390921081736</v>
      </c>
      <c r="R84" s="49">
        <f>R82^2</f>
        <v>1024</v>
      </c>
      <c r="S84" s="50"/>
      <c r="T84" s="60">
        <f>AG84</f>
        <v>212.96814893621917</v>
      </c>
      <c r="U84" s="47">
        <f>Z90</f>
        <v>10727.519052060417</v>
      </c>
      <c r="V84" s="47">
        <f>(U84/T82)</f>
        <v>3090.9863441591592</v>
      </c>
      <c r="W84" s="47">
        <f>(T82*V84)</f>
        <v>10727.519052060417</v>
      </c>
      <c r="X84" s="51">
        <f>INT(T82)+1</f>
        <v>4</v>
      </c>
      <c r="Y84" s="58">
        <f>(AJ94)</f>
        <v>-1106.6965580264066</v>
      </c>
      <c r="Z84" s="54"/>
      <c r="AA84" s="45">
        <f>IF(Y82&gt;0,-1,1)</f>
        <v>-1</v>
      </c>
      <c r="AB84" s="54"/>
      <c r="AC84" s="54"/>
      <c r="AD84" s="54"/>
      <c r="AE84" s="54"/>
      <c r="AF84" s="54">
        <f>(AG83+AI81*2)</f>
        <v>192.91391319943989</v>
      </c>
      <c r="AG84" s="54">
        <f>(AG82+AF84)/2</f>
        <v>212.96814893621917</v>
      </c>
      <c r="AH84" s="54">
        <f>(AG83+AC81)/2</f>
        <v>377.11125659971992</v>
      </c>
      <c r="AI84" s="45">
        <f>IF(AJ94&gt;1,-1,1)</f>
        <v>1</v>
      </c>
      <c r="AJ84" s="55">
        <f>Y92-Y89</f>
        <v>-3.9365150091425241</v>
      </c>
      <c r="AK84" s="49">
        <f>AK82^2</f>
        <v>1024</v>
      </c>
      <c r="AL84" s="50"/>
    </row>
    <row r="85" spans="1:38" x14ac:dyDescent="0.25">
      <c r="A85" s="60">
        <f>(O83+O82)+A81</f>
        <v>244.79491978168525</v>
      </c>
      <c r="B85" s="47">
        <f>(A83+B83)/2</f>
        <v>228.01105955806611</v>
      </c>
      <c r="C85" s="51">
        <f>(C83)</f>
        <v>3.2024048941364238E-4</v>
      </c>
      <c r="D85" s="47">
        <f>(D82*D83*D84*B84*A82)</f>
        <v>1.1792138040758938E+23</v>
      </c>
      <c r="E85" s="47">
        <f>(C85*A82)</f>
        <v>1.1161896800302496E-3</v>
      </c>
      <c r="F85" s="54">
        <f>(F87/O87)*O88-F88</f>
        <v>-2040.2035347137266</v>
      </c>
      <c r="G85" s="54"/>
      <c r="H85" s="54"/>
      <c r="I85" s="54"/>
      <c r="J85" s="54"/>
      <c r="K85" s="54"/>
      <c r="L85" s="54"/>
      <c r="M85" s="54"/>
      <c r="N85" s="52">
        <f>(F85+Q94)*F88</f>
        <v>-8366208.6549151922</v>
      </c>
      <c r="O85" s="45">
        <f>H84</f>
        <v>-1</v>
      </c>
      <c r="P85" s="45">
        <f>IF(Q94&lt;100,1,-1)</f>
        <v>1</v>
      </c>
      <c r="Q85" s="55">
        <f>Q84+F92</f>
        <v>-1.9839886738316741</v>
      </c>
      <c r="R85" s="59"/>
      <c r="S85" s="50"/>
      <c r="T85" s="60">
        <f>(AH83+AH82)+T81</f>
        <v>244.78479313436199</v>
      </c>
      <c r="U85" s="47">
        <f>(T83+U83)/2</f>
        <v>228.00882573880364</v>
      </c>
      <c r="V85" s="51">
        <f>(V83)</f>
        <v>3.2352132577021458E-4</v>
      </c>
      <c r="W85" s="47">
        <f>(W82*W83*W84*U84*T82)</f>
        <v>1.0794234352645421E+23</v>
      </c>
      <c r="X85" s="47">
        <f>(V85*T82)</f>
        <v>1.1228070264710029E-3</v>
      </c>
      <c r="Y85" s="54">
        <f>(Y87/AH87)*AH88-Y88</f>
        <v>-1102.9131996972533</v>
      </c>
      <c r="Z85" s="54"/>
      <c r="AA85" s="54"/>
      <c r="AB85" s="54"/>
      <c r="AC85" s="54"/>
      <c r="AD85" s="54"/>
      <c r="AE85" s="54"/>
      <c r="AF85" s="54"/>
      <c r="AG85" s="52">
        <f>(Y85+AJ94)*Y88</f>
        <v>-2445367.5134543362</v>
      </c>
      <c r="AH85" s="45">
        <f>AA84</f>
        <v>-1</v>
      </c>
      <c r="AI85" s="45">
        <f>IF(AJ94&lt;100,1,-1)</f>
        <v>1</v>
      </c>
      <c r="AJ85" s="55">
        <f>AJ84+Y92</f>
        <v>-1.9673364195531571</v>
      </c>
      <c r="AK85" s="59"/>
      <c r="AL85" s="50"/>
    </row>
    <row r="86" spans="1:38" x14ac:dyDescent="0.25">
      <c r="A86" s="60">
        <f>(O83*-1-O82)+A81</f>
        <v>204.68525693785338</v>
      </c>
      <c r="B86" s="47">
        <f>(B83+B82)/2</f>
        <v>220.4904977748476</v>
      </c>
      <c r="C86" s="47">
        <f>(B82+A84)/2</f>
        <v>215.47678991936863</v>
      </c>
      <c r="D86" s="47">
        <f>D82</f>
        <v>11472690524.278624</v>
      </c>
      <c r="E86" s="47">
        <f>(B83+A81)/2</f>
        <v>223.86872003117821</v>
      </c>
      <c r="F86" s="54">
        <f>(F88/O88)</f>
        <v>491.89332120185861</v>
      </c>
      <c r="G86" s="54"/>
      <c r="H86" s="54"/>
      <c r="I86" s="54"/>
      <c r="J86" s="54"/>
      <c r="K86" s="54"/>
      <c r="L86" s="54"/>
      <c r="M86" s="54"/>
      <c r="N86" s="54"/>
      <c r="O86" s="45">
        <f>H82</f>
        <v>-1</v>
      </c>
      <c r="P86" s="45">
        <f>IF(Q94&lt;0,-1,1)</f>
        <v>-1</v>
      </c>
      <c r="Q86" s="58">
        <f>Q61</f>
        <v>1054.0966837000001</v>
      </c>
      <c r="R86" s="59"/>
      <c r="S86" s="50"/>
      <c r="T86" s="60">
        <f>(AH83*-1-AH82)+T81</f>
        <v>204.67632166080344</v>
      </c>
      <c r="U86" s="47">
        <f>(U83+U82)/2</f>
        <v>220.4884873375114</v>
      </c>
      <c r="V86" s="47">
        <f>(U82+T84)/2</f>
        <v>215.47492840331657</v>
      </c>
      <c r="W86" s="47">
        <f>W82</f>
        <v>11009015476.655918</v>
      </c>
      <c r="X86" s="47">
        <f>(U83+T81)/2</f>
        <v>223.86291210109576</v>
      </c>
      <c r="Y86" s="54">
        <f>(Y88/AH88)</f>
        <v>469.3083026424199</v>
      </c>
      <c r="Z86" s="54"/>
      <c r="AA86" s="54"/>
      <c r="AB86" s="54"/>
      <c r="AC86" s="54"/>
      <c r="AD86" s="54"/>
      <c r="AE86" s="54"/>
      <c r="AF86" s="54"/>
      <c r="AG86" s="54"/>
      <c r="AH86" s="45">
        <f>AA82</f>
        <v>-1</v>
      </c>
      <c r="AI86" s="45">
        <f>IF(AJ94&lt;0,-1,1)</f>
        <v>-1</v>
      </c>
      <c r="AJ86" s="58">
        <f>AJ61</f>
        <v>1054.0966837000001</v>
      </c>
      <c r="AK86" s="59"/>
      <c r="AL86" s="50"/>
    </row>
    <row r="87" spans="1:38" x14ac:dyDescent="0.25">
      <c r="A87" s="51">
        <f>(A86-A85)+A81-A83</f>
        <v>-48.394341897607632</v>
      </c>
      <c r="B87" s="51">
        <f>(A87*-1)+A88</f>
        <v>20.054831421915935</v>
      </c>
      <c r="C87" s="51">
        <f>(B87/2)+A82</f>
        <v>13.51288902532238</v>
      </c>
      <c r="D87" s="51">
        <f>(C95+C88+B94+B87+A82)*-1</f>
        <v>7.7591860837569868</v>
      </c>
      <c r="E87" s="51">
        <f>(C87*A82)*D87</f>
        <v>365.44846290855537</v>
      </c>
      <c r="F87" s="45">
        <f>(E87*A82)</f>
        <v>1273.7608652432625</v>
      </c>
      <c r="G87" s="45">
        <f>(F87+E87)</f>
        <v>1639.2093281518178</v>
      </c>
      <c r="H87" s="54"/>
      <c r="I87" s="54"/>
      <c r="J87" s="54"/>
      <c r="K87" s="54"/>
      <c r="L87" s="54"/>
      <c r="M87" s="54"/>
      <c r="N87" s="54"/>
      <c r="O87" s="54">
        <v>785.5</v>
      </c>
      <c r="P87" s="45">
        <f>IF(N85&gt;-1,1,-1)</f>
        <v>-1</v>
      </c>
      <c r="Q87" s="48">
        <f>Q39</f>
        <v>0.9</v>
      </c>
      <c r="R87" s="59"/>
      <c r="S87" s="50"/>
      <c r="T87" s="51">
        <f>(T86-T85)+T81-T83</f>
        <v>-48.400298748974279</v>
      </c>
      <c r="U87" s="51">
        <f>(T87*-1)+T88</f>
        <v>20.054235736779276</v>
      </c>
      <c r="V87" s="51">
        <f>(U87/2)+T82</f>
        <v>13.49769905433746</v>
      </c>
      <c r="W87" s="51">
        <f>(V95+V88+U94+U87+T82)*-1</f>
        <v>7.7515613140076951</v>
      </c>
      <c r="X87" s="51">
        <f>(V87*T82)*W87</f>
        <v>363.12080757137988</v>
      </c>
      <c r="Y87" s="45">
        <f>(X87*T82)</f>
        <v>1260.2402429834103</v>
      </c>
      <c r="Z87" s="45">
        <f>(Y87+X87)</f>
        <v>1623.3610505547902</v>
      </c>
      <c r="AA87" s="54"/>
      <c r="AB87" s="54"/>
      <c r="AC87" s="54"/>
      <c r="AD87" s="54"/>
      <c r="AE87" s="54"/>
      <c r="AF87" s="54"/>
      <c r="AG87" s="54"/>
      <c r="AH87" s="54">
        <v>785.5</v>
      </c>
      <c r="AI87" s="45">
        <f>IF(AG85&gt;-1,1,-1)</f>
        <v>-1</v>
      </c>
      <c r="AJ87" s="48">
        <f>AJ39</f>
        <v>0.51</v>
      </c>
      <c r="AK87" s="59"/>
      <c r="AL87" s="50"/>
    </row>
    <row r="88" spans="1:38" x14ac:dyDescent="0.25">
      <c r="A88" s="51">
        <f>(A86-A85)+A81-A84</f>
        <v>-28.339510475691696</v>
      </c>
      <c r="B88" s="51">
        <f>A89+(A88*-1)+A87</f>
        <v>-96.788683795215263</v>
      </c>
      <c r="C88" s="47">
        <f>(B88/10)</f>
        <v>-9.6788683795215267</v>
      </c>
      <c r="D88" s="47"/>
      <c r="E88" s="47"/>
      <c r="F88" s="54">
        <f>(Q94*-1)</f>
        <v>2046.951585729742</v>
      </c>
      <c r="G88" s="54"/>
      <c r="H88" s="54"/>
      <c r="I88" s="54"/>
      <c r="J88" s="54"/>
      <c r="K88" s="54"/>
      <c r="L88" s="54"/>
      <c r="M88" s="54"/>
      <c r="N88" s="54"/>
      <c r="O88" s="54">
        <f>(H96/1000)*8.9</f>
        <v>4.1613730000000002</v>
      </c>
      <c r="P88" s="45">
        <f>(P90+O92)/2</f>
        <v>1013.6060573827542</v>
      </c>
      <c r="Q88" s="48">
        <f>H96/(Q95*1000)</f>
        <v>0.11236962268685412</v>
      </c>
      <c r="R88" s="59"/>
      <c r="S88" s="50"/>
      <c r="T88" s="51">
        <f>(T86-T85)+T81-T84</f>
        <v>-28.346063012195003</v>
      </c>
      <c r="U88" s="51">
        <f>T89+(T88*-1)+T87</f>
        <v>-96.800597497948559</v>
      </c>
      <c r="V88" s="47">
        <f>(U88/10)</f>
        <v>-9.6800597497948555</v>
      </c>
      <c r="W88" s="47"/>
      <c r="X88" s="47"/>
      <c r="Y88" s="54">
        <f>(AJ94*-1)</f>
        <v>1106.6965580264066</v>
      </c>
      <c r="Z88" s="54"/>
      <c r="AA88" s="54"/>
      <c r="AB88" s="54"/>
      <c r="AC88" s="54"/>
      <c r="AD88" s="54"/>
      <c r="AE88" s="54"/>
      <c r="AF88" s="54"/>
      <c r="AG88" s="54"/>
      <c r="AH88" s="54">
        <f>(AA96/1000)*8.9</f>
        <v>2.3581439999999998</v>
      </c>
      <c r="AI88" s="45">
        <f>(AI90+AH92)/2</f>
        <v>1013.6399218630274</v>
      </c>
      <c r="AJ88" s="48">
        <f>AA96/(AJ95*1000)</f>
        <v>0.11236641221374045</v>
      </c>
      <c r="AK88" s="59"/>
      <c r="AL88" s="50"/>
    </row>
    <row r="89" spans="1:38" x14ac:dyDescent="0.25">
      <c r="A89" s="51">
        <f>(A88+A87)</f>
        <v>-76.733852373299328</v>
      </c>
      <c r="B89" s="47"/>
      <c r="C89" s="47">
        <f>((F89+E89*-1)+E93)*10-A82+O89*-1-C85*111</f>
        <v>10.231450140042345</v>
      </c>
      <c r="D89" s="47"/>
      <c r="E89" s="47">
        <f>(E93+O89+F89)</f>
        <v>-6.4435326825088346E-2</v>
      </c>
      <c r="F89" s="54">
        <f>(O89*E93)</f>
        <v>5.9246895103846731</v>
      </c>
      <c r="G89" s="54"/>
      <c r="H89" s="78">
        <f>(P90+H90)/2</f>
        <v>773.49086884961139</v>
      </c>
      <c r="I89" s="54"/>
      <c r="J89" s="54"/>
      <c r="K89" s="54"/>
      <c r="L89" s="54"/>
      <c r="M89" s="54"/>
      <c r="N89" s="54">
        <f>(A85-A81)-(A81-B86)</f>
        <v>15.805240836994216</v>
      </c>
      <c r="O89" s="45">
        <f>(P89+A82+C85*10)</f>
        <v>-1.250224558975606</v>
      </c>
      <c r="P89" s="54">
        <f>E93</f>
        <v>-4.7389002782341549</v>
      </c>
      <c r="Q89" s="55">
        <f>(Q85*Q84*10)</f>
        <v>78.453639712324417</v>
      </c>
      <c r="R89" s="59"/>
      <c r="S89" s="50"/>
      <c r="T89" s="51">
        <f>(T88+T87)</f>
        <v>-76.746361761169283</v>
      </c>
      <c r="U89" s="47"/>
      <c r="V89" s="47">
        <f>((Y89+X89*-1)+X93)*10-T82+AH89*-1-V85*111</f>
        <v>10.24520767009283</v>
      </c>
      <c r="W89" s="47"/>
      <c r="X89" s="47">
        <f>(X93+AH89+Y89)</f>
        <v>-6.8431841055659248E-2</v>
      </c>
      <c r="Y89" s="54">
        <f>(AH89*X93)</f>
        <v>5.905693598731891</v>
      </c>
      <c r="Z89" s="54"/>
      <c r="AA89" s="78">
        <f>(AI90+AA90)/2</f>
        <v>773.51643543554894</v>
      </c>
      <c r="AB89" s="54"/>
      <c r="AC89" s="54"/>
      <c r="AD89" s="54"/>
      <c r="AE89" s="54"/>
      <c r="AF89" s="54"/>
      <c r="AG89" s="54">
        <f>(T85-T81)-(T81-U86)</f>
        <v>15.812165676707963</v>
      </c>
      <c r="AH89" s="45">
        <f>(AI89+T82+V85*10)</f>
        <v>-1.2501545202910134</v>
      </c>
      <c r="AI89" s="54">
        <f>X93</f>
        <v>-4.7239709194965371</v>
      </c>
      <c r="AJ89" s="55">
        <f>(AJ85*AJ84*10)</f>
        <v>77.444493436037163</v>
      </c>
      <c r="AK89" s="59"/>
      <c r="AL89" s="50"/>
    </row>
    <row r="90" spans="1:38" x14ac:dyDescent="0.25">
      <c r="A90" s="51">
        <f>(A81+A89)</f>
        <v>148.00623598646999</v>
      </c>
      <c r="B90" s="47">
        <f>(A81+A90)/2</f>
        <v>186.37316217311965</v>
      </c>
      <c r="C90" s="47">
        <f>(E86-A81)-(A81-B90)</f>
        <v>-39.238294515240767</v>
      </c>
      <c r="D90" s="51">
        <f>(B86+C86)/2</f>
        <v>217.98364384710811</v>
      </c>
      <c r="E90" s="51">
        <f>(A85+A91)</f>
        <v>450.35154504812976</v>
      </c>
      <c r="F90" s="78">
        <f>(G87*2)-G94</f>
        <v>3122.6532342334085</v>
      </c>
      <c r="G90" s="78">
        <f>(A82*F90)</f>
        <v>10883.924517934271</v>
      </c>
      <c r="H90" s="78">
        <f>(N92+P90)/2</f>
        <v>515.99064832759518</v>
      </c>
      <c r="I90" s="78"/>
      <c r="J90" s="78"/>
      <c r="K90" s="78"/>
      <c r="L90" s="78"/>
      <c r="M90" s="78"/>
      <c r="N90" s="78">
        <f>(O90+O91)/2</f>
        <v>1046.4857725888187</v>
      </c>
      <c r="O90" s="45">
        <f>(A84+C86)/2*Q95/Q87</f>
        <v>990.42601473092304</v>
      </c>
      <c r="P90" s="45">
        <f>B83*Q95/Q87</f>
        <v>1030.9910893716276</v>
      </c>
      <c r="Q90" s="48">
        <f>(A86+B83)/2</f>
        <v>213.84130432022025</v>
      </c>
      <c r="R90" s="59"/>
      <c r="S90" s="50"/>
      <c r="T90" s="51">
        <f>(T81+T89)</f>
        <v>147.98419563641343</v>
      </c>
      <c r="U90" s="47">
        <f>(T81+T90)/2</f>
        <v>186.35737651699807</v>
      </c>
      <c r="V90" s="47">
        <f>(X86-T81)-(T81-U90)</f>
        <v>-39.240826177071597</v>
      </c>
      <c r="W90" s="51">
        <f>(U86+V86)/2</f>
        <v>217.98170787041397</v>
      </c>
      <c r="X90" s="51">
        <f>(T85+T91)</f>
        <v>450.32876009165238</v>
      </c>
      <c r="Y90" s="78">
        <f>(Z87*2)-Z94</f>
        <v>3090.9863441591592</v>
      </c>
      <c r="Z90" s="78">
        <f>(T82*Y90)</f>
        <v>10727.519052060417</v>
      </c>
      <c r="AA90" s="78">
        <f>(AG92+AI90)/2</f>
        <v>516.00769611567125</v>
      </c>
      <c r="AB90" s="78"/>
      <c r="AC90" s="78"/>
      <c r="AD90" s="78"/>
      <c r="AE90" s="78"/>
      <c r="AF90" s="78"/>
      <c r="AG90" s="78">
        <f>(AH90+AH91)/2</f>
        <v>1046.5157813859141</v>
      </c>
      <c r="AH90" s="45">
        <f>(T84+V86)/2*AJ95/AJ87</f>
        <v>990.45958467316211</v>
      </c>
      <c r="AI90" s="45">
        <f>U83*AJ95/AJ87</f>
        <v>1031.0251747554266</v>
      </c>
      <c r="AJ90" s="48">
        <f>(T86+U83)/2</f>
        <v>213.83579423270612</v>
      </c>
      <c r="AK90" s="59"/>
      <c r="AL90" s="50"/>
    </row>
    <row r="91" spans="1:38" x14ac:dyDescent="0.25">
      <c r="A91" s="51">
        <f>((A86+A85+A84+A83)/4-A86-A81)*-1</f>
        <v>205.55662526644448</v>
      </c>
      <c r="B91" s="47">
        <f>(B86+C86)/2</f>
        <v>217.98364384710811</v>
      </c>
      <c r="C91" s="47">
        <f>(E93+A82)</f>
        <v>-1.2534269638697424</v>
      </c>
      <c r="D91" s="51">
        <f>(A93+D92+A85+D92)/2</f>
        <v>379.97844280998646</v>
      </c>
      <c r="E91" s="51">
        <f>(A86+D92+A85)/3</f>
        <v>201.50022969586931</v>
      </c>
      <c r="F91" s="78">
        <f>(O91+P90)/2</f>
        <v>1066.768309909171</v>
      </c>
      <c r="G91" s="48"/>
      <c r="H91" s="78">
        <f>(O91+P90+N90)/3</f>
        <v>1060.0074641357203</v>
      </c>
      <c r="I91" s="78"/>
      <c r="J91" s="78"/>
      <c r="K91" s="78"/>
      <c r="L91" s="78"/>
      <c r="M91" s="78"/>
      <c r="N91" s="78">
        <f>((A91+A85)/2)*Q95/Q87</f>
        <v>1041.0626549695933</v>
      </c>
      <c r="O91" s="45">
        <f>((A92+A83)/2)*Q95/Q87</f>
        <v>1102.5455304467141</v>
      </c>
      <c r="P91" s="45">
        <f>B82*Q95/Q87</f>
        <v>1007.8110467197964</v>
      </c>
      <c r="Q91" s="55">
        <f>A82+E93</f>
        <v>-1.2534269638697424</v>
      </c>
      <c r="R91" s="59"/>
      <c r="S91" s="50"/>
      <c r="T91" s="51">
        <f>((T86+T85+T84+T83)/4-T86-T81)*-1</f>
        <v>205.54396695729039</v>
      </c>
      <c r="U91" s="47">
        <f>(U86+V86)/2</f>
        <v>217.98170787041397</v>
      </c>
      <c r="V91" s="47">
        <f>(X93+T82)</f>
        <v>-1.2533897335487154</v>
      </c>
      <c r="W91" s="51">
        <f>(T93+W92+T85+W92)/2</f>
        <v>379.95606738704055</v>
      </c>
      <c r="X91" s="51">
        <f>(T86+W92+T85)/3</f>
        <v>201.48990448683381</v>
      </c>
      <c r="Y91" s="78">
        <f>(AH91+AI90)/2</f>
        <v>1066.7985764270466</v>
      </c>
      <c r="Z91" s="48"/>
      <c r="AA91" s="78">
        <f>(AH91+AI90+AG90)/3</f>
        <v>1060.037644746669</v>
      </c>
      <c r="AB91" s="78"/>
      <c r="AC91" s="78"/>
      <c r="AD91" s="78"/>
      <c r="AE91" s="78"/>
      <c r="AF91" s="78"/>
      <c r="AG91" s="78">
        <f>((T91+T85)/2)*AJ95/AJ87</f>
        <v>1041.0541336236436</v>
      </c>
      <c r="AH91" s="45">
        <f>((T92+T83)/2)*AJ95/AJ87</f>
        <v>1102.5719780986662</v>
      </c>
      <c r="AI91" s="45">
        <f>U82*AJ95/AJ87</f>
        <v>1007.844837565561</v>
      </c>
      <c r="AJ91" s="55">
        <f>T82+X93</f>
        <v>-1.2533897335487154</v>
      </c>
      <c r="AK91" s="59"/>
      <c r="AL91" s="50"/>
    </row>
    <row r="92" spans="1:38" x14ac:dyDescent="0.25">
      <c r="A92" s="51">
        <f>((A86+A85+A84+A83)/4-A86-A81*-1)</f>
        <v>243.92355145309415</v>
      </c>
      <c r="B92" s="47">
        <f>B83/2</f>
        <v>111.49867585129356</v>
      </c>
      <c r="C92" s="47">
        <f>(B82+C86)/2</f>
        <v>216.73021688323837</v>
      </c>
      <c r="D92" s="51">
        <f>(A91+A90+B92)/3</f>
        <v>155.02051236806935</v>
      </c>
      <c r="E92" s="51">
        <f>(A86+A85+B92)/3</f>
        <v>186.99295085694405</v>
      </c>
      <c r="F92" s="48">
        <f>E89+(C96*-1)-E89-E93</f>
        <v>1.9703504182764995</v>
      </c>
      <c r="G92" s="48"/>
      <c r="H92" s="78">
        <f>(P92+N92)/2</f>
        <v>362.26967197004382</v>
      </c>
      <c r="I92" s="48"/>
      <c r="J92" s="48"/>
      <c r="K92" s="48"/>
      <c r="L92" s="48"/>
      <c r="M92" s="48"/>
      <c r="N92" s="78">
        <f>((N91+N90)/2/Q86)</f>
        <v>0.99020728356286924</v>
      </c>
      <c r="O92" s="45">
        <f>((A84+D90)/2)*Q95/Q87</f>
        <v>996.22102539388084</v>
      </c>
      <c r="P92" s="45">
        <f>((B92+E91)/2)*Q95/Q87</f>
        <v>723.54913665652475</v>
      </c>
      <c r="Q92" s="55">
        <f>(Q91*Q89/10)</f>
        <v>-9.8335907429149447</v>
      </c>
      <c r="R92" s="59"/>
      <c r="S92" s="50"/>
      <c r="T92" s="51">
        <f>((T86+T85+T84+T83)/4-T86-T81*-1)</f>
        <v>243.91714783787504</v>
      </c>
      <c r="U92" s="47">
        <f>U83/2</f>
        <v>111.4976334023044</v>
      </c>
      <c r="V92" s="47">
        <f>(U82+V86)/2</f>
        <v>216.72831813686525</v>
      </c>
      <c r="W92" s="51">
        <f>(T91+T90+U92)/3</f>
        <v>155.00859866533608</v>
      </c>
      <c r="X92" s="51">
        <f>(T86+T85+U92)/3</f>
        <v>186.98624939915661</v>
      </c>
      <c r="Y92" s="48">
        <f>X89+(V96*-1)-X89-X93</f>
        <v>1.969178589589367</v>
      </c>
      <c r="Z92" s="48"/>
      <c r="AA92" s="78">
        <f>(AI92+AG92)/2</f>
        <v>362.27188047452069</v>
      </c>
      <c r="AB92" s="48"/>
      <c r="AC92" s="48"/>
      <c r="AD92" s="48"/>
      <c r="AE92" s="48"/>
      <c r="AF92" s="48"/>
      <c r="AG92" s="78">
        <f>((AG91+AG90)/2/AJ86)</f>
        <v>0.99021747591594178</v>
      </c>
      <c r="AH92" s="45">
        <f>((T84+W90)/2)*AJ95/AJ87</f>
        <v>996.25466897062836</v>
      </c>
      <c r="AI92" s="45">
        <f>((U92+X91)/2)*AJ95/AJ87</f>
        <v>723.55354347312539</v>
      </c>
      <c r="AJ92" s="55">
        <f>(AJ91*AJ89/10)</f>
        <v>-9.7068132992609861</v>
      </c>
      <c r="AK92" s="59"/>
      <c r="AL92" s="50"/>
    </row>
    <row r="93" spans="1:38" x14ac:dyDescent="0.25">
      <c r="A93" s="51">
        <f>(A86+A91)/2</f>
        <v>205.12094110214895</v>
      </c>
      <c r="B93" s="47">
        <f>(A83+B85)/2</f>
        <v>230.51791348580559</v>
      </c>
      <c r="C93" s="47">
        <f>(A82*C85)</f>
        <v>1.1161896800302496E-3</v>
      </c>
      <c r="D93" s="47">
        <f>(A83+B93)/2</f>
        <v>231.77134044967534</v>
      </c>
      <c r="E93" s="47">
        <f>(D93-A81)-(A81-A84)</f>
        <v>-4.7389002782341549</v>
      </c>
      <c r="F93" s="78">
        <f>(N93+H93)/2</f>
        <v>1081.8833791943744</v>
      </c>
      <c r="G93" s="48"/>
      <c r="H93" s="117">
        <f>A92*Q95/Q87</f>
        <v>1127.7398862181385</v>
      </c>
      <c r="I93" s="48"/>
      <c r="J93" s="48"/>
      <c r="K93" s="48"/>
      <c r="L93" s="48"/>
      <c r="M93" s="48"/>
      <c r="N93" s="78">
        <f>(N91+P90)/2</f>
        <v>1036.0268721706104</v>
      </c>
      <c r="O93" s="45">
        <f>((E90+A90)/2)*Q95/Q87</f>
        <v>1383.2037371583162</v>
      </c>
      <c r="P93" s="45">
        <f>((E91+E93/10)/2)*Q95/Q87</f>
        <v>464.70588853263274</v>
      </c>
      <c r="Q93" s="51">
        <f>(Q92+C96)</f>
        <v>-7.0650408829572893</v>
      </c>
      <c r="R93" s="59"/>
      <c r="S93" s="50"/>
      <c r="T93" s="51">
        <f>(T86+T91)/2</f>
        <v>205.11014430904692</v>
      </c>
      <c r="U93" s="47">
        <f>(T83+U85)/2</f>
        <v>230.51560520590104</v>
      </c>
      <c r="V93" s="47">
        <f>(T82*V85)</f>
        <v>1.1228070264710029E-3</v>
      </c>
      <c r="W93" s="47">
        <f>(T83+U93)/2</f>
        <v>231.76899493944973</v>
      </c>
      <c r="X93" s="47">
        <f>(W93-T81)-(T81-T84)</f>
        <v>-4.7239709194965371</v>
      </c>
      <c r="Y93" s="78">
        <f>(AG93+AA93)/2</f>
        <v>1081.8988806258553</v>
      </c>
      <c r="Z93" s="48"/>
      <c r="AA93" s="117">
        <f>T92*AJ95/AJ87</f>
        <v>1127.7581070621752</v>
      </c>
      <c r="AB93" s="48"/>
      <c r="AC93" s="48"/>
      <c r="AD93" s="48"/>
      <c r="AE93" s="48"/>
      <c r="AF93" s="48"/>
      <c r="AG93" s="78">
        <f>(AG91+AI90)/2</f>
        <v>1036.0396541895352</v>
      </c>
      <c r="AH93" s="45">
        <f>((X90+T90)/2)*AJ95/AJ87</f>
        <v>1383.1587741242934</v>
      </c>
      <c r="AI93" s="45">
        <f>((X91+X93/10)/2)*AJ95/AJ87</f>
        <v>464.70517885993809</v>
      </c>
      <c r="AJ93" s="51">
        <f>(AJ92+V96)</f>
        <v>-6.952020969353816</v>
      </c>
      <c r="AK93" s="59"/>
      <c r="AL93" s="50"/>
    </row>
    <row r="94" spans="1:38" x14ac:dyDescent="0.25">
      <c r="A94" s="51">
        <f>(A82*-1)+A89</f>
        <v>-80.219325687663741</v>
      </c>
      <c r="B94" s="51">
        <f>(A95*-1)+A94</f>
        <v>-6.9709466287288251</v>
      </c>
      <c r="C94" s="51">
        <f>(B94/2)+A82</f>
        <v>0</v>
      </c>
      <c r="D94" s="47"/>
      <c r="E94" s="51">
        <f>(C94*A82)+D87</f>
        <v>7.7591860837569868</v>
      </c>
      <c r="F94" s="78">
        <f>A90*Q95/Q95</f>
        <v>148.00623598646999</v>
      </c>
      <c r="G94" s="78">
        <f>(E94+F94)</f>
        <v>155.76542207022698</v>
      </c>
      <c r="H94" s="48">
        <f>(O95+H92)/2</f>
        <v>1222.1974909546152</v>
      </c>
      <c r="I94" s="48"/>
      <c r="J94" s="48"/>
      <c r="K94" s="48"/>
      <c r="L94" s="48"/>
      <c r="M94" s="48"/>
      <c r="N94" s="78">
        <f>(O91+H91+O91)/3</f>
        <v>1088.3661750097162</v>
      </c>
      <c r="O94" s="45">
        <f>((B85+E93)/2)*Q95/Q87</f>
        <v>516.13080820187815</v>
      </c>
      <c r="P94" s="45">
        <f>D90*Q95/Q87</f>
        <v>1007.8110467197964</v>
      </c>
      <c r="Q94" s="135">
        <f>((Q93*Q92*C96*-1)*Q95*Q84*Q85)*0.326</f>
        <v>-2046.951585729742</v>
      </c>
      <c r="R94" s="59"/>
      <c r="S94" s="50"/>
      <c r="T94" s="51">
        <f>(T82*-1)+T89</f>
        <v>-80.216942947117104</v>
      </c>
      <c r="U94" s="51">
        <f>(T95*-1)+T94</f>
        <v>-6.9411623718956434</v>
      </c>
      <c r="V94" s="51">
        <f>(U94/2)+T82</f>
        <v>0</v>
      </c>
      <c r="W94" s="47"/>
      <c r="X94" s="51">
        <f>(V94*T82)+W87</f>
        <v>7.7515613140076951</v>
      </c>
      <c r="Y94" s="78">
        <f>T90*AJ95/AJ95</f>
        <v>147.98419563641343</v>
      </c>
      <c r="Z94" s="78">
        <f>(X94+Y94)</f>
        <v>155.73575695042112</v>
      </c>
      <c r="AA94" s="48">
        <f>(AH95+AA92)/2</f>
        <v>1222.1900738609038</v>
      </c>
      <c r="AB94" s="48"/>
      <c r="AC94" s="48"/>
      <c r="AD94" s="48"/>
      <c r="AE94" s="48"/>
      <c r="AF94" s="48"/>
      <c r="AG94" s="78">
        <f>(AH91+AA91+AH91)/3</f>
        <v>1088.393866981334</v>
      </c>
      <c r="AH94" s="45">
        <f>((U85+X93)/2)*AJ95/AJ87</f>
        <v>516.18204672933939</v>
      </c>
      <c r="AI94" s="45">
        <f>W90*AJ95/AJ87</f>
        <v>1007.844837565561</v>
      </c>
      <c r="AJ94" s="135">
        <f>((AJ93*AJ92*V96*-1)*AJ95*AJ84*AJ85)*0.326</f>
        <v>-1106.6965580264066</v>
      </c>
      <c r="AK94" s="59"/>
      <c r="AL94" s="50"/>
    </row>
    <row r="95" spans="1:38" x14ac:dyDescent="0.25">
      <c r="A95" s="51">
        <f>A82+A89</f>
        <v>-73.248379058934916</v>
      </c>
      <c r="B95" s="51">
        <f>(A96+(A94*-1)+A95)</f>
        <v>-146.49675811786983</v>
      </c>
      <c r="C95" s="47">
        <f>(B95/10)</f>
        <v>-14.649675811786983</v>
      </c>
      <c r="D95" s="47"/>
      <c r="E95" s="47">
        <f>((D91+B92)/2)*Q95</f>
        <v>1022.518145374793</v>
      </c>
      <c r="F95" s="48">
        <f>((E90+B92)/2)*Q95/Q87</f>
        <v>1298.8104273125002</v>
      </c>
      <c r="G95" s="48"/>
      <c r="H95" s="48">
        <f>(Q96/2)</f>
        <v>467.57175383250001</v>
      </c>
      <c r="I95" s="48"/>
      <c r="J95" s="48"/>
      <c r="K95" s="48"/>
      <c r="L95" s="48"/>
      <c r="M95" s="48"/>
      <c r="N95" s="78">
        <f>(Q96/2)/Q87</f>
        <v>519.52417092500002</v>
      </c>
      <c r="O95" s="45">
        <f>E90*Q95/Q87</f>
        <v>2082.1253099391865</v>
      </c>
      <c r="P95" s="45">
        <f>((B82+A85)/2)*Q95/Q87</f>
        <v>1069.7897795885604</v>
      </c>
      <c r="Q95" s="124">
        <f>ROUND(O88,N96)</f>
        <v>4.1609999999999996</v>
      </c>
      <c r="R95" s="59"/>
      <c r="S95" s="50"/>
      <c r="T95" s="51">
        <f>T82+T89</f>
        <v>-73.275780575221461</v>
      </c>
      <c r="U95" s="51">
        <f>(T96+(T94*-1)+T95)</f>
        <v>-146.55156115044292</v>
      </c>
      <c r="V95" s="47">
        <f>(U95/10)</f>
        <v>-14.655156115044292</v>
      </c>
      <c r="W95" s="47"/>
      <c r="X95" s="47">
        <f>((W91+U92)/2)*AJ95</f>
        <v>579.42391323063771</v>
      </c>
      <c r="Y95" s="48">
        <f>((X90+U92)/2)*AJ95/AJ87</f>
        <v>1298.8104273125</v>
      </c>
      <c r="Z95" s="48"/>
      <c r="AA95" s="48">
        <f>(AJ96/2)</f>
        <v>264.95732717175002</v>
      </c>
      <c r="AB95" s="48"/>
      <c r="AC95" s="48"/>
      <c r="AD95" s="48"/>
      <c r="AE95" s="48"/>
      <c r="AF95" s="48"/>
      <c r="AG95" s="78">
        <f>(AJ96/2)/AJ87</f>
        <v>519.52417092500002</v>
      </c>
      <c r="AH95" s="45">
        <f>X90*AJ95/AJ87</f>
        <v>2082.1082672472871</v>
      </c>
      <c r="AI95" s="45">
        <f>((U82+T85)/2)*AJ95/AJ87</f>
        <v>1069.8072640875114</v>
      </c>
      <c r="AJ95" s="124">
        <f>ROUND(AH88,AG96)</f>
        <v>2.3580000000000001</v>
      </c>
      <c r="AK95" s="59"/>
      <c r="AL95" s="50"/>
    </row>
    <row r="96" spans="1:38" x14ac:dyDescent="0.25">
      <c r="A96" s="78">
        <f>(A94+A95)</f>
        <v>-153.46770474659866</v>
      </c>
      <c r="B96" s="48"/>
      <c r="C96" s="55">
        <f>INT(C89)-C89+N96</f>
        <v>2.7685498599576555</v>
      </c>
      <c r="D96" s="48"/>
      <c r="E96" s="78" t="s">
        <v>11</v>
      </c>
      <c r="F96" s="48">
        <f>((O96+B92+E90)/3)*Q95/Q87</f>
        <v>2717.9973393806413</v>
      </c>
      <c r="G96" s="48"/>
      <c r="H96" s="48">
        <f>ROUND(H95,2)</f>
        <v>467.57</v>
      </c>
      <c r="I96" s="48"/>
      <c r="J96" s="48"/>
      <c r="K96" s="48"/>
      <c r="L96" s="48"/>
      <c r="M96" s="48"/>
      <c r="N96" s="48">
        <v>3</v>
      </c>
      <c r="O96" s="45">
        <f>((B82+B92+E90)/3)*Q95/Q87</f>
        <v>1201.8106337815989</v>
      </c>
      <c r="P96" s="78">
        <f>(Q96/Q95)</f>
        <v>224.74008835976932</v>
      </c>
      <c r="Q96" s="45">
        <f>P82*Q87</f>
        <v>935.14350766500002</v>
      </c>
      <c r="R96" s="59"/>
      <c r="S96" s="50"/>
      <c r="T96" s="78">
        <f>(T94+T95)</f>
        <v>-153.49272352233857</v>
      </c>
      <c r="U96" s="48"/>
      <c r="V96" s="55">
        <f>INT(V89)-V89+AG96</f>
        <v>2.7547923299071702</v>
      </c>
      <c r="W96" s="48"/>
      <c r="X96" s="78" t="s">
        <v>11</v>
      </c>
      <c r="Y96" s="48">
        <f>((AH96+U92+X90)/3)*AJ95/AJ87</f>
        <v>2718.0932483140723</v>
      </c>
      <c r="Z96" s="48"/>
      <c r="AA96" s="48">
        <f>ROUND(AA95,2)</f>
        <v>264.95999999999998</v>
      </c>
      <c r="AB96" s="48"/>
      <c r="AC96" s="48"/>
      <c r="AD96" s="48"/>
      <c r="AE96" s="48"/>
      <c r="AF96" s="48"/>
      <c r="AG96" s="48">
        <v>3</v>
      </c>
      <c r="AH96" s="45">
        <f>((U82+U92+X90)/3)*AJ95/AJ87</f>
        <v>1201.8218973968535</v>
      </c>
      <c r="AI96" s="78">
        <f>(AJ96/AJ95)</f>
        <v>224.73055739758271</v>
      </c>
      <c r="AJ96" s="45">
        <f>AI82*AJ87</f>
        <v>529.91465434350005</v>
      </c>
      <c r="AK96" s="59"/>
      <c r="AL96" s="50"/>
    </row>
    <row r="97" spans="1:38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 t="s">
        <v>12</v>
      </c>
      <c r="Q97" s="59"/>
      <c r="R97" s="59"/>
      <c r="S97" s="50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 t="s">
        <v>12</v>
      </c>
      <c r="AJ97" s="59"/>
      <c r="AK97" s="59"/>
      <c r="AL97" s="50"/>
    </row>
    <row r="98" spans="1:38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0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0"/>
    </row>
    <row r="99" spans="1:38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0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0"/>
    </row>
    <row r="100" spans="1:38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0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0"/>
    </row>
    <row r="101" spans="1:38" x14ac:dyDescent="0.25">
      <c r="A101" s="45">
        <f>P116</f>
        <v>228.09860962073336</v>
      </c>
      <c r="B101" s="46">
        <f>(A101*10^0.125)</f>
        <v>304.17438457590328</v>
      </c>
      <c r="C101" s="47">
        <f>INT(B101)</f>
        <v>304</v>
      </c>
      <c r="D101" s="47">
        <f>C101*4</f>
        <v>1216</v>
      </c>
      <c r="E101" s="47">
        <f>D101/5</f>
        <v>243.2</v>
      </c>
      <c r="F101" s="48">
        <f>E101^2</f>
        <v>59146.239999999998</v>
      </c>
      <c r="G101" s="48">
        <f>(F101^0.125)</f>
        <v>3.9490341796057353</v>
      </c>
      <c r="H101" s="48">
        <f>G101/3</f>
        <v>1.316344726535245</v>
      </c>
      <c r="I101" s="48">
        <f>(H101*100)</f>
        <v>131.63447265352451</v>
      </c>
      <c r="J101" s="48">
        <f>(F101/100)</f>
        <v>591.4624</v>
      </c>
      <c r="K101" s="48">
        <f>(J101+I101)/2</f>
        <v>361.54843632676227</v>
      </c>
      <c r="L101" s="48">
        <f>(K101+I101)/2</f>
        <v>246.59145449014341</v>
      </c>
      <c r="M101" s="48">
        <f>(L101+A101)/2</f>
        <v>237.34503205543837</v>
      </c>
      <c r="N101" s="48">
        <f>M101*100^0.5</f>
        <v>2373.4503205543838</v>
      </c>
      <c r="O101" s="48">
        <f>INT(N101)/10</f>
        <v>237.3</v>
      </c>
      <c r="P101" s="48">
        <f>(O101)^2/10000</f>
        <v>5.6311290000000005</v>
      </c>
      <c r="Q101" s="48">
        <f>(P101+I101+M101)/3</f>
        <v>124.87021123632094</v>
      </c>
      <c r="R101" s="49">
        <f>Q106^0.5</f>
        <v>32.466855155681465</v>
      </c>
      <c r="S101" s="50"/>
      <c r="T101" s="45">
        <f>AI116</f>
        <v>235.75145791130626</v>
      </c>
      <c r="U101" s="46">
        <f>(T101*10^0.125)</f>
        <v>314.3796217884767</v>
      </c>
      <c r="V101" s="47">
        <f>INT(U101)</f>
        <v>314</v>
      </c>
      <c r="W101" s="47">
        <f>V101*4</f>
        <v>1256</v>
      </c>
      <c r="X101" s="47">
        <f>W101/5</f>
        <v>251.2</v>
      </c>
      <c r="Y101" s="48">
        <f>X101^2</f>
        <v>63101.439999999995</v>
      </c>
      <c r="Z101" s="48">
        <f>(Y101^0.125)</f>
        <v>3.9811167032538943</v>
      </c>
      <c r="AA101" s="48">
        <f>Z101/3</f>
        <v>1.3270389010846315</v>
      </c>
      <c r="AB101" s="48">
        <f>(AA101*100)</f>
        <v>132.70389010846316</v>
      </c>
      <c r="AC101" s="48">
        <f>(Y101/100)</f>
        <v>631.01439999999991</v>
      </c>
      <c r="AD101" s="48">
        <f>(AC101+AB101)/2</f>
        <v>381.85914505423153</v>
      </c>
      <c r="AE101" s="48">
        <f>(AD101+AB101)/2</f>
        <v>257.28151758134732</v>
      </c>
      <c r="AF101" s="48">
        <f>(AE101+T101)/2</f>
        <v>246.51648774632679</v>
      </c>
      <c r="AG101" s="48">
        <f>AF101*100^0.5</f>
        <v>2465.1648774632677</v>
      </c>
      <c r="AH101" s="48">
        <f>INT(AG101)/10</f>
        <v>246.5</v>
      </c>
      <c r="AI101" s="48">
        <f>(AH101)^2/10000</f>
        <v>6.076225</v>
      </c>
      <c r="AJ101" s="48">
        <f>(AI101+AB101+AF101)/3</f>
        <v>128.43220095159666</v>
      </c>
      <c r="AK101" s="49">
        <f>AJ106^0.5</f>
        <v>32.466855155681465</v>
      </c>
      <c r="AL101" s="50"/>
    </row>
    <row r="102" spans="1:38" x14ac:dyDescent="0.25">
      <c r="A102" s="51">
        <f>(O103-O102)</f>
        <v>2.3430690295770091</v>
      </c>
      <c r="B102" s="46">
        <f>(B103+A104)/2</f>
        <v>221.7293546450577</v>
      </c>
      <c r="C102" s="52">
        <f>(D104*C104*B104*C103*D103*A102)</f>
        <v>169748659777.91306</v>
      </c>
      <c r="D102" s="47">
        <f>(C103*C102*A102)</f>
        <v>300440579.04412544</v>
      </c>
      <c r="E102" s="51">
        <f>INT(A102+1)</f>
        <v>3</v>
      </c>
      <c r="F102" s="53">
        <f>(Q114*-1)</f>
        <v>-6.1397516288408731</v>
      </c>
      <c r="G102" s="54"/>
      <c r="H102" s="45">
        <f>IF(F102&gt;0,-1,1)</f>
        <v>1</v>
      </c>
      <c r="I102" s="54"/>
      <c r="J102" s="54"/>
      <c r="K102" s="54"/>
      <c r="L102" s="54"/>
      <c r="M102" s="54"/>
      <c r="N102" s="54">
        <f>(M101+O101)/2</f>
        <v>237.32251602771919</v>
      </c>
      <c r="O102" s="54">
        <f>N102-A101</f>
        <v>9.223906406985833</v>
      </c>
      <c r="P102" s="54">
        <f>(Q106+R104)/2</f>
        <v>1049.53347985</v>
      </c>
      <c r="Q102" s="55">
        <f>(Q105*A102*100)</f>
        <v>503.00660403351668</v>
      </c>
      <c r="R102" s="49">
        <f>INT(R101)+0.326</f>
        <v>32.326000000000001</v>
      </c>
      <c r="S102" s="50"/>
      <c r="T102" s="51">
        <f>(AH103-AH102)</f>
        <v>0.86129151746081334</v>
      </c>
      <c r="U102" s="46">
        <f>(U103+T104)/2</f>
        <v>229.72709629228208</v>
      </c>
      <c r="V102" s="52">
        <f>(W104*V104*U104*V103*W103*T102)</f>
        <v>3142747.2710402869</v>
      </c>
      <c r="W102" s="47">
        <f>(V103*V102*T102)</f>
        <v>22243.82876109362</v>
      </c>
      <c r="X102" s="51">
        <f>INT(T102+1)</f>
        <v>1</v>
      </c>
      <c r="Y102" s="53">
        <f>(AJ114*-1)</f>
        <v>-0.25714583971967347</v>
      </c>
      <c r="Z102" s="54"/>
      <c r="AA102" s="45">
        <f>IF(Y102&gt;0,-1,1)</f>
        <v>1</v>
      </c>
      <c r="AB102" s="54"/>
      <c r="AC102" s="54"/>
      <c r="AD102" s="54"/>
      <c r="AE102" s="54"/>
      <c r="AF102" s="54"/>
      <c r="AG102" s="54">
        <f>(AF101+AH101)/2</f>
        <v>246.50824387316339</v>
      </c>
      <c r="AH102" s="54">
        <f>AG102-T101</f>
        <v>10.756785961857133</v>
      </c>
      <c r="AI102" s="54">
        <f>(AJ106+AK104)/2</f>
        <v>1049.53347985</v>
      </c>
      <c r="AJ102" s="55">
        <f>(AJ105*T102*100)</f>
        <v>82.314763138043617</v>
      </c>
      <c r="AK102" s="49">
        <f>INT(AK101)+0.326</f>
        <v>32.326000000000001</v>
      </c>
      <c r="AL102" s="50"/>
    </row>
    <row r="103" spans="1:38" x14ac:dyDescent="0.25">
      <c r="A103" s="51">
        <f>N102</f>
        <v>237.32251602771919</v>
      </c>
      <c r="B103" s="56">
        <f>(N102+N104)/2</f>
        <v>226.92707510594485</v>
      </c>
      <c r="C103" s="47">
        <f>(A102/D104)</f>
        <v>7.5538290591703125E-4</v>
      </c>
      <c r="D103" s="47">
        <f>(A102+B104+C104+D104)</f>
        <v>7529.8341131260458</v>
      </c>
      <c r="E103" s="57">
        <f>(E102*C104)</f>
        <v>3971.4957493749666</v>
      </c>
      <c r="F103" s="58"/>
      <c r="G103" s="54"/>
      <c r="H103" s="54"/>
      <c r="I103" s="54"/>
      <c r="J103" s="54"/>
      <c r="K103" s="54"/>
      <c r="L103" s="54"/>
      <c r="M103" s="54">
        <f>(N102+N104)/2</f>
        <v>226.92707510594485</v>
      </c>
      <c r="N103" s="54">
        <f>(I101+N102)/2</f>
        <v>184.47849434062186</v>
      </c>
      <c r="O103" s="54">
        <f>A101-N104</f>
        <v>11.566975436562842</v>
      </c>
      <c r="P103" s="54"/>
      <c r="Q103" s="48"/>
      <c r="R103" s="59"/>
      <c r="S103" s="50"/>
      <c r="T103" s="51">
        <f>AG102</f>
        <v>246.50824387316339</v>
      </c>
      <c r="U103" s="56">
        <f>(AG102+AG104)/2</f>
        <v>235.32081215257585</v>
      </c>
      <c r="V103" s="47">
        <f>(T102/W104)</f>
        <v>8.2176930463089878E-3</v>
      </c>
      <c r="W103" s="47">
        <f>(T102+U104+V104+W104)</f>
        <v>332.16875452187259</v>
      </c>
      <c r="X103" s="57">
        <f>(X102*V104)</f>
        <v>121.6886532953618</v>
      </c>
      <c r="Y103" s="58"/>
      <c r="Z103" s="54"/>
      <c r="AA103" s="54"/>
      <c r="AB103" s="54"/>
      <c r="AC103" s="54"/>
      <c r="AD103" s="54"/>
      <c r="AE103" s="54"/>
      <c r="AF103" s="54">
        <f>(AG102+AG104)/2</f>
        <v>235.32081215257585</v>
      </c>
      <c r="AG103" s="54">
        <f>(AB101+AG102)/2</f>
        <v>189.60606699081328</v>
      </c>
      <c r="AH103" s="54">
        <f>T101-AG104</f>
        <v>11.618077479317947</v>
      </c>
      <c r="AI103" s="54"/>
      <c r="AJ103" s="48"/>
      <c r="AK103" s="59"/>
      <c r="AL103" s="50"/>
    </row>
    <row r="104" spans="1:38" x14ac:dyDescent="0.25">
      <c r="A104" s="60">
        <f>N104</f>
        <v>216.53163418417051</v>
      </c>
      <c r="B104" s="46">
        <f>G110</f>
        <v>3101.8295638190734</v>
      </c>
      <c r="C104" s="47">
        <f>(B104/A102)</f>
        <v>1323.8319164583222</v>
      </c>
      <c r="D104" s="47">
        <f>(A102*C104)</f>
        <v>3101.8295638190734</v>
      </c>
      <c r="E104" s="51">
        <f>INT(A102)+1</f>
        <v>3</v>
      </c>
      <c r="F104" s="58">
        <f>(Q114)</f>
        <v>6.1397516288408731</v>
      </c>
      <c r="G104" s="54"/>
      <c r="H104" s="45">
        <f>IF(F102&lt;0,1,-1)</f>
        <v>1</v>
      </c>
      <c r="I104" s="54"/>
      <c r="J104" s="54"/>
      <c r="K104" s="54"/>
      <c r="L104" s="54"/>
      <c r="M104" s="54">
        <f>(N103+P101*2)</f>
        <v>195.74075234062187</v>
      </c>
      <c r="N104" s="54">
        <f>(N102+M104)/2</f>
        <v>216.53163418417051</v>
      </c>
      <c r="O104" s="54">
        <f>(N103+J101)/2</f>
        <v>387.97044717031093</v>
      </c>
      <c r="P104" s="45">
        <f>IF(Q114&gt;1,-1,1)</f>
        <v>-1</v>
      </c>
      <c r="Q104" s="55">
        <f>F112-F109</f>
        <v>-1.279436507079236</v>
      </c>
      <c r="R104" s="49">
        <f>R102^2</f>
        <v>1044.970276</v>
      </c>
      <c r="S104" s="50"/>
      <c r="T104" s="60">
        <f>AG104</f>
        <v>224.13338043198831</v>
      </c>
      <c r="U104" s="46">
        <f>Z110</f>
        <v>104.80940485452497</v>
      </c>
      <c r="V104" s="47">
        <f>(U104/T102)</f>
        <v>121.6886532953618</v>
      </c>
      <c r="W104" s="47">
        <f>(T102*V104)</f>
        <v>104.80940485452497</v>
      </c>
      <c r="X104" s="51">
        <f>INT(T102)+1</f>
        <v>1</v>
      </c>
      <c r="Y104" s="58">
        <f>(AJ114)</f>
        <v>0.25714583971967347</v>
      </c>
      <c r="Z104" s="54"/>
      <c r="AA104" s="45">
        <f>IF(Y102&lt;0,1,-1)</f>
        <v>1</v>
      </c>
      <c r="AB104" s="54"/>
      <c r="AC104" s="54"/>
      <c r="AD104" s="54"/>
      <c r="AE104" s="54"/>
      <c r="AF104" s="54">
        <f>(AG103+AI101*2)</f>
        <v>201.75851699081326</v>
      </c>
      <c r="AG104" s="54">
        <f>(AG102+AF104)/2</f>
        <v>224.13338043198831</v>
      </c>
      <c r="AH104" s="54">
        <f>(AG103+AC101)/2</f>
        <v>410.31023349540658</v>
      </c>
      <c r="AI104" s="45">
        <f>IF(AJ114&gt;1,-1,1)</f>
        <v>1</v>
      </c>
      <c r="AJ104" s="55">
        <f>Y112-Y109</f>
        <v>-1.0093242651394418</v>
      </c>
      <c r="AK104" s="49">
        <f>AK102^2</f>
        <v>1044.970276</v>
      </c>
      <c r="AL104" s="50"/>
    </row>
    <row r="105" spans="1:38" x14ac:dyDescent="0.25">
      <c r="A105" s="60">
        <f>(O103+O102)+A101</f>
        <v>248.88949146428203</v>
      </c>
      <c r="B105" s="61">
        <f>(A103+B103)/2</f>
        <v>232.12479556683201</v>
      </c>
      <c r="C105" s="51">
        <f>(C103)</f>
        <v>7.5538290591703125E-4</v>
      </c>
      <c r="D105" s="47">
        <f>(D102*D103*D104*B104*A102)</f>
        <v>5.0999385635640443E+19</v>
      </c>
      <c r="E105" s="47">
        <f>(C105*A102)</f>
        <v>1.7699142923260796E-3</v>
      </c>
      <c r="F105" s="54">
        <f>(F107/O107)*O108-F108</f>
        <v>7.1440304106709043</v>
      </c>
      <c r="G105" s="54"/>
      <c r="H105" s="54"/>
      <c r="I105" s="54"/>
      <c r="J105" s="54"/>
      <c r="K105" s="54"/>
      <c r="L105" s="54"/>
      <c r="M105" s="54"/>
      <c r="N105" s="55">
        <f>(F105+Q114)*F108</f>
        <v>-81.559122414259576</v>
      </c>
      <c r="O105" s="45">
        <f>H104</f>
        <v>1</v>
      </c>
      <c r="P105" s="45">
        <f>IF(Q114&lt;100,1,-1)</f>
        <v>1</v>
      </c>
      <c r="Q105" s="55">
        <f>Q104+F112</f>
        <v>2.1467852533748175</v>
      </c>
      <c r="R105" s="59"/>
      <c r="S105" s="50"/>
      <c r="T105" s="60">
        <f>(AH103+AH102)+T101</f>
        <v>258.12632135248134</v>
      </c>
      <c r="U105" s="61">
        <f>(T103+U103)/2</f>
        <v>240.91452801286962</v>
      </c>
      <c r="V105" s="51">
        <f>(V103)</f>
        <v>8.2176930463089878E-3</v>
      </c>
      <c r="W105" s="47">
        <f>(W102*W103*W104*U104*T102)</f>
        <v>69906732136.414429</v>
      </c>
      <c r="X105" s="47">
        <f>(V105*T102)</f>
        <v>7.077829313882642E-3</v>
      </c>
      <c r="Y105" s="54">
        <f>(Y107/AH107)*AH108-Y108</f>
        <v>0.32536147061809312</v>
      </c>
      <c r="Z105" s="54"/>
      <c r="AA105" s="54"/>
      <c r="AB105" s="54"/>
      <c r="AC105" s="54"/>
      <c r="AD105" s="54"/>
      <c r="AE105" s="54"/>
      <c r="AF105" s="54"/>
      <c r="AG105" s="55">
        <f>(Y105+AJ114)*Y108</f>
        <v>-0.14978933145965342</v>
      </c>
      <c r="AH105" s="45">
        <f>AA104</f>
        <v>1</v>
      </c>
      <c r="AI105" s="45">
        <f>IF(AJ114&lt;100,1,-1)</f>
        <v>1</v>
      </c>
      <c r="AJ105" s="55">
        <f>AJ104+Y112</f>
        <v>0.95571315250749267</v>
      </c>
      <c r="AK105" s="59"/>
      <c r="AL105" s="50"/>
    </row>
    <row r="106" spans="1:38" x14ac:dyDescent="0.25">
      <c r="A106" s="60">
        <f>(O103*-1-O102)+A101</f>
        <v>207.30772777718468</v>
      </c>
      <c r="B106" s="47">
        <f>(B103+B102)/2</f>
        <v>224.32821487550126</v>
      </c>
      <c r="C106" s="47">
        <f>(B102+A104)/2</f>
        <v>219.13049441461411</v>
      </c>
      <c r="D106" s="47">
        <f>D102</f>
        <v>300440579.04412544</v>
      </c>
      <c r="E106" s="47">
        <f>(B103+A101)/2</f>
        <v>227.5128423633391</v>
      </c>
      <c r="F106" s="54">
        <f>(F108/O108)</f>
        <v>-4.0326166690689549</v>
      </c>
      <c r="G106" s="54"/>
      <c r="H106" s="54"/>
      <c r="I106" s="54"/>
      <c r="J106" s="54"/>
      <c r="K106" s="54"/>
      <c r="L106" s="54"/>
      <c r="M106" s="54"/>
      <c r="N106" s="54"/>
      <c r="O106" s="45">
        <f>H102</f>
        <v>1</v>
      </c>
      <c r="P106" s="45">
        <f>IF(Q114&lt;0,-1,1)</f>
        <v>1</v>
      </c>
      <c r="Q106" s="70">
        <f>Q38</f>
        <v>1054.0966837000001</v>
      </c>
      <c r="R106" s="71" t="s">
        <v>9</v>
      </c>
      <c r="S106" s="50"/>
      <c r="T106" s="60">
        <f>(AH103*-1-AH102)+T101</f>
        <v>213.37659447013118</v>
      </c>
      <c r="U106" s="47">
        <f>(U103+U102)/2</f>
        <v>232.52395422242898</v>
      </c>
      <c r="V106" s="47">
        <f>(U102+T104)/2</f>
        <v>226.93023836213519</v>
      </c>
      <c r="W106" s="47">
        <f>W102</f>
        <v>22243.82876109362</v>
      </c>
      <c r="X106" s="47">
        <f>(U103+T101)/2</f>
        <v>235.53613503194106</v>
      </c>
      <c r="Y106" s="54">
        <f>(Y108/AH108)</f>
        <v>-0.30639226913826717</v>
      </c>
      <c r="Z106" s="54"/>
      <c r="AA106" s="54"/>
      <c r="AB106" s="54"/>
      <c r="AC106" s="54"/>
      <c r="AD106" s="54"/>
      <c r="AE106" s="54"/>
      <c r="AF106" s="54"/>
      <c r="AG106" s="54"/>
      <c r="AH106" s="45">
        <f>AA102</f>
        <v>1</v>
      </c>
      <c r="AI106" s="45">
        <f>IF(AJ114&lt;0,-1,1)</f>
        <v>1</v>
      </c>
      <c r="AJ106" s="70">
        <f>Q38</f>
        <v>1054.0966837000001</v>
      </c>
      <c r="AK106" s="71" t="s">
        <v>9</v>
      </c>
      <c r="AL106" s="50"/>
    </row>
    <row r="107" spans="1:38" x14ac:dyDescent="0.25">
      <c r="A107" s="51">
        <f>(A106-A105)+A101-A103</f>
        <v>-50.805670094083183</v>
      </c>
      <c r="B107" s="51">
        <f>(A107*-1)+A108</f>
        <v>20.790881843548675</v>
      </c>
      <c r="C107" s="51">
        <f>(B107/2)+A102</f>
        <v>12.738509951351347</v>
      </c>
      <c r="D107" s="51">
        <f>(C115+C108+B114+B107+A102)*-1</f>
        <v>7.4087990678531064</v>
      </c>
      <c r="E107" s="51">
        <f>(C107*A102)*D107</f>
        <v>221.13196791951444</v>
      </c>
      <c r="F107" s="45">
        <f>(E107*A102)</f>
        <v>518.12746548163102</v>
      </c>
      <c r="G107" s="45">
        <f>(F107+E107)</f>
        <v>739.25943340114543</v>
      </c>
      <c r="H107" s="54"/>
      <c r="I107" s="54"/>
      <c r="J107" s="54"/>
      <c r="K107" s="54"/>
      <c r="L107" s="54"/>
      <c r="M107" s="54"/>
      <c r="N107" s="54"/>
      <c r="O107" s="54">
        <v>785.5</v>
      </c>
      <c r="P107" s="45">
        <f>IF(N105&gt;-1,1,-1)</f>
        <v>-1</v>
      </c>
      <c r="Q107" s="78">
        <f>N39</f>
        <v>0.32600000000000001</v>
      </c>
      <c r="R107" s="79">
        <f>(F116+H111)/2</f>
        <v>1905.6715812884459</v>
      </c>
      <c r="S107" s="50"/>
      <c r="T107" s="51">
        <f>(T106-T105)+T101-T103</f>
        <v>-55.506512844207293</v>
      </c>
      <c r="U107" s="51">
        <f>(T107*-1)+T108</f>
        <v>22.37486344117508</v>
      </c>
      <c r="V107" s="51">
        <f>(U107/2)+T102</f>
        <v>12.048723238048353</v>
      </c>
      <c r="W107" s="51">
        <f>(V115+V108+U114+U107+T102)*-1</f>
        <v>7.1431047910829299</v>
      </c>
      <c r="X107" s="51">
        <f>(V107*T102)*W107</f>
        <v>74.127306540073207</v>
      </c>
      <c r="Y107" s="45">
        <f>(X107*T102)</f>
        <v>63.845220335182525</v>
      </c>
      <c r="Z107" s="45">
        <f>(Y107+X107)</f>
        <v>137.97252687525574</v>
      </c>
      <c r="AA107" s="54"/>
      <c r="AB107" s="54"/>
      <c r="AC107" s="54"/>
      <c r="AD107" s="54"/>
      <c r="AE107" s="54"/>
      <c r="AF107" s="54"/>
      <c r="AG107" s="54"/>
      <c r="AH107" s="54">
        <v>785.5</v>
      </c>
      <c r="AI107" s="45">
        <f>IF(AG105&gt;-1,1,-1)</f>
        <v>1</v>
      </c>
      <c r="AJ107" s="78">
        <f>H39</f>
        <v>0.1797</v>
      </c>
      <c r="AK107" s="79">
        <f>(Y116+AA111)/2</f>
        <v>1878.1640808046423</v>
      </c>
      <c r="AL107" s="50"/>
    </row>
    <row r="108" spans="1:38" x14ac:dyDescent="0.25">
      <c r="A108" s="51">
        <f>(A106-A105)+A101-A104</f>
        <v>-30.014788250534508</v>
      </c>
      <c r="B108" s="51">
        <f>A109+(A108*-1)+A107</f>
        <v>-101.61134018816637</v>
      </c>
      <c r="C108" s="47">
        <f>(B108/10)</f>
        <v>-10.161134018816636</v>
      </c>
      <c r="D108" s="47"/>
      <c r="E108" s="47"/>
      <c r="F108" s="54">
        <f>(Q114*-1)</f>
        <v>-6.1397516288408731</v>
      </c>
      <c r="G108" s="54"/>
      <c r="H108" s="54"/>
      <c r="I108" s="54"/>
      <c r="J108" s="54"/>
      <c r="K108" s="54"/>
      <c r="L108" s="54"/>
      <c r="M108" s="54"/>
      <c r="N108" s="54"/>
      <c r="O108" s="54">
        <f>(H116/1000)*8.9</f>
        <v>1.5225230000000001</v>
      </c>
      <c r="P108" s="45">
        <f>(P110+O112)/2</f>
        <v>1026.2060648479116</v>
      </c>
      <c r="Q108" s="48"/>
      <c r="R108" s="79">
        <f>(P111+P110)/2</f>
        <v>1032.1850377707115</v>
      </c>
      <c r="S108" s="50"/>
      <c r="T108" s="51">
        <f>(T106-T105)+T101-T104</f>
        <v>-33.131649403032213</v>
      </c>
      <c r="U108" s="51">
        <f>T109+(T108*-1)+T107</f>
        <v>-111.01302568841459</v>
      </c>
      <c r="V108" s="47">
        <f>(U108/10)</f>
        <v>-11.101302568841458</v>
      </c>
      <c r="W108" s="47"/>
      <c r="X108" s="47"/>
      <c r="Y108" s="54">
        <f>(AJ114*-1)</f>
        <v>-0.25714583971967347</v>
      </c>
      <c r="Z108" s="54"/>
      <c r="AA108" s="54"/>
      <c r="AB108" s="54"/>
      <c r="AC108" s="54"/>
      <c r="AD108" s="54"/>
      <c r="AE108" s="54"/>
      <c r="AF108" s="54"/>
      <c r="AG108" s="54"/>
      <c r="AH108" s="54">
        <f>(AA116/1000)*8.9</f>
        <v>0.83926999999999996</v>
      </c>
      <c r="AI108" s="45">
        <f>(AI110+AH112)/2</f>
        <v>1028.9394557923451</v>
      </c>
      <c r="AJ108" s="48"/>
      <c r="AK108" s="79">
        <f>(AI111+AI110)/2</f>
        <v>1035.1650716635681</v>
      </c>
      <c r="AL108" s="50"/>
    </row>
    <row r="109" spans="1:38" x14ac:dyDescent="0.25">
      <c r="A109" s="51">
        <f>(A108+A107)</f>
        <v>-80.820458344617691</v>
      </c>
      <c r="B109" s="47"/>
      <c r="C109" s="47">
        <f>((F109+E109*-1)+E113)*10-A102+O109*-1-C105*111</f>
        <v>11.783722615655234</v>
      </c>
      <c r="D109" s="47"/>
      <c r="E109" s="47">
        <f>(E113+O109+F109)</f>
        <v>-0.22871716342816928</v>
      </c>
      <c r="F109" s="54">
        <f>(O109*E113)</f>
        <v>4.7056582675332894</v>
      </c>
      <c r="G109" s="54"/>
      <c r="H109" s="78">
        <f>(P110+H110)/2</f>
        <v>783.35752847831009</v>
      </c>
      <c r="I109" s="54"/>
      <c r="J109" s="54"/>
      <c r="K109" s="54"/>
      <c r="L109" s="54"/>
      <c r="M109" s="54"/>
      <c r="N109" s="54">
        <f>(A105-A101)-(A101-B106)</f>
        <v>17.020487098316579</v>
      </c>
      <c r="O109" s="45">
        <f>(P109+A102+C105*10)</f>
        <v>-1.2918762861626396</v>
      </c>
      <c r="P109" s="54">
        <f>E113</f>
        <v>-3.6424991447988191</v>
      </c>
      <c r="Q109" s="55">
        <f>(Q105*Q104*10)</f>
        <v>-27.466754260270889</v>
      </c>
      <c r="R109" s="91">
        <f>(P120+O120+P122+O122+N122+P121+O121+N121+H123+F123+E123+E122+F122+H122+H121+F121+E121+E120+F120+H120)</f>
        <v>0</v>
      </c>
      <c r="S109" s="50"/>
      <c r="T109" s="51">
        <f>(T108+T107)</f>
        <v>-88.638162247239507</v>
      </c>
      <c r="U109" s="47"/>
      <c r="V109" s="47">
        <f>((Y109+X109*-1)+X113)*10-T102+AH109*-1-V105*111</f>
        <v>12.705316935112686</v>
      </c>
      <c r="W109" s="47"/>
      <c r="X109" s="47">
        <f>(X113+AH109+Y109)</f>
        <v>-0.60161083435821761</v>
      </c>
      <c r="Y109" s="54">
        <f>(AH109*X113)</f>
        <v>2.9743616827863764</v>
      </c>
      <c r="Z109" s="54"/>
      <c r="AA109" s="78">
        <f>(AI110+AA110)/2</f>
        <v>785.9628488680936</v>
      </c>
      <c r="AB109" s="54"/>
      <c r="AC109" s="54"/>
      <c r="AD109" s="54"/>
      <c r="AE109" s="54"/>
      <c r="AF109" s="54"/>
      <c r="AG109" s="54">
        <f>(T105-T101)-(T101-U106)</f>
        <v>19.147359752297803</v>
      </c>
      <c r="AH109" s="45">
        <f>(AI109+T102+V105*10)</f>
        <v>-1.3162520346103455</v>
      </c>
      <c r="AI109" s="54">
        <f>X113</f>
        <v>-2.2597204825342487</v>
      </c>
      <c r="AJ109" s="55">
        <f>(AJ105*AJ104*10)</f>
        <v>-9.6462447533872435</v>
      </c>
      <c r="AK109" s="91">
        <f>(AI120+AH120+AI122+AH122+AG122+AI121+AH121+AG121+AA123+Y123+X123+X122+Y122+AA122+AA121+Y121+X121+X120+Y120+AA120)</f>
        <v>4</v>
      </c>
      <c r="AL109" s="50"/>
    </row>
    <row r="110" spans="1:38" x14ac:dyDescent="0.25">
      <c r="A110" s="51">
        <f>(A101+A109)</f>
        <v>147.27815127611566</v>
      </c>
      <c r="B110" s="47">
        <f>(A101+A110)/2</f>
        <v>187.68838044842451</v>
      </c>
      <c r="C110" s="47">
        <f>(E106-A101)-(A101-B110)</f>
        <v>-40.995996429703098</v>
      </c>
      <c r="D110" s="51">
        <f>(B106+C106)/2</f>
        <v>221.7293546450577</v>
      </c>
      <c r="E110" s="51">
        <f>(A105+A111)</f>
        <v>456.78298649886096</v>
      </c>
      <c r="F110" s="78">
        <f>(G107*2)-G114</f>
        <v>1323.8319164583222</v>
      </c>
      <c r="G110" s="78">
        <f>(A102*F110)</f>
        <v>3101.8295638190734</v>
      </c>
      <c r="H110" s="78">
        <f>(N112+P110)/2</f>
        <v>522.57207334030954</v>
      </c>
      <c r="I110" s="78"/>
      <c r="J110" s="78"/>
      <c r="K110" s="78"/>
      <c r="L110" s="78"/>
      <c r="M110" s="78"/>
      <c r="N110" s="98">
        <f>(O110+O111)/2</f>
        <v>1059.764227952521</v>
      </c>
      <c r="O110" s="99">
        <f>(A104+C106)/2*Q115/Q107</f>
        <v>1002.2901731567131</v>
      </c>
      <c r="P110" s="100">
        <f>B103*Q115/Q107</f>
        <v>1044.1429836163106</v>
      </c>
      <c r="Q110" s="48">
        <f>(A106+B103)/2</f>
        <v>217.11740144156477</v>
      </c>
      <c r="R110" s="45"/>
      <c r="S110" s="50"/>
      <c r="T110" s="51">
        <f>(T101+T109)</f>
        <v>147.11329566406675</v>
      </c>
      <c r="U110" s="47">
        <f>(T101+T110)/2</f>
        <v>191.43237678768651</v>
      </c>
      <c r="V110" s="47">
        <f>(X106-T101)-(T101-U110)</f>
        <v>-44.534404002984957</v>
      </c>
      <c r="W110" s="51">
        <f>(U106+V106)/2</f>
        <v>229.72709629228208</v>
      </c>
      <c r="X110" s="51">
        <f>(T105+T111)</f>
        <v>471.71823870197773</v>
      </c>
      <c r="Y110" s="78">
        <f>(Z107*2)-Z114</f>
        <v>121.6886532953618</v>
      </c>
      <c r="Z110" s="78">
        <f>(T102*Y110)</f>
        <v>104.80940485452497</v>
      </c>
      <c r="AA110" s="78">
        <f>(AG112+AI110)/2</f>
        <v>524.30939433017329</v>
      </c>
      <c r="AB110" s="78"/>
      <c r="AC110" s="78"/>
      <c r="AD110" s="78"/>
      <c r="AE110" s="78"/>
      <c r="AF110" s="78"/>
      <c r="AG110" s="98">
        <f>(AH110+AH111)/2</f>
        <v>1063.4199901395693</v>
      </c>
      <c r="AH110" s="99">
        <f>(T104+V106)/2*AJ115/AJ107</f>
        <v>1004.0369923074536</v>
      </c>
      <c r="AI110" s="100">
        <f>U103*AJ115/AJ107</f>
        <v>1047.6163034060139</v>
      </c>
      <c r="AJ110" s="48">
        <f>(T106+U103)/2</f>
        <v>224.34870331135352</v>
      </c>
      <c r="AK110" s="45"/>
      <c r="AL110" s="50"/>
    </row>
    <row r="111" spans="1:38" x14ac:dyDescent="0.25">
      <c r="A111" s="51">
        <f>((A106+A105+A104+A103)/4-A106-A101)*-1</f>
        <v>207.89349503457893</v>
      </c>
      <c r="B111" s="47">
        <f>(B106+C106)/2</f>
        <v>221.7293546450577</v>
      </c>
      <c r="C111" s="47">
        <f>(E113+A102)</f>
        <v>-1.29943011522181</v>
      </c>
      <c r="D111" s="51">
        <f>(A113+D112+A105+D112)/2</f>
        <v>384.45677938963763</v>
      </c>
      <c r="E111" s="51">
        <f>(A106+D112+A105)/3</f>
        <v>204.13631573200746</v>
      </c>
      <c r="F111" s="78">
        <f>(O111+P110)/2</f>
        <v>1080.6906331823197</v>
      </c>
      <c r="G111" s="48"/>
      <c r="H111" s="78">
        <f>(O111+P110+N110)/3</f>
        <v>1073.7151647723867</v>
      </c>
      <c r="I111" s="78"/>
      <c r="J111" s="78"/>
      <c r="K111" s="78"/>
      <c r="L111" s="78"/>
      <c r="M111" s="78"/>
      <c r="N111" s="107">
        <f>((A111+A105)/2)*Q115/Q107</f>
        <v>1050.8811039084223</v>
      </c>
      <c r="O111" s="108">
        <f>((A112+A103)/2)*Q115/Q107</f>
        <v>1117.2382827483289</v>
      </c>
      <c r="P111" s="109">
        <f>B102*Q115/Q107</f>
        <v>1020.2270919251121</v>
      </c>
      <c r="Q111" s="55">
        <f>A102+E113</f>
        <v>-1.29943011522181</v>
      </c>
      <c r="R111" s="45"/>
      <c r="S111" s="50"/>
      <c r="T111" s="51">
        <f>((T106+T105+T104+T103)/4-T106-T101)*-1</f>
        <v>213.59191734949638</v>
      </c>
      <c r="U111" s="47">
        <f>(U106+V106)/2</f>
        <v>229.72709629228208</v>
      </c>
      <c r="V111" s="47">
        <f>(X113+T102)</f>
        <v>-1.3984289650734354</v>
      </c>
      <c r="W111" s="51">
        <f>(T113+W112+T105+W112)/2</f>
        <v>395.26049499443121</v>
      </c>
      <c r="X111" s="51">
        <f>(T106+W112+T105)/3</f>
        <v>210.31937406196539</v>
      </c>
      <c r="Y111" s="78">
        <f>(AH111+AI110)/2</f>
        <v>1085.2096456888494</v>
      </c>
      <c r="Z111" s="48"/>
      <c r="AA111" s="78">
        <f>(AH111+AI110+AG110)/3</f>
        <v>1077.9464271724228</v>
      </c>
      <c r="AB111" s="78"/>
      <c r="AC111" s="78"/>
      <c r="AD111" s="78"/>
      <c r="AE111" s="78"/>
      <c r="AF111" s="78"/>
      <c r="AG111" s="107">
        <f>((T111+T105)/2)*AJ115/AJ107</f>
        <v>1050.0127739609968</v>
      </c>
      <c r="AH111" s="108">
        <f>((T112+T103)/2)*AJ115/AJ107</f>
        <v>1122.8029879716851</v>
      </c>
      <c r="AI111" s="109">
        <f>U102*AJ115/AJ107</f>
        <v>1022.7138399211223</v>
      </c>
      <c r="AJ111" s="55">
        <f>T102+X113</f>
        <v>-1.3984289650734354</v>
      </c>
      <c r="AK111" s="45"/>
      <c r="AL111" s="50"/>
    </row>
    <row r="112" spans="1:38" x14ac:dyDescent="0.25">
      <c r="A112" s="51">
        <f>((A106+A105+A104+A103)/4-A106-A101*-1)</f>
        <v>248.30372420688778</v>
      </c>
      <c r="B112" s="47">
        <f>B103/2</f>
        <v>113.46353755297243</v>
      </c>
      <c r="C112" s="47">
        <f>(B102+C106)/2</f>
        <v>220.42992452983589</v>
      </c>
      <c r="D112" s="51">
        <f>(A111+A110+B112)/3</f>
        <v>156.21172795455567</v>
      </c>
      <c r="E112" s="51">
        <f>(A106+A105+B112)/3</f>
        <v>189.88691893147973</v>
      </c>
      <c r="F112" s="48">
        <f>E109+(C116*-1)-E109-E113</f>
        <v>3.4262217604540535</v>
      </c>
      <c r="G112" s="48"/>
      <c r="H112" s="78">
        <f>(P112+N112)/2</f>
        <v>365.8378360777599</v>
      </c>
      <c r="I112" s="48"/>
      <c r="J112" s="48"/>
      <c r="K112" s="48"/>
      <c r="L112" s="48"/>
      <c r="M112" s="48"/>
      <c r="N112" s="107">
        <f>((N111+N110)/2/Q106)</f>
        <v>1.0011630643084544</v>
      </c>
      <c r="O112" s="108">
        <f>((A104+D110)/2)*Q115/Q107</f>
        <v>1008.2691460795128</v>
      </c>
      <c r="P112" s="109">
        <f>((B112+E111)/2)*Q115/Q107</f>
        <v>730.67450909121135</v>
      </c>
      <c r="Q112" s="55">
        <f>(Q111*Q109/10)</f>
        <v>3.5691127653192942</v>
      </c>
      <c r="R112" s="45">
        <f>(R111+R110+F116)/3</f>
        <v>912.54266593483499</v>
      </c>
      <c r="S112" s="50"/>
      <c r="T112" s="51">
        <f>((T106+T105+T104+T103)/4-T106-T101*-1)</f>
        <v>257.91099847311614</v>
      </c>
      <c r="U112" s="47">
        <f>U103/2</f>
        <v>117.66040607628793</v>
      </c>
      <c r="V112" s="47">
        <f>(U102+V106)/2</f>
        <v>228.32866732720862</v>
      </c>
      <c r="W112" s="51">
        <f>(T111+T110+U112)/3</f>
        <v>159.45520636328368</v>
      </c>
      <c r="X112" s="51">
        <f>(T106+T105+U112)/3</f>
        <v>196.38777396630016</v>
      </c>
      <c r="Y112" s="48">
        <f>X109+(V116*-1)-X109-X113</f>
        <v>1.9650374176469345</v>
      </c>
      <c r="Z112" s="48"/>
      <c r="AA112" s="78">
        <f>(AI112+AG112)/2</f>
        <v>365.53160449500541</v>
      </c>
      <c r="AB112" s="48"/>
      <c r="AC112" s="48"/>
      <c r="AD112" s="48"/>
      <c r="AE112" s="48"/>
      <c r="AF112" s="48"/>
      <c r="AG112" s="107">
        <f>((AG111+AG110)/2/AJ106)</f>
        <v>1.0024852543327312</v>
      </c>
      <c r="AH112" s="108">
        <f>((T104+W110)/2)*AJ115/AJ107</f>
        <v>1010.2626081786765</v>
      </c>
      <c r="AI112" s="109">
        <f>((U112+X111)/2)*AJ115/AJ107</f>
        <v>730.06072373567804</v>
      </c>
      <c r="AJ112" s="55">
        <f>(AJ111*AJ109/10)</f>
        <v>1.3489588067324378</v>
      </c>
      <c r="AK112" s="45">
        <f>(AK111+AK110+Y116)/3</f>
        <v>892.79391147895387</v>
      </c>
      <c r="AL112" s="50"/>
    </row>
    <row r="113" spans="1:38" x14ac:dyDescent="0.25">
      <c r="A113" s="51">
        <f>(A106+A111)/2</f>
        <v>207.60061140588181</v>
      </c>
      <c r="B113" s="47">
        <f>(A103+B105)/2</f>
        <v>234.7236557972756</v>
      </c>
      <c r="C113" s="47">
        <f>(A102*C105)</f>
        <v>1.7699142923260796E-3</v>
      </c>
      <c r="D113" s="47">
        <f>(A103+B113)/2</f>
        <v>236.02308591249738</v>
      </c>
      <c r="E113" s="47">
        <f>(D113-A101)-(A101-A104)</f>
        <v>-3.6424991447988191</v>
      </c>
      <c r="F113" s="78">
        <f>(N113+H113)/2</f>
        <v>1095.0069211301582</v>
      </c>
      <c r="G113" s="48"/>
      <c r="H113" s="117">
        <f>A112*Q115/Q107</f>
        <v>1142.5017984979499</v>
      </c>
      <c r="I113" s="48"/>
      <c r="J113" s="48"/>
      <c r="K113" s="48"/>
      <c r="L113" s="48"/>
      <c r="M113" s="48"/>
      <c r="N113" s="107">
        <f>(N111+P110)/2</f>
        <v>1047.5120437623664</v>
      </c>
      <c r="O113" s="108">
        <f>((E110+A110)/2)*Q115/Q107</f>
        <v>1389.7112065375229</v>
      </c>
      <c r="P113" s="109">
        <f>((E111+E113/10)/2)*Q115/Q107</f>
        <v>468.8007649176248</v>
      </c>
      <c r="Q113" s="51">
        <f>(Q112+C116)</f>
        <v>3.7853901496640598</v>
      </c>
      <c r="R113" s="45"/>
      <c r="S113" s="50"/>
      <c r="T113" s="51">
        <f>(T106+T111)/2</f>
        <v>213.48425590981378</v>
      </c>
      <c r="U113" s="47">
        <f>(T103+U105)/2</f>
        <v>243.71138594301652</v>
      </c>
      <c r="V113" s="47">
        <f>(T102*V105)</f>
        <v>7.077829313882642E-3</v>
      </c>
      <c r="W113" s="47">
        <f>(T103+U113)/2</f>
        <v>245.10981490808996</v>
      </c>
      <c r="X113" s="47">
        <f>(W113-T101)-(T101-T104)</f>
        <v>-2.2597204825342487</v>
      </c>
      <c r="Y113" s="78">
        <f>(AG113+AA113)/2</f>
        <v>1098.4996421255391</v>
      </c>
      <c r="Z113" s="48"/>
      <c r="AA113" s="117">
        <f>T112*AJ115/AJ107</f>
        <v>1148.1847455675731</v>
      </c>
      <c r="AB113" s="48"/>
      <c r="AC113" s="48"/>
      <c r="AD113" s="48"/>
      <c r="AE113" s="48"/>
      <c r="AF113" s="48"/>
      <c r="AG113" s="107">
        <f>(AG111+AI110)/2</f>
        <v>1048.8145386835054</v>
      </c>
      <c r="AH113" s="108">
        <f>((X110+T110)/2)*AJ115/AJ107</f>
        <v>1377.4769824508503</v>
      </c>
      <c r="AI113" s="109">
        <f>((X111+X113/10)/2)*AJ115/AJ107</f>
        <v>467.65364944621479</v>
      </c>
      <c r="AJ113" s="51">
        <f>(AJ112+V116)</f>
        <v>1.6436418716197521</v>
      </c>
      <c r="AK113" s="45"/>
      <c r="AL113" s="50"/>
    </row>
    <row r="114" spans="1:38" x14ac:dyDescent="0.25">
      <c r="A114" s="51">
        <f>(A102*-1)+A109</f>
        <v>-83.1635273741947</v>
      </c>
      <c r="B114" s="51">
        <f>(A115*-1)+A114</f>
        <v>-4.6861380591540183</v>
      </c>
      <c r="C114" s="51">
        <f>(B114/2)+A102</f>
        <v>0</v>
      </c>
      <c r="D114" s="47"/>
      <c r="E114" s="51">
        <f>(C114*A102)+D107</f>
        <v>7.4087990678531064</v>
      </c>
      <c r="F114" s="78">
        <f>A110*Q115/Q115</f>
        <v>147.27815127611566</v>
      </c>
      <c r="G114" s="78">
        <f>(E114+F114)</f>
        <v>154.68695034396876</v>
      </c>
      <c r="H114" s="48">
        <f>(O115+H112)/2</f>
        <v>1233.8000219473024</v>
      </c>
      <c r="I114" s="48"/>
      <c r="J114" s="48"/>
      <c r="K114" s="48"/>
      <c r="L114" s="48"/>
      <c r="M114" s="48"/>
      <c r="N114" s="121">
        <f>(O111+H111+O111)/3</f>
        <v>1102.7305767563482</v>
      </c>
      <c r="O114" s="108">
        <f>((B105+E113)/2)*Q115/Q107</f>
        <v>525.64945495866527</v>
      </c>
      <c r="P114" s="109">
        <f>D110*Q115/Q107</f>
        <v>1020.2270919251121</v>
      </c>
      <c r="Q114" s="52">
        <f>((Q113*Q112*C116*-1)*Q115*Q104*Q105)*0.51</f>
        <v>6.1397516288408731</v>
      </c>
      <c r="R114" s="45"/>
      <c r="S114" s="50"/>
      <c r="T114" s="51">
        <f>(T102*-1)+T109</f>
        <v>-89.49945376470032</v>
      </c>
      <c r="U114" s="51">
        <f>(T115*-1)+T114</f>
        <v>-1.7225830349216267</v>
      </c>
      <c r="V114" s="51">
        <f>(U114/2)+T102</f>
        <v>0</v>
      </c>
      <c r="W114" s="47"/>
      <c r="X114" s="51">
        <f>(V114*T102)+W107</f>
        <v>7.1431047910829299</v>
      </c>
      <c r="Y114" s="78">
        <f>T110*AJ115/AJ115</f>
        <v>147.11329566406675</v>
      </c>
      <c r="Z114" s="78">
        <f>(X114+Y114)</f>
        <v>154.25640045514967</v>
      </c>
      <c r="AA114" s="48">
        <f>(AH115+AA112)/2</f>
        <v>1232.7785762084995</v>
      </c>
      <c r="AB114" s="48"/>
      <c r="AC114" s="48"/>
      <c r="AD114" s="48"/>
      <c r="AE114" s="48"/>
      <c r="AF114" s="48"/>
      <c r="AG114" s="121">
        <f>(AH111+AA111+AH111)/3</f>
        <v>1107.8508010385976</v>
      </c>
      <c r="AH114" s="108">
        <f>((U105+X113)/2)*AJ115/AJ107</f>
        <v>531.22939906585509</v>
      </c>
      <c r="AI114" s="109">
        <f>W110*AJ115/AJ107</f>
        <v>1022.7138399211223</v>
      </c>
      <c r="AJ114" s="52">
        <f>((AJ113*AJ112*V116*-1)*AJ115*AJ104*AJ105)*0.51</f>
        <v>0.25714583971967347</v>
      </c>
      <c r="AK114" s="45"/>
      <c r="AL114" s="50"/>
    </row>
    <row r="115" spans="1:38" x14ac:dyDescent="0.25">
      <c r="A115" s="51">
        <f>A102+A109</f>
        <v>-78.477389315040682</v>
      </c>
      <c r="B115" s="51">
        <f>(A116+(A114*-1)+A115)</f>
        <v>-156.95477863008136</v>
      </c>
      <c r="C115" s="47">
        <f>(B115/10)</f>
        <v>-15.695477863008136</v>
      </c>
      <c r="D115" s="47"/>
      <c r="E115" s="47">
        <f>((D111+B112)/2)*Q115</f>
        <v>373.44023770695753</v>
      </c>
      <c r="F115" s="48">
        <f>((E110+B112)/2)*Q115/Q107</f>
        <v>1311.9168498125</v>
      </c>
      <c r="G115" s="48"/>
      <c r="H115" s="48">
        <f>(Q116/2)</f>
        <v>171.07395721555002</v>
      </c>
      <c r="I115" s="48"/>
      <c r="J115" s="48"/>
      <c r="K115" s="48"/>
      <c r="L115" s="48"/>
      <c r="M115" s="48"/>
      <c r="N115" s="78">
        <f>(Q116/2)/Q107</f>
        <v>524.76673992500002</v>
      </c>
      <c r="O115" s="126">
        <f>E110*Q115/Q107</f>
        <v>2101.7622078168447</v>
      </c>
      <c r="P115" s="109">
        <f>((B102+A105)/2)*Q115/Q107</f>
        <v>1082.7120692699534</v>
      </c>
      <c r="Q115" s="124">
        <f>ROUND(O108,N116)</f>
        <v>1.5</v>
      </c>
      <c r="R115" s="125">
        <f>(P110+P112)/2</f>
        <v>887.40874635376099</v>
      </c>
      <c r="S115" s="50"/>
      <c r="T115" s="51">
        <f>T102+T109</f>
        <v>-87.776870729778693</v>
      </c>
      <c r="U115" s="51">
        <f>(T116+(T114*-1)+T115)</f>
        <v>-175.55374145955739</v>
      </c>
      <c r="V115" s="47">
        <f>(U115/10)</f>
        <v>-17.555374145955739</v>
      </c>
      <c r="W115" s="47"/>
      <c r="X115" s="47">
        <f>((W111+U112)/2)*AJ115</f>
        <v>205.16836042828766</v>
      </c>
      <c r="Y115" s="48">
        <f>((X110+U112)/2)*AJ115/AJ107</f>
        <v>1311.9168498125</v>
      </c>
      <c r="Z115" s="48"/>
      <c r="AA115" s="48">
        <f>(AJ116/2)</f>
        <v>94.300583164522507</v>
      </c>
      <c r="AB115" s="48"/>
      <c r="AC115" s="48"/>
      <c r="AD115" s="48"/>
      <c r="AE115" s="48"/>
      <c r="AF115" s="48"/>
      <c r="AG115" s="78">
        <f>(AJ116/2)/AJ107</f>
        <v>524.76673992500002</v>
      </c>
      <c r="AH115" s="126">
        <f>X110*AJ115/AJ107</f>
        <v>2100.0255479219936</v>
      </c>
      <c r="AI115" s="109">
        <f>((U102+T105)/2)*AJ115/AJ107</f>
        <v>1085.9285868553445</v>
      </c>
      <c r="AJ115" s="124">
        <f>ROUND(AH108,AG116)</f>
        <v>0.8</v>
      </c>
      <c r="AK115" s="125">
        <f>(AI110+AI112)/2</f>
        <v>888.83851357084598</v>
      </c>
      <c r="AL115" s="50"/>
    </row>
    <row r="116" spans="1:38" x14ac:dyDescent="0.25">
      <c r="A116" s="78">
        <f>(A114+A115)</f>
        <v>-161.64091668923538</v>
      </c>
      <c r="B116" s="48"/>
      <c r="C116" s="55">
        <f>INT(C109)-C109+N116</f>
        <v>0.21627738434476562</v>
      </c>
      <c r="D116" s="48"/>
      <c r="E116" s="78" t="s">
        <v>11</v>
      </c>
      <c r="F116" s="48">
        <f>((O116+B112+E110)/3)*Q115/Q107</f>
        <v>2737.627997804505</v>
      </c>
      <c r="G116" s="48"/>
      <c r="H116" s="48">
        <f>ROUND(H115,2)</f>
        <v>171.07</v>
      </c>
      <c r="I116" s="48"/>
      <c r="J116" s="48"/>
      <c r="K116" s="48"/>
      <c r="L116" s="48"/>
      <c r="M116" s="48"/>
      <c r="N116" s="48">
        <v>1</v>
      </c>
      <c r="O116" s="129">
        <f>((B102+B112+E110)/3)*Q115/Q107</f>
        <v>1214.6869305167038</v>
      </c>
      <c r="P116" s="130">
        <f>(Q116/Q115)</f>
        <v>228.09860962073336</v>
      </c>
      <c r="Q116" s="45">
        <f>P102*Q107</f>
        <v>342.14791443110005</v>
      </c>
      <c r="R116" s="125">
        <f>(F111+P112)/2</f>
        <v>905.68257113676555</v>
      </c>
      <c r="S116" s="50"/>
      <c r="T116" s="78">
        <f>(T114+T115)</f>
        <v>-177.27632449447901</v>
      </c>
      <c r="U116" s="48"/>
      <c r="V116" s="55">
        <f>INT(V109)-V109+AG116</f>
        <v>0.29468306488731422</v>
      </c>
      <c r="W116" s="48"/>
      <c r="X116" s="78" t="s">
        <v>11</v>
      </c>
      <c r="Y116" s="48">
        <f>((AH116+U112+X110)/3)*AJ115/AJ107</f>
        <v>2678.3817344368617</v>
      </c>
      <c r="Z116" s="48"/>
      <c r="AA116" s="48">
        <f>ROUND(AA115,2)</f>
        <v>94.3</v>
      </c>
      <c r="AB116" s="48"/>
      <c r="AC116" s="48"/>
      <c r="AD116" s="48"/>
      <c r="AE116" s="48"/>
      <c r="AF116" s="48"/>
      <c r="AG116" s="48">
        <v>1</v>
      </c>
      <c r="AH116" s="129">
        <f>((U102+U112+X110)/3)*AJ115/AJ107</f>
        <v>1215.5158465153743</v>
      </c>
      <c r="AI116" s="130">
        <f>(AJ116/AJ115)</f>
        <v>235.75145791130626</v>
      </c>
      <c r="AJ116" s="45">
        <f>AI102*AJ107</f>
        <v>188.60116632904501</v>
      </c>
      <c r="AK116" s="125">
        <f>(Y111+AI112)/2</f>
        <v>907.63518471226371</v>
      </c>
      <c r="AL116" s="50"/>
    </row>
    <row r="117" spans="1:38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0"/>
      <c r="K117" s="50"/>
      <c r="L117" s="50"/>
      <c r="M117" s="50"/>
      <c r="N117" s="59"/>
      <c r="O117" s="59"/>
      <c r="P117" s="59" t="s">
        <v>12</v>
      </c>
      <c r="Q117" s="131" t="b">
        <f>IF(R117&gt;0,"M")</f>
        <v>0</v>
      </c>
      <c r="R117" s="131">
        <f>(R121*R119)</f>
        <v>-1</v>
      </c>
      <c r="S117" s="50"/>
      <c r="T117" s="59"/>
      <c r="U117" s="59"/>
      <c r="V117" s="59"/>
      <c r="W117" s="59"/>
      <c r="X117" s="59"/>
      <c r="Y117" s="59"/>
      <c r="Z117" s="59"/>
      <c r="AA117" s="59"/>
      <c r="AB117" s="59"/>
      <c r="AC117" s="50"/>
      <c r="AD117" s="50"/>
      <c r="AE117" s="50"/>
      <c r="AF117" s="50"/>
      <c r="AG117" s="59"/>
      <c r="AH117" s="59"/>
      <c r="AI117" s="59" t="s">
        <v>12</v>
      </c>
      <c r="AJ117" s="131" t="b">
        <f>IF(AK117&gt;0,"M")</f>
        <v>0</v>
      </c>
      <c r="AK117" s="131">
        <f>(AK121*AK119)</f>
        <v>-1</v>
      </c>
      <c r="AL117" s="50"/>
    </row>
    <row r="118" spans="1:38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0"/>
      <c r="K118" s="50"/>
      <c r="L118" s="50"/>
      <c r="M118" s="50"/>
      <c r="N118" s="59"/>
      <c r="O118" s="59"/>
      <c r="P118" s="59"/>
      <c r="Q118" s="131" t="str">
        <f>IF(R121+R122&lt;0,"-M")</f>
        <v>-M</v>
      </c>
      <c r="R118" s="131">
        <f>(R122*R120)</f>
        <v>-1</v>
      </c>
      <c r="S118" s="50"/>
      <c r="T118" s="59"/>
      <c r="U118" s="59"/>
      <c r="V118" s="59"/>
      <c r="W118" s="59"/>
      <c r="X118" s="59"/>
      <c r="Y118" s="59"/>
      <c r="Z118" s="59"/>
      <c r="AA118" s="59"/>
      <c r="AB118" s="59"/>
      <c r="AC118" s="50"/>
      <c r="AD118" s="50"/>
      <c r="AE118" s="50"/>
      <c r="AF118" s="50"/>
      <c r="AG118" s="59"/>
      <c r="AH118" s="59"/>
      <c r="AI118" s="59"/>
      <c r="AJ118" s="131" t="str">
        <f>IF(AK121+AK122&lt;0,"-M")</f>
        <v>-M</v>
      </c>
      <c r="AK118" s="131">
        <f>(AK122*AK120)</f>
        <v>-1</v>
      </c>
      <c r="AL118" s="50"/>
    </row>
    <row r="119" spans="1:38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0"/>
      <c r="K119" s="50"/>
      <c r="L119" s="50"/>
      <c r="M119" s="50"/>
      <c r="N119" s="59"/>
      <c r="O119" s="59"/>
      <c r="P119" s="59"/>
      <c r="Q119" s="131" t="b">
        <f>IF(R121+R122&gt;0,"+M")</f>
        <v>0</v>
      </c>
      <c r="R119" s="131">
        <f>(P121*O121*N121)</f>
        <v>1</v>
      </c>
      <c r="S119" s="50"/>
      <c r="T119" s="59"/>
      <c r="U119" s="59"/>
      <c r="V119" s="59"/>
      <c r="W119" s="59"/>
      <c r="X119" s="59"/>
      <c r="Y119" s="59"/>
      <c r="Z119" s="59"/>
      <c r="AA119" s="59"/>
      <c r="AB119" s="59"/>
      <c r="AC119" s="50"/>
      <c r="AD119" s="50"/>
      <c r="AE119" s="50"/>
      <c r="AF119" s="50"/>
      <c r="AG119" s="59"/>
      <c r="AH119" s="59"/>
      <c r="AI119" s="59"/>
      <c r="AJ119" s="131" t="b">
        <f>IF(AK121+AK122&gt;0,"+M")</f>
        <v>0</v>
      </c>
      <c r="AK119" s="131">
        <f>(AI121*AH121*AG121)</f>
        <v>1</v>
      </c>
      <c r="AL119" s="50"/>
    </row>
    <row r="120" spans="1:38" x14ac:dyDescent="0.25">
      <c r="A120" s="131"/>
      <c r="B120" s="59"/>
      <c r="C120" s="131" t="str">
        <f>IF(S122&lt;690," BS ")</f>
        <v xml:space="preserve"> BS </v>
      </c>
      <c r="D120" s="131" t="b">
        <f>IF(S122&gt;3444," MB ")</f>
        <v>0</v>
      </c>
      <c r="E120" s="132">
        <f>P154</f>
        <v>-1</v>
      </c>
      <c r="F120" s="132">
        <f>P129</f>
        <v>-1</v>
      </c>
      <c r="G120" s="133"/>
      <c r="H120" s="132">
        <f>P106</f>
        <v>1</v>
      </c>
      <c r="I120" s="59"/>
      <c r="J120" s="50"/>
      <c r="K120" s="50"/>
      <c r="L120" s="50"/>
      <c r="M120" s="50"/>
      <c r="N120" s="131" t="str">
        <f>IF((M122+M121)=0,"E")</f>
        <v>E</v>
      </c>
      <c r="O120" s="131">
        <f>IF(Q121&gt;0,-1,1)</f>
        <v>1</v>
      </c>
      <c r="P120" s="131">
        <f>IF(Q121&lt;0,1,-1)</f>
        <v>1</v>
      </c>
      <c r="Q120" s="59"/>
      <c r="R120" s="131">
        <f>(P122*O122*N122)</f>
        <v>1</v>
      </c>
      <c r="S120" s="50"/>
      <c r="T120" s="131"/>
      <c r="U120" s="59"/>
      <c r="V120" s="131" t="str">
        <f>IF(AL122&lt;690," BS ")</f>
        <v xml:space="preserve"> BS </v>
      </c>
      <c r="W120" s="131" t="b">
        <f>IF(AL122&gt;3444," MB ")</f>
        <v>0</v>
      </c>
      <c r="X120" s="132">
        <f>AI154</f>
        <v>-1</v>
      </c>
      <c r="Y120" s="132">
        <f>AI129</f>
        <v>-1</v>
      </c>
      <c r="Z120" s="133"/>
      <c r="AA120" s="132">
        <f>AI106</f>
        <v>1</v>
      </c>
      <c r="AB120" s="59"/>
      <c r="AC120" s="50"/>
      <c r="AD120" s="50"/>
      <c r="AE120" s="50"/>
      <c r="AF120" s="50"/>
      <c r="AG120" s="131" t="str">
        <f>IF((AF122+AF121)=0,"E")</f>
        <v>E</v>
      </c>
      <c r="AH120" s="131">
        <f>IF(AJ121&gt;0,-1,1)</f>
        <v>1</v>
      </c>
      <c r="AI120" s="131">
        <f>IF(AJ121&lt;0,1,-1)</f>
        <v>1</v>
      </c>
      <c r="AJ120" s="59"/>
      <c r="AK120" s="131">
        <f>(AI122*AH122*AG122)</f>
        <v>1</v>
      </c>
      <c r="AL120" s="50"/>
    </row>
    <row r="121" spans="1:38" x14ac:dyDescent="0.25">
      <c r="A121" s="59"/>
      <c r="B121" s="59"/>
      <c r="C121" s="131" t="b">
        <f>IF(S122&gt;690," AS ")</f>
        <v>0</v>
      </c>
      <c r="D121" s="59"/>
      <c r="E121" s="45">
        <f>P152</f>
        <v>1</v>
      </c>
      <c r="F121" s="45">
        <f>P127</f>
        <v>1</v>
      </c>
      <c r="G121" s="131"/>
      <c r="H121" s="45">
        <f>P104</f>
        <v>-1</v>
      </c>
      <c r="I121" s="59"/>
      <c r="J121" s="50"/>
      <c r="K121" s="50"/>
      <c r="L121" s="50"/>
      <c r="M121" s="134"/>
      <c r="N121" s="125">
        <f>O153</f>
        <v>-1</v>
      </c>
      <c r="O121" s="125">
        <f>O128</f>
        <v>-1</v>
      </c>
      <c r="P121" s="125">
        <f>(O106)</f>
        <v>1</v>
      </c>
      <c r="Q121" s="135">
        <f>(Q114+Q137+Q162)</f>
        <v>-891.69645065680913</v>
      </c>
      <c r="R121" s="136">
        <f>(P121+O121+N121)</f>
        <v>-1</v>
      </c>
      <c r="S121" s="137">
        <f>INT(R121)+R121</f>
        <v>-2</v>
      </c>
      <c r="T121" s="59"/>
      <c r="U121" s="59"/>
      <c r="V121" s="131" t="b">
        <f>IF(AL122&gt;690," AS ")</f>
        <v>0</v>
      </c>
      <c r="W121" s="59"/>
      <c r="X121" s="45">
        <f>AI152</f>
        <v>1</v>
      </c>
      <c r="Y121" s="45">
        <f>AI127</f>
        <v>1</v>
      </c>
      <c r="Z121" s="131"/>
      <c r="AA121" s="45">
        <f>AI104</f>
        <v>1</v>
      </c>
      <c r="AB121" s="59"/>
      <c r="AC121" s="50"/>
      <c r="AD121" s="50"/>
      <c r="AE121" s="50"/>
      <c r="AF121" s="134"/>
      <c r="AG121" s="125">
        <f>AH153</f>
        <v>-1</v>
      </c>
      <c r="AH121" s="125">
        <f>AH128</f>
        <v>-1</v>
      </c>
      <c r="AI121" s="125">
        <f>(AH106)</f>
        <v>1</v>
      </c>
      <c r="AJ121" s="135">
        <f>(AJ114+AJ137+AJ162)</f>
        <v>-321.79035872835931</v>
      </c>
      <c r="AK121" s="136">
        <f>(AI121+AH121+AG121)</f>
        <v>-1</v>
      </c>
      <c r="AL121" s="137">
        <f>INT(AK121)+AK121</f>
        <v>-2</v>
      </c>
    </row>
    <row r="122" spans="1:38" x14ac:dyDescent="0.25">
      <c r="A122" s="59"/>
      <c r="B122" s="59"/>
      <c r="C122" s="131" t="b">
        <f>IF(S122=0," F ")</f>
        <v>0</v>
      </c>
      <c r="D122" s="59"/>
      <c r="E122" s="45">
        <f>P155</f>
        <v>-1</v>
      </c>
      <c r="F122" s="45">
        <f>P130</f>
        <v>-1</v>
      </c>
      <c r="G122" s="131"/>
      <c r="H122" s="45">
        <f>P107</f>
        <v>-1</v>
      </c>
      <c r="I122" s="59"/>
      <c r="J122" s="50"/>
      <c r="K122" s="50"/>
      <c r="L122" s="50"/>
      <c r="M122" s="134"/>
      <c r="N122" s="125">
        <f>O154</f>
        <v>-1</v>
      </c>
      <c r="O122" s="125">
        <f>O129</f>
        <v>-1</v>
      </c>
      <c r="P122" s="125">
        <f>O105</f>
        <v>1</v>
      </c>
      <c r="Q122" s="131" t="b">
        <f>IF(Q121&gt;0,Q123)</f>
        <v>0</v>
      </c>
      <c r="R122" s="138">
        <f>(P122+O122+N122)</f>
        <v>-1</v>
      </c>
      <c r="S122" s="137">
        <f>(S121^8)</f>
        <v>256</v>
      </c>
      <c r="T122" s="59"/>
      <c r="U122" s="59"/>
      <c r="V122" s="131" t="b">
        <f>IF(AL122=0," F ")</f>
        <v>0</v>
      </c>
      <c r="W122" s="59"/>
      <c r="X122" s="45">
        <f>AI155</f>
        <v>-1</v>
      </c>
      <c r="Y122" s="45">
        <f>AI130</f>
        <v>-1</v>
      </c>
      <c r="Z122" s="131"/>
      <c r="AA122" s="45">
        <f>AI107</f>
        <v>1</v>
      </c>
      <c r="AB122" s="59"/>
      <c r="AC122" s="50"/>
      <c r="AD122" s="50"/>
      <c r="AE122" s="50"/>
      <c r="AF122" s="134"/>
      <c r="AG122" s="125">
        <f>AH154</f>
        <v>-1</v>
      </c>
      <c r="AH122" s="125">
        <f>AH129</f>
        <v>-1</v>
      </c>
      <c r="AI122" s="125">
        <f>AH105</f>
        <v>1</v>
      </c>
      <c r="AJ122" s="131" t="b">
        <f>IF(AJ121&gt;0,AJ123)</f>
        <v>0</v>
      </c>
      <c r="AK122" s="138">
        <f>(AI122+AH122+AG122)</f>
        <v>-1</v>
      </c>
      <c r="AL122" s="137">
        <f>(AL121^8)</f>
        <v>256</v>
      </c>
    </row>
    <row r="123" spans="1:38" x14ac:dyDescent="0.25">
      <c r="A123" s="59"/>
      <c r="B123" s="59"/>
      <c r="C123" s="131" t="b">
        <f>IF(S122&gt;1797," UB ")</f>
        <v>0</v>
      </c>
      <c r="D123" s="59"/>
      <c r="E123" s="139">
        <f>P153</f>
        <v>1</v>
      </c>
      <c r="F123" s="139">
        <f>P128</f>
        <v>1</v>
      </c>
      <c r="G123" s="140"/>
      <c r="H123" s="139">
        <f>P105</f>
        <v>1</v>
      </c>
      <c r="I123" s="59"/>
      <c r="J123" s="50"/>
      <c r="K123" s="50"/>
      <c r="L123" s="50"/>
      <c r="M123" s="50"/>
      <c r="N123" s="59"/>
      <c r="O123" s="59"/>
      <c r="P123" s="59"/>
      <c r="Q123" s="141">
        <f>-OR101+1</f>
        <v>1</v>
      </c>
      <c r="R123" s="131"/>
      <c r="S123" s="50"/>
      <c r="T123" s="59"/>
      <c r="U123" s="59"/>
      <c r="V123" s="131" t="b">
        <f>IF(AL122&gt;1797," UB ")</f>
        <v>0</v>
      </c>
      <c r="W123" s="59"/>
      <c r="X123" s="139">
        <f>AI153</f>
        <v>1</v>
      </c>
      <c r="Y123" s="139">
        <f>AI128</f>
        <v>1</v>
      </c>
      <c r="Z123" s="140"/>
      <c r="AA123" s="139">
        <f>AI105</f>
        <v>1</v>
      </c>
      <c r="AB123" s="59"/>
      <c r="AC123" s="50"/>
      <c r="AD123" s="50"/>
      <c r="AE123" s="50"/>
      <c r="AF123" s="50"/>
      <c r="AG123" s="59"/>
      <c r="AH123" s="59"/>
      <c r="AI123" s="59"/>
      <c r="AJ123" s="141">
        <f>-PK101+1</f>
        <v>1</v>
      </c>
      <c r="AK123" s="131"/>
      <c r="AL123" s="50"/>
    </row>
    <row r="124" spans="1:38" x14ac:dyDescent="0.25">
      <c r="A124" s="45">
        <f>P139</f>
        <v>224.32434400205298</v>
      </c>
      <c r="B124" s="47">
        <f>(A124*10^0.125)</f>
        <v>299.14132048271586</v>
      </c>
      <c r="C124" s="47">
        <f>INT(B124)</f>
        <v>299</v>
      </c>
      <c r="D124" s="47">
        <f>C124*4</f>
        <v>1196</v>
      </c>
      <c r="E124" s="47">
        <f>D124/5</f>
        <v>239.2</v>
      </c>
      <c r="F124" s="48">
        <f>E124^2</f>
        <v>57216.639999999992</v>
      </c>
      <c r="G124" s="48">
        <f>(F124^0.125)</f>
        <v>3.9326952517764404</v>
      </c>
      <c r="H124" s="48">
        <f>G124/3</f>
        <v>1.3108984172588134</v>
      </c>
      <c r="I124" s="48">
        <f>(H124*100)</f>
        <v>131.08984172588134</v>
      </c>
      <c r="J124" s="48">
        <f>(F124/100)</f>
        <v>572.16639999999995</v>
      </c>
      <c r="K124" s="48">
        <f>(J124+I124)/2</f>
        <v>351.62812086294065</v>
      </c>
      <c r="L124" s="48">
        <f>(K124+I124)/2</f>
        <v>241.358981294411</v>
      </c>
      <c r="M124" s="48">
        <f>(L124+A124)/2</f>
        <v>232.84166264823199</v>
      </c>
      <c r="N124" s="48">
        <f>M124*100^0.5</f>
        <v>2328.4166264823198</v>
      </c>
      <c r="O124" s="48">
        <f>INT(N124)/10</f>
        <v>232.8</v>
      </c>
      <c r="P124" s="48">
        <f>(O124)^2/10000</f>
        <v>5.4195840000000004</v>
      </c>
      <c r="Q124" s="48">
        <f>(P124+I124+M124)/3</f>
        <v>123.11702945803778</v>
      </c>
      <c r="R124" s="49">
        <f>Q129^0.5</f>
        <v>32.466855155681465</v>
      </c>
      <c r="S124" s="50"/>
      <c r="T124" s="45">
        <f>AI139</f>
        <v>224.96022533788556</v>
      </c>
      <c r="U124" s="47">
        <f>(T124*10^0.125)</f>
        <v>299.98928187236123</v>
      </c>
      <c r="V124" s="47">
        <f>INT(U124)</f>
        <v>299</v>
      </c>
      <c r="W124" s="47">
        <f>V124*4</f>
        <v>1196</v>
      </c>
      <c r="X124" s="47">
        <f>W124/5</f>
        <v>239.2</v>
      </c>
      <c r="Y124" s="48">
        <f>X124^2</f>
        <v>57216.639999999992</v>
      </c>
      <c r="Z124" s="48">
        <f>(Y124^0.125)</f>
        <v>3.9326952517764404</v>
      </c>
      <c r="AA124" s="48">
        <f>Z124/3</f>
        <v>1.3108984172588134</v>
      </c>
      <c r="AB124" s="48">
        <f>(AA124*100)</f>
        <v>131.08984172588134</v>
      </c>
      <c r="AC124" s="48">
        <f>(Y124/100)</f>
        <v>572.16639999999995</v>
      </c>
      <c r="AD124" s="48">
        <f>(AC124+AB124)/2</f>
        <v>351.62812086294065</v>
      </c>
      <c r="AE124" s="48">
        <f>(AD124+AB124)/2</f>
        <v>241.358981294411</v>
      </c>
      <c r="AF124" s="48">
        <f>(AE124+T124)/2</f>
        <v>233.15960331614826</v>
      </c>
      <c r="AG124" s="48">
        <f>AF124*100^0.5</f>
        <v>2331.5960331614824</v>
      </c>
      <c r="AH124" s="48">
        <f>INT(AG124)/10</f>
        <v>233.1</v>
      </c>
      <c r="AI124" s="48">
        <f>(AH124)^2/10000</f>
        <v>5.4335610000000001</v>
      </c>
      <c r="AJ124" s="48">
        <f>(AI124+AB124+AF124)/3</f>
        <v>123.22766868067653</v>
      </c>
      <c r="AK124" s="49">
        <f>AJ129^0.5</f>
        <v>32.466855155681465</v>
      </c>
      <c r="AL124" s="50"/>
    </row>
    <row r="125" spans="1:38" x14ac:dyDescent="0.25">
      <c r="A125" s="51">
        <f>(O126-O125)</f>
        <v>3.0201887554326277</v>
      </c>
      <c r="B125" s="47">
        <f>(B126+A127)/2</f>
        <v>217.81095877444699</v>
      </c>
      <c r="C125" s="52">
        <f>(D127*C127*B127*C126*D126*A125)</f>
        <v>2128637430777.4414</v>
      </c>
      <c r="D125" s="47">
        <f>(C126*C125*A125)</f>
        <v>2893094115.0531249</v>
      </c>
      <c r="E125" s="51">
        <f>INT(A125+1)</f>
        <v>4</v>
      </c>
      <c r="F125" s="53">
        <f>(Q137*-1)</f>
        <v>36.543760256228545</v>
      </c>
      <c r="G125" s="54"/>
      <c r="H125" s="45">
        <f>IF(F125&lt;0,1,-1)</f>
        <v>-1</v>
      </c>
      <c r="I125" s="54"/>
      <c r="J125" s="54"/>
      <c r="K125" s="54"/>
      <c r="L125" s="54"/>
      <c r="M125" s="54"/>
      <c r="N125" s="54">
        <f>(M124+O124)/2</f>
        <v>232.820831324116</v>
      </c>
      <c r="O125" s="54">
        <f>N125-A124</f>
        <v>8.4964873220630182</v>
      </c>
      <c r="P125" s="54">
        <f>(Q129+R127)/2</f>
        <v>1039.04834185</v>
      </c>
      <c r="Q125" s="55">
        <f>(Q128*A125*100)</f>
        <v>150.33913672542704</v>
      </c>
      <c r="R125" s="49">
        <f>INT(R124)</f>
        <v>32</v>
      </c>
      <c r="S125" s="50"/>
      <c r="T125" s="51">
        <f>(AH126-AH125)</f>
        <v>3.7372763426710378</v>
      </c>
      <c r="U125" s="47">
        <f>(U126+T127)/2</f>
        <v>218.072479920788</v>
      </c>
      <c r="V125" s="52">
        <f>(W127*V127*U127*V126*W126*T125)</f>
        <v>22283625916401.09</v>
      </c>
      <c r="W125" s="47">
        <f>(V126*V125*T125)</f>
        <v>22550553715.200447</v>
      </c>
      <c r="X125" s="51">
        <f>INT(T125+1)</f>
        <v>4</v>
      </c>
      <c r="Y125" s="53">
        <f>(AJ137*-1)</f>
        <v>4.7020683366508456</v>
      </c>
      <c r="Z125" s="54"/>
      <c r="AA125" s="45">
        <f>IF(Y125&lt;0,1,-1)</f>
        <v>-1</v>
      </c>
      <c r="AB125" s="54"/>
      <c r="AC125" s="54"/>
      <c r="AD125" s="54"/>
      <c r="AE125" s="54"/>
      <c r="AF125" s="54"/>
      <c r="AG125" s="54">
        <f>(AF124+AH124)/2</f>
        <v>233.12980165807414</v>
      </c>
      <c r="AH125" s="54">
        <f>AG125-T124</f>
        <v>8.1695763201885825</v>
      </c>
      <c r="AI125" s="54">
        <f>(AJ129+AK127)/2</f>
        <v>1039.04834185</v>
      </c>
      <c r="AJ125" s="55">
        <f>(AJ128*T125*100)</f>
        <v>-95.463579608565709</v>
      </c>
      <c r="AK125" s="49">
        <f>INT(AK124)</f>
        <v>32</v>
      </c>
      <c r="AL125" s="50"/>
    </row>
    <row r="126" spans="1:38" x14ac:dyDescent="0.25">
      <c r="A126" s="51">
        <f>N125</f>
        <v>232.820831324116</v>
      </c>
      <c r="B126" s="51">
        <f>(N125+N127)/2</f>
        <v>222.81424962433667</v>
      </c>
      <c r="C126" s="47">
        <f>(A125/D127)</f>
        <v>4.5001478331839311E-4</v>
      </c>
      <c r="D126" s="47">
        <f>(A125+B127+C127+D127)</f>
        <v>15647.789587106659</v>
      </c>
      <c r="E126" s="57">
        <f>(E125*C127)</f>
        <v>8888.5968823160456</v>
      </c>
      <c r="F126" s="58"/>
      <c r="G126" s="54"/>
      <c r="H126" s="54"/>
      <c r="I126" s="54"/>
      <c r="J126" s="54"/>
      <c r="K126" s="54"/>
      <c r="L126" s="54"/>
      <c r="M126" s="54">
        <f>(N125+N127)/2</f>
        <v>222.81424962433667</v>
      </c>
      <c r="N126" s="54">
        <f>(I124+N125)/2</f>
        <v>181.95533652499867</v>
      </c>
      <c r="O126" s="54">
        <f>A124-N127</f>
        <v>11.516676077495646</v>
      </c>
      <c r="P126" s="54"/>
      <c r="Q126" s="48"/>
      <c r="R126" s="59"/>
      <c r="S126" s="50"/>
      <c r="T126" s="51">
        <f>AG125</f>
        <v>233.12980165807414</v>
      </c>
      <c r="U126" s="51">
        <f>(AG125+AG127)/2</f>
        <v>223.09158716655003</v>
      </c>
      <c r="V126" s="47">
        <f>(T125/W127)</f>
        <v>2.7077972275822986E-4</v>
      </c>
      <c r="W126" s="47">
        <f>(T125+U127+V127+W127)</f>
        <v>31300.588454924902</v>
      </c>
      <c r="X126" s="57">
        <f>(X125*V127)</f>
        <v>14772.154869112803</v>
      </c>
      <c r="Y126" s="58"/>
      <c r="Z126" s="54"/>
      <c r="AA126" s="54"/>
      <c r="AB126" s="54"/>
      <c r="AC126" s="54"/>
      <c r="AD126" s="54"/>
      <c r="AE126" s="54"/>
      <c r="AF126" s="54">
        <f>(AG125+AG127)/2</f>
        <v>223.09158716655003</v>
      </c>
      <c r="AG126" s="54">
        <f>(AB124+AG125)/2</f>
        <v>182.10982169197774</v>
      </c>
      <c r="AH126" s="54">
        <f>T124-AG127</f>
        <v>11.90685266285962</v>
      </c>
      <c r="AI126" s="54"/>
      <c r="AJ126" s="48"/>
      <c r="AK126" s="59"/>
      <c r="AL126" s="50"/>
    </row>
    <row r="127" spans="1:38" x14ac:dyDescent="0.25">
      <c r="A127" s="60">
        <f>N127</f>
        <v>212.80766792455734</v>
      </c>
      <c r="B127" s="47">
        <f>G133</f>
        <v>6711.3100888861081</v>
      </c>
      <c r="C127" s="47">
        <f>(B127/A125)</f>
        <v>2222.1492205790114</v>
      </c>
      <c r="D127" s="47">
        <f>(A125*C127)</f>
        <v>6711.3100888861081</v>
      </c>
      <c r="E127" s="51">
        <f>INT(A125)+1</f>
        <v>4</v>
      </c>
      <c r="F127" s="58">
        <f>(Q137)</f>
        <v>-36.543760256228545</v>
      </c>
      <c r="G127" s="54"/>
      <c r="H127" s="45">
        <f>IF(F125&gt;0,-1,1)</f>
        <v>-1</v>
      </c>
      <c r="I127" s="54"/>
      <c r="J127" s="54"/>
      <c r="K127" s="54"/>
      <c r="L127" s="54"/>
      <c r="M127" s="54">
        <f>(N126+P124*2)</f>
        <v>192.79450452499867</v>
      </c>
      <c r="N127" s="54">
        <f>(N125+M127)/2</f>
        <v>212.80766792455734</v>
      </c>
      <c r="O127" s="54">
        <f>(N126+J124)/2</f>
        <v>377.0608682624993</v>
      </c>
      <c r="P127" s="45">
        <f>IF(Q137&gt;1,-1,1)</f>
        <v>1</v>
      </c>
      <c r="Q127" s="55">
        <f>F135-F132</f>
        <v>-2.4126386837272875</v>
      </c>
      <c r="R127" s="49">
        <f>R125^2</f>
        <v>1024</v>
      </c>
      <c r="S127" s="50"/>
      <c r="T127" s="60">
        <f>AG127</f>
        <v>213.05337267502594</v>
      </c>
      <c r="U127" s="47">
        <f>Z133</f>
        <v>13801.906230652015</v>
      </c>
      <c r="V127" s="47">
        <f>(U127/T125)</f>
        <v>3693.0387172782007</v>
      </c>
      <c r="W127" s="47">
        <f>(T125*V127)</f>
        <v>13801.906230652015</v>
      </c>
      <c r="X127" s="51">
        <f>INT(T125)+1</f>
        <v>4</v>
      </c>
      <c r="Y127" s="58">
        <f>(AJ137)</f>
        <v>-4.7020683366508456</v>
      </c>
      <c r="Z127" s="54"/>
      <c r="AA127" s="45">
        <f>IF(Y125&gt;0,-1,1)</f>
        <v>-1</v>
      </c>
      <c r="AB127" s="54"/>
      <c r="AC127" s="54"/>
      <c r="AD127" s="54"/>
      <c r="AE127" s="54"/>
      <c r="AF127" s="54">
        <f>(AG126+AI124*2)</f>
        <v>192.97694369197774</v>
      </c>
      <c r="AG127" s="54">
        <f>(AG125+AF127)/2</f>
        <v>213.05337267502594</v>
      </c>
      <c r="AH127" s="54">
        <f>(AG126+AC124)/2</f>
        <v>377.13811084598888</v>
      </c>
      <c r="AI127" s="45">
        <f>IF(AJ137&gt;1,-1,1)</f>
        <v>1</v>
      </c>
      <c r="AJ127" s="55">
        <f>Y135-Y132</f>
        <v>-3.252915653010449</v>
      </c>
      <c r="AK127" s="49">
        <f>AK125^2</f>
        <v>1024</v>
      </c>
      <c r="AL127" s="50"/>
    </row>
    <row r="128" spans="1:38" x14ac:dyDescent="0.25">
      <c r="A128" s="60">
        <f>(O126+O125)+A124</f>
        <v>244.33750740161165</v>
      </c>
      <c r="B128" s="47">
        <f>(A126+B126)/2</f>
        <v>227.81754047422635</v>
      </c>
      <c r="C128" s="51">
        <f>(C126)</f>
        <v>4.5001478331839311E-4</v>
      </c>
      <c r="D128" s="47">
        <f>(D125*D126*D127*B127*A125)</f>
        <v>6.1583484240640197E+21</v>
      </c>
      <c r="E128" s="47">
        <f>(C128*A125)</f>
        <v>1.3591295883566613E-3</v>
      </c>
      <c r="F128" s="54">
        <f>(F130/O130)*O131-F131</f>
        <v>-34.830460731567626</v>
      </c>
      <c r="G128" s="54"/>
      <c r="H128" s="54"/>
      <c r="I128" s="54"/>
      <c r="J128" s="54"/>
      <c r="K128" s="54"/>
      <c r="L128" s="54"/>
      <c r="M128" s="54"/>
      <c r="N128" s="47">
        <f>(F128+Q137)*F131</f>
        <v>-2608.2824202530992</v>
      </c>
      <c r="O128" s="45">
        <f>H127</f>
        <v>-1</v>
      </c>
      <c r="P128" s="45">
        <f>IF(Q137&lt;100,1,-1)</f>
        <v>1</v>
      </c>
      <c r="Q128" s="55">
        <f>Q127+F135</f>
        <v>0.49778059882847181</v>
      </c>
      <c r="R128" s="59"/>
      <c r="S128" s="50"/>
      <c r="T128" s="60">
        <f>(AH126+AH125)+T124</f>
        <v>245.03665432093376</v>
      </c>
      <c r="U128" s="47">
        <f>(T126+U126)/2</f>
        <v>228.11069441231209</v>
      </c>
      <c r="V128" s="51">
        <f>(V126)</f>
        <v>2.7077972275822986E-4</v>
      </c>
      <c r="W128" s="47">
        <f>(W125*W126*W127*U127*T125)</f>
        <v>5.0250810319723563E+23</v>
      </c>
      <c r="X128" s="47">
        <f>(V128*T125)</f>
        <v>1.0119786519393549E-3</v>
      </c>
      <c r="Y128" s="54">
        <f>(Y130/AH130)*AH131-Y131</f>
        <v>-3.0959209084225954</v>
      </c>
      <c r="Z128" s="54"/>
      <c r="AA128" s="54"/>
      <c r="AB128" s="54"/>
      <c r="AC128" s="54"/>
      <c r="AD128" s="54"/>
      <c r="AE128" s="54"/>
      <c r="AF128" s="54"/>
      <c r="AG128" s="47">
        <f>(Y128+AJ137)*Y131</f>
        <v>-36.666678318803655</v>
      </c>
      <c r="AH128" s="45">
        <f>AA127</f>
        <v>-1</v>
      </c>
      <c r="AI128" s="45">
        <f>IF(AJ137&lt;100,1,-1)</f>
        <v>1</v>
      </c>
      <c r="AJ128" s="55">
        <f>AJ127+Y135</f>
        <v>-0.25543623445393315</v>
      </c>
      <c r="AK128" s="59"/>
      <c r="AL128" s="50"/>
    </row>
    <row r="129" spans="1:38" x14ac:dyDescent="0.25">
      <c r="A129" s="60">
        <f>(O126*-1-O125)+A124</f>
        <v>204.31118060249432</v>
      </c>
      <c r="B129" s="47">
        <f>(B126+B125)/2</f>
        <v>220.31260419939184</v>
      </c>
      <c r="C129" s="47">
        <f>(B125+A127)/2</f>
        <v>215.30931334950216</v>
      </c>
      <c r="D129" s="47">
        <f>D125</f>
        <v>2893094115.0531249</v>
      </c>
      <c r="E129" s="47">
        <f>(B126+A124)/2</f>
        <v>223.56929681319482</v>
      </c>
      <c r="F129" s="54">
        <f>(F131/O131)</f>
        <v>24.24445251669772</v>
      </c>
      <c r="G129" s="54"/>
      <c r="H129" s="54"/>
      <c r="I129" s="54"/>
      <c r="J129" s="54"/>
      <c r="K129" s="54"/>
      <c r="L129" s="54"/>
      <c r="M129" s="54"/>
      <c r="N129" s="54"/>
      <c r="O129" s="45">
        <f>H125</f>
        <v>-1</v>
      </c>
      <c r="P129" s="45">
        <f>IF(Q137&lt;0,-1,1)</f>
        <v>-1</v>
      </c>
      <c r="Q129" s="58">
        <f>Q106</f>
        <v>1054.0966837000001</v>
      </c>
      <c r="R129" s="59"/>
      <c r="S129" s="50"/>
      <c r="T129" s="60">
        <f>(AH126*-1-AH125)+T124</f>
        <v>204.88379635483736</v>
      </c>
      <c r="U129" s="47">
        <f>(U126+U125)/2</f>
        <v>220.58203354366901</v>
      </c>
      <c r="V129" s="47">
        <f>(U125+T127)/2</f>
        <v>215.56292629790698</v>
      </c>
      <c r="W129" s="47">
        <f>W125</f>
        <v>22550553715.200447</v>
      </c>
      <c r="X129" s="47">
        <f>(U126+T124)/2</f>
        <v>224.02590625221779</v>
      </c>
      <c r="Y129" s="54">
        <f>(Y131/AH131)</f>
        <v>5.6589790597359571</v>
      </c>
      <c r="Z129" s="54"/>
      <c r="AA129" s="54"/>
      <c r="AB129" s="54"/>
      <c r="AC129" s="54"/>
      <c r="AD129" s="54"/>
      <c r="AE129" s="54"/>
      <c r="AF129" s="54"/>
      <c r="AG129" s="54"/>
      <c r="AH129" s="45">
        <f>AA125</f>
        <v>-1</v>
      </c>
      <c r="AI129" s="45">
        <f>IF(AJ137&lt;0,-1,1)</f>
        <v>-1</v>
      </c>
      <c r="AJ129" s="58">
        <f>AJ106</f>
        <v>1054.0966837000001</v>
      </c>
      <c r="AK129" s="59"/>
      <c r="AL129" s="50"/>
    </row>
    <row r="130" spans="1:38" x14ac:dyDescent="0.25">
      <c r="A130" s="51">
        <f>(A129-A128)+A124-A126</f>
        <v>-48.522814121180346</v>
      </c>
      <c r="B130" s="51">
        <f>(A130*-1)+A131</f>
        <v>20.013163399558664</v>
      </c>
      <c r="C130" s="51">
        <f>(B130/2)+A125</f>
        <v>13.02677045521196</v>
      </c>
      <c r="D130" s="51">
        <f>(C138+C131+B137+B130+A125)*-1</f>
        <v>7.5140433975839116</v>
      </c>
      <c r="E130" s="51">
        <f>(C130*A125)*D130</f>
        <v>295.62730604673476</v>
      </c>
      <c r="F130" s="45">
        <f>(E130*A125)</f>
        <v>892.85026552118836</v>
      </c>
      <c r="G130" s="45">
        <f>(F130+E130)</f>
        <v>1188.4775715679232</v>
      </c>
      <c r="H130" s="54"/>
      <c r="I130" s="54"/>
      <c r="J130" s="54"/>
      <c r="K130" s="54"/>
      <c r="L130" s="54"/>
      <c r="M130" s="54"/>
      <c r="N130" s="54"/>
      <c r="O130" s="54">
        <v>785.5</v>
      </c>
      <c r="P130" s="45">
        <f>IF(N128&gt;-1,1,-1)</f>
        <v>-1</v>
      </c>
      <c r="Q130" s="48">
        <f>Q107</f>
        <v>0.32600000000000001</v>
      </c>
      <c r="R130" s="59"/>
      <c r="S130" s="50"/>
      <c r="T130" s="51">
        <f>(T129-T128)+T124-T126</f>
        <v>-48.322434286284988</v>
      </c>
      <c r="U130" s="51">
        <f>(T130*-1)+T131</f>
        <v>20.076428983048203</v>
      </c>
      <c r="V130" s="51">
        <f>(U130/2)+T125</f>
        <v>13.775490834195139</v>
      </c>
      <c r="W130" s="51">
        <f>(V138+V131+U137+U130+T125)*-1</f>
        <v>7.8915668662499812</v>
      </c>
      <c r="X130" s="51">
        <f>(V130*T125)*W130</f>
        <v>406.28008495303817</v>
      </c>
      <c r="Y130" s="45">
        <f>(X130*T125)</f>
        <v>1518.3809499933691</v>
      </c>
      <c r="Z130" s="45">
        <f>(Y130+X130)</f>
        <v>1924.6610349464072</v>
      </c>
      <c r="AA130" s="54"/>
      <c r="AB130" s="54"/>
      <c r="AC130" s="54"/>
      <c r="AD130" s="54"/>
      <c r="AE130" s="54"/>
      <c r="AF130" s="54"/>
      <c r="AG130" s="54"/>
      <c r="AH130" s="54">
        <v>785.5</v>
      </c>
      <c r="AI130" s="45">
        <f>IF(AG128&gt;-1,1,-1)</f>
        <v>-1</v>
      </c>
      <c r="AJ130" s="48">
        <f>AJ107</f>
        <v>0.1797</v>
      </c>
      <c r="AK130" s="59"/>
      <c r="AL130" s="50"/>
    </row>
    <row r="131" spans="1:38" x14ac:dyDescent="0.25">
      <c r="A131" s="51">
        <f>(A129-A128)+A124-A127</f>
        <v>-28.509650721621682</v>
      </c>
      <c r="B131" s="51">
        <f>A132+(A131*-1)+A130</f>
        <v>-97.045628242360692</v>
      </c>
      <c r="C131" s="47">
        <f>(B131/10)</f>
        <v>-9.7045628242360689</v>
      </c>
      <c r="D131" s="47"/>
      <c r="E131" s="47"/>
      <c r="F131" s="54">
        <f>(Q137*-1)</f>
        <v>36.543760256228545</v>
      </c>
      <c r="G131" s="54"/>
      <c r="H131" s="54"/>
      <c r="I131" s="54"/>
      <c r="J131" s="54"/>
      <c r="K131" s="54"/>
      <c r="L131" s="54"/>
      <c r="M131" s="54"/>
      <c r="N131" s="54"/>
      <c r="O131" s="54">
        <f>(H139/1000)*8.9</f>
        <v>1.5073040000000002</v>
      </c>
      <c r="P131" s="45">
        <f>(P133+O135)/2</f>
        <v>1014.672668850455</v>
      </c>
      <c r="Q131" s="48">
        <f>H139/(Q138*1000)</f>
        <v>0.112158940397351</v>
      </c>
      <c r="R131" s="59"/>
      <c r="S131" s="50"/>
      <c r="T131" s="51">
        <f>(T129-T128)+T124-T127</f>
        <v>-28.246005303236785</v>
      </c>
      <c r="U131" s="51">
        <f>T132+(T131*-1)+T130</f>
        <v>-96.644868572569976</v>
      </c>
      <c r="V131" s="47">
        <f>(U131/10)</f>
        <v>-9.664486857256998</v>
      </c>
      <c r="W131" s="47"/>
      <c r="X131" s="47"/>
      <c r="Y131" s="54">
        <f>(AJ137*-1)</f>
        <v>4.7020683366508456</v>
      </c>
      <c r="Z131" s="54"/>
      <c r="AA131" s="54"/>
      <c r="AB131" s="54"/>
      <c r="AC131" s="54"/>
      <c r="AD131" s="54"/>
      <c r="AE131" s="54"/>
      <c r="AF131" s="54"/>
      <c r="AG131" s="54"/>
      <c r="AH131" s="54">
        <f>(AA139/1000)*8.9</f>
        <v>0.83090399999999998</v>
      </c>
      <c r="AI131" s="45">
        <f>(AI133+AH135)/2</f>
        <v>1013.0307350459079</v>
      </c>
      <c r="AJ131" s="48">
        <f>AA139/(AJ138*1000)</f>
        <v>0.11248192771084338</v>
      </c>
      <c r="AK131" s="59"/>
      <c r="AL131" s="50"/>
    </row>
    <row r="132" spans="1:38" x14ac:dyDescent="0.25">
      <c r="A132" s="51">
        <f>(A131+A130)</f>
        <v>-77.032464842802028</v>
      </c>
      <c r="B132" s="47"/>
      <c r="C132" s="47">
        <f>((F132+E132*-1)+E136)*10-A125+O132*-1-C128*111</f>
        <v>10.639407814650705</v>
      </c>
      <c r="D132" s="47"/>
      <c r="E132" s="47">
        <f>(E136+O132+F132)</f>
        <v>-0.19427606626125105</v>
      </c>
      <c r="F132" s="54">
        <f>(O132*E136)</f>
        <v>5.3230579662830468</v>
      </c>
      <c r="G132" s="54"/>
      <c r="H132" s="78">
        <f>(P133+H133)/2</f>
        <v>774.28792987913994</v>
      </c>
      <c r="I132" s="54"/>
      <c r="J132" s="54"/>
      <c r="K132" s="54"/>
      <c r="L132" s="54"/>
      <c r="M132" s="54"/>
      <c r="N132" s="54">
        <f>(A128-A124)-(A124-B129)</f>
        <v>16.001423596897524</v>
      </c>
      <c r="O132" s="45">
        <f>(P132+A125+C128*10)</f>
        <v>-1.2463225646392433</v>
      </c>
      <c r="P132" s="54">
        <f>E136</f>
        <v>-4.2710114679050548</v>
      </c>
      <c r="Q132" s="55">
        <f>(Q128*Q127*10)</f>
        <v>-12.009647287425052</v>
      </c>
      <c r="R132" s="59"/>
      <c r="S132" s="50"/>
      <c r="T132" s="51">
        <f>(T131+T130)</f>
        <v>-76.568439589521773</v>
      </c>
      <c r="U132" s="47"/>
      <c r="V132" s="47">
        <f>((Y132+X132*-1)+X136)*10-T125+AH132*-1-V128*111</f>
        <v>10.005426264444971</v>
      </c>
      <c r="W132" s="47"/>
      <c r="X132" s="47">
        <f>(X136+AH132+Y132)</f>
        <v>6.2729032424950759E-3</v>
      </c>
      <c r="Y132" s="54">
        <f>(AH132*X136)</f>
        <v>6.2503950715669649</v>
      </c>
      <c r="Z132" s="54"/>
      <c r="AA132" s="78">
        <f>(AI133+AA133)/2</f>
        <v>773.06060358093646</v>
      </c>
      <c r="AB132" s="54"/>
      <c r="AC132" s="54"/>
      <c r="AD132" s="54"/>
      <c r="AE132" s="54"/>
      <c r="AF132" s="54"/>
      <c r="AG132" s="54">
        <f>(T128-T124)-(T124-U129)</f>
        <v>15.698237188831655</v>
      </c>
      <c r="AH132" s="45">
        <f>(AI132+T125+V128*10)</f>
        <v>-1.2520690142129249</v>
      </c>
      <c r="AI132" s="54">
        <f>X136</f>
        <v>-4.9920531541115452</v>
      </c>
      <c r="AJ132" s="55">
        <f>(AJ128*AJ127*10)</f>
        <v>8.3091252540124607</v>
      </c>
      <c r="AK132" s="59"/>
      <c r="AL132" s="50"/>
    </row>
    <row r="133" spans="1:38" x14ac:dyDescent="0.25">
      <c r="A133" s="51">
        <f>(A124+A132)</f>
        <v>147.29187915925095</v>
      </c>
      <c r="B133" s="47">
        <f>(A124+A133)/2</f>
        <v>185.80811158065197</v>
      </c>
      <c r="C133" s="47">
        <f>(E129-A124)-(A124-B133)</f>
        <v>-39.271279610259171</v>
      </c>
      <c r="D133" s="51">
        <f>(B129+C129)/2</f>
        <v>217.81095877444699</v>
      </c>
      <c r="E133" s="51">
        <f>(A128+A134)</f>
        <v>449.40373519296418</v>
      </c>
      <c r="F133" s="78">
        <f>(G130*2)-G137</f>
        <v>2222.1492205790114</v>
      </c>
      <c r="G133" s="78">
        <f>(A125*F133)</f>
        <v>6711.3100888861081</v>
      </c>
      <c r="H133" s="78">
        <f>(N135+P133)/2</f>
        <v>516.52212683573885</v>
      </c>
      <c r="I133" s="78"/>
      <c r="J133" s="78"/>
      <c r="K133" s="78"/>
      <c r="L133" s="78"/>
      <c r="M133" s="78"/>
      <c r="N133" s="78">
        <f>(O133+O134)/2</f>
        <v>1047.412279098545</v>
      </c>
      <c r="O133" s="45">
        <f>(A127+C129)/2*Q138/Q130</f>
        <v>991.49791675434028</v>
      </c>
      <c r="P133" s="45">
        <f>B126*Q138/Q130</f>
        <v>1032.053732922541</v>
      </c>
      <c r="Q133" s="48">
        <f>(A129+B126)/2</f>
        <v>213.56271511341549</v>
      </c>
      <c r="R133" s="59"/>
      <c r="S133" s="50"/>
      <c r="T133" s="51">
        <f>(T124+T132)</f>
        <v>148.39178574836379</v>
      </c>
      <c r="U133" s="47">
        <f>(T124+T133)/2</f>
        <v>186.67600554312469</v>
      </c>
      <c r="V133" s="47">
        <f>(X129-T124)-(T124-U133)</f>
        <v>-39.218538880428639</v>
      </c>
      <c r="W133" s="51">
        <f>(U129+V129)/2</f>
        <v>218.072479920788</v>
      </c>
      <c r="X133" s="51">
        <f>(T128+T134)</f>
        <v>450.85476976143889</v>
      </c>
      <c r="Y133" s="78">
        <f>(Z130*2)-Z137</f>
        <v>3693.0387172782007</v>
      </c>
      <c r="Z133" s="78">
        <f>(T125*Y133)</f>
        <v>13801.906230652015</v>
      </c>
      <c r="AA133" s="78">
        <f>(AG135+AI133)/2</f>
        <v>515.70374835143036</v>
      </c>
      <c r="AB133" s="78"/>
      <c r="AC133" s="78"/>
      <c r="AD133" s="78"/>
      <c r="AE133" s="78"/>
      <c r="AF133" s="78"/>
      <c r="AG133" s="78">
        <f>(AH133+AH134)/2</f>
        <v>1045.9852556608328</v>
      </c>
      <c r="AH133" s="45">
        <f>(T127+V129)/2*AJ138/AJ130</f>
        <v>989.84843669319491</v>
      </c>
      <c r="AI133" s="45">
        <f>U126*AJ138/AJ130</f>
        <v>1030.4174588104424</v>
      </c>
      <c r="AJ133" s="48">
        <f>(T129+U126)/2</f>
        <v>213.98769176069368</v>
      </c>
      <c r="AK133" s="59"/>
      <c r="AL133" s="50"/>
    </row>
    <row r="134" spans="1:38" x14ac:dyDescent="0.25">
      <c r="A134" s="51">
        <f>((A129+A128+A127+A126)/4-A129-A124)*-1</f>
        <v>205.0662277913525</v>
      </c>
      <c r="B134" s="47">
        <f>(B129+C129)/2</f>
        <v>217.81095877444699</v>
      </c>
      <c r="C134" s="47">
        <f>(E136+A125)</f>
        <v>-1.2508227124724272</v>
      </c>
      <c r="D134" s="51">
        <f>(A136+D135+A128+D135)/2</f>
        <v>379.10151638685812</v>
      </c>
      <c r="E134" s="51">
        <f>(A129+D135+A128)/3</f>
        <v>201.07903286389885</v>
      </c>
      <c r="F134" s="78">
        <f>(O134+P133)/2</f>
        <v>1067.6901871826453</v>
      </c>
      <c r="G134" s="48"/>
      <c r="H134" s="78">
        <f>(O134+P133+N133)/3</f>
        <v>1060.9308844879451</v>
      </c>
      <c r="I134" s="78"/>
      <c r="J134" s="78"/>
      <c r="K134" s="78"/>
      <c r="L134" s="78"/>
      <c r="M134" s="78"/>
      <c r="N134" s="78">
        <f>((A134+A128)/2)*Q138/Q130</f>
        <v>1040.7969940818648</v>
      </c>
      <c r="O134" s="45">
        <f>((A135+A126)/2)*Q138/Q130</f>
        <v>1103.3266414427496</v>
      </c>
      <c r="P134" s="45">
        <f>B125*Q138/Q130</f>
        <v>1008.8789808264261</v>
      </c>
      <c r="Q134" s="55">
        <f>A125+E136</f>
        <v>-1.2508227124724272</v>
      </c>
      <c r="R134" s="59"/>
      <c r="S134" s="50"/>
      <c r="T134" s="51">
        <f>((T129+T128+T127+T126)/4-T129-T124)*-1</f>
        <v>205.81811544050512</v>
      </c>
      <c r="U134" s="47">
        <f>(U129+V129)/2</f>
        <v>218.072479920788</v>
      </c>
      <c r="V134" s="47">
        <f>(X136+T125)</f>
        <v>-1.2547768114405073</v>
      </c>
      <c r="W134" s="51">
        <f>(T136+W135+T128+W135)/2</f>
        <v>380.4457033666838</v>
      </c>
      <c r="X134" s="51">
        <f>(T129+W135+T128)/3</f>
        <v>201.72411631105081</v>
      </c>
      <c r="Y134" s="78">
        <f>(AH134+AI133)/2</f>
        <v>1066.2697667194566</v>
      </c>
      <c r="Z134" s="48"/>
      <c r="AA134" s="78">
        <f>(AH134+AI133+AG133)/3</f>
        <v>1059.5082630332488</v>
      </c>
      <c r="AB134" s="78"/>
      <c r="AC134" s="78"/>
      <c r="AD134" s="78"/>
      <c r="AE134" s="78"/>
      <c r="AF134" s="78"/>
      <c r="AG134" s="78">
        <f>((T134+T128)/2)*AJ138/AJ130</f>
        <v>1041.2060626098894</v>
      </c>
      <c r="AH134" s="45">
        <f>((T135+T126)/2)*AJ138/AJ130</f>
        <v>1102.1220746284705</v>
      </c>
      <c r="AI134" s="45">
        <f>U125*AJ138/AJ130</f>
        <v>1007.2351604577296</v>
      </c>
      <c r="AJ134" s="55">
        <f>T125+X136</f>
        <v>-1.2547768114405073</v>
      </c>
      <c r="AK134" s="59"/>
      <c r="AL134" s="50"/>
    </row>
    <row r="135" spans="1:38" x14ac:dyDescent="0.25">
      <c r="A135" s="51">
        <f>((A129+A128+A127+A126)/4-A129-A124*-1)</f>
        <v>243.58246021275346</v>
      </c>
      <c r="B135" s="47">
        <f>B126/2</f>
        <v>111.40712481216833</v>
      </c>
      <c r="C135" s="47">
        <f>(B125+C129)/2</f>
        <v>216.56013606197456</v>
      </c>
      <c r="D135" s="51">
        <f>(A134+A133+B135)/3</f>
        <v>154.58841058759057</v>
      </c>
      <c r="E135" s="51">
        <f>(A129+A128+B135)/3</f>
        <v>186.68527093875809</v>
      </c>
      <c r="F135" s="48">
        <f>E132+(C139*-1)-E132-E136</f>
        <v>2.9104192825557593</v>
      </c>
      <c r="G135" s="48"/>
      <c r="H135" s="78">
        <f>(P135+N135)/2</f>
        <v>362.3465625913866</v>
      </c>
      <c r="I135" s="48"/>
      <c r="J135" s="48"/>
      <c r="K135" s="48"/>
      <c r="L135" s="48"/>
      <c r="M135" s="48"/>
      <c r="N135" s="78">
        <f>((N134+N133)/2/Q129)</f>
        <v>0.99052074893668951</v>
      </c>
      <c r="O135" s="45">
        <f>((A127+D133)/2)*Q138/Q130</f>
        <v>997.29160477836888</v>
      </c>
      <c r="P135" s="45">
        <f>((B135+E134)/2)*Q138/Q130</f>
        <v>723.70260443383654</v>
      </c>
      <c r="Q135" s="55">
        <f>(Q134*Q132/10)</f>
        <v>1.5021939595894129</v>
      </c>
      <c r="R135" s="59"/>
      <c r="S135" s="50"/>
      <c r="T135" s="51">
        <f>((T129+T128+T127+T126)/4-T129-T124*-1)</f>
        <v>244.102335235266</v>
      </c>
      <c r="U135" s="47">
        <f>U126/2</f>
        <v>111.54579358327501</v>
      </c>
      <c r="V135" s="47">
        <f>(U125+V129)/2</f>
        <v>216.81770310934749</v>
      </c>
      <c r="W135" s="51">
        <f>(T134+T133+U135)/3</f>
        <v>155.2518982573813</v>
      </c>
      <c r="X135" s="51">
        <f>(T129+T128+U135)/3</f>
        <v>187.15541475301538</v>
      </c>
      <c r="Y135" s="48">
        <f>X132+(V139*-1)-X132-X136</f>
        <v>2.9974794185565159</v>
      </c>
      <c r="Z135" s="48"/>
      <c r="AA135" s="78">
        <f>(AI135+AG135)/2</f>
        <v>362.22849865167706</v>
      </c>
      <c r="AB135" s="48"/>
      <c r="AC135" s="48"/>
      <c r="AD135" s="48"/>
      <c r="AE135" s="48"/>
      <c r="AF135" s="48"/>
      <c r="AG135" s="78">
        <f>((AG134+AG133)/2/AJ129)</f>
        <v>0.99003789241819906</v>
      </c>
      <c r="AH135" s="45">
        <f>((T127+W133)/2)*AJ138/AJ130</f>
        <v>995.64401128137331</v>
      </c>
      <c r="AI135" s="45">
        <f>((U135+X134)/2)*AJ138/AJ130</f>
        <v>723.46695941093594</v>
      </c>
      <c r="AJ135" s="55">
        <f>(AJ134*AJ132/10)</f>
        <v>-1.0426097692089551</v>
      </c>
      <c r="AK135" s="59"/>
      <c r="AL135" s="50"/>
    </row>
    <row r="136" spans="1:38" x14ac:dyDescent="0.25">
      <c r="A136" s="51">
        <f>(A129+A134)/2</f>
        <v>204.68870419692342</v>
      </c>
      <c r="B136" s="47">
        <f>(A126+B128)/2</f>
        <v>230.31918589917117</v>
      </c>
      <c r="C136" s="47">
        <f>(A125*C128)</f>
        <v>1.3591295883566613E-3</v>
      </c>
      <c r="D136" s="47">
        <f>(A126+B136)/2</f>
        <v>231.57000861164357</v>
      </c>
      <c r="E136" s="47">
        <f>(D136-A124)-(A124-A127)</f>
        <v>-4.2710114679050548</v>
      </c>
      <c r="F136" s="78">
        <f>(N136+H136)/2</f>
        <v>1082.337704636466</v>
      </c>
      <c r="G136" s="48"/>
      <c r="H136" s="117">
        <f>A135*Q138/Q130</f>
        <v>1128.2500457707292</v>
      </c>
      <c r="I136" s="48"/>
      <c r="J136" s="48"/>
      <c r="K136" s="48"/>
      <c r="L136" s="48"/>
      <c r="M136" s="48"/>
      <c r="N136" s="78">
        <f>(N134+P133)/2</f>
        <v>1036.4253635022028</v>
      </c>
      <c r="O136" s="45">
        <f>((E133+A133)/2)*Q138/Q130</f>
        <v>1381.9177571654061</v>
      </c>
      <c r="P136" s="45">
        <f>((E134+E136/10)/2)*Q138/Q130</f>
        <v>464.70002590925401</v>
      </c>
      <c r="Q136" s="51">
        <f>(Q135+C139)</f>
        <v>2.8627861449387084</v>
      </c>
      <c r="R136" s="59"/>
      <c r="S136" s="50"/>
      <c r="T136" s="51">
        <f>(T129+T134)/2</f>
        <v>205.35095589767124</v>
      </c>
      <c r="U136" s="47">
        <f>(T126+U128)/2</f>
        <v>230.62024803519313</v>
      </c>
      <c r="V136" s="47">
        <f>(T125*V128)</f>
        <v>1.0119786519393549E-3</v>
      </c>
      <c r="W136" s="47">
        <f>(T126+U136)/2</f>
        <v>231.87502484663364</v>
      </c>
      <c r="X136" s="47">
        <f>(W136-T124)-(T124-T127)</f>
        <v>-4.9920531541115452</v>
      </c>
      <c r="Y136" s="78">
        <f>(AG136+AA136)/2</f>
        <v>1081.6369272256193</v>
      </c>
      <c r="Z136" s="48"/>
      <c r="AA136" s="117">
        <f>T135*AJ138/AJ130</f>
        <v>1127.4620937410727</v>
      </c>
      <c r="AB136" s="48"/>
      <c r="AC136" s="48"/>
      <c r="AD136" s="48"/>
      <c r="AE136" s="48"/>
      <c r="AF136" s="48"/>
      <c r="AG136" s="78">
        <f>(AG134+AI133)/2</f>
        <v>1035.8117607101658</v>
      </c>
      <c r="AH136" s="45">
        <f>((X133+T133)/2)*AJ138/AJ130</f>
        <v>1383.9027297527439</v>
      </c>
      <c r="AI136" s="45">
        <f>((X134+X136/10)/2)*AJ138/AJ130</f>
        <v>464.70972767496079</v>
      </c>
      <c r="AJ136" s="51">
        <f>(AJ135+V139)</f>
        <v>0.95196396634607416</v>
      </c>
      <c r="AK136" s="59"/>
      <c r="AL136" s="50"/>
    </row>
    <row r="137" spans="1:38" x14ac:dyDescent="0.25">
      <c r="A137" s="51">
        <f>(A125*-1)+A132</f>
        <v>-80.052653598234656</v>
      </c>
      <c r="B137" s="51">
        <f>(A138*-1)+A137</f>
        <v>-6.0403775108652553</v>
      </c>
      <c r="C137" s="51">
        <f>(B137/2)+A125</f>
        <v>0</v>
      </c>
      <c r="D137" s="47"/>
      <c r="E137" s="51">
        <f>(C137*A125)+D130</f>
        <v>7.5140433975839116</v>
      </c>
      <c r="F137" s="78">
        <f>A133*Q138/Q138</f>
        <v>147.29187915925095</v>
      </c>
      <c r="G137" s="78">
        <f>(E137+F137)</f>
        <v>154.80592255683487</v>
      </c>
      <c r="H137" s="48">
        <f>(O138+H135)/2</f>
        <v>1221.9702753775582</v>
      </c>
      <c r="I137" s="48"/>
      <c r="J137" s="48"/>
      <c r="K137" s="48"/>
      <c r="L137" s="48"/>
      <c r="M137" s="48"/>
      <c r="N137" s="78">
        <f>(O134+H134+O134)/3</f>
        <v>1089.194722457815</v>
      </c>
      <c r="O137" s="45">
        <f>((B128+E136)/2)*Q138/Q130</f>
        <v>517.72278956985451</v>
      </c>
      <c r="P137" s="45">
        <f>D133*Q138/Q130</f>
        <v>1008.8789808264261</v>
      </c>
      <c r="Q137" s="135">
        <f>((Q136*Q135*C139*-1)*Q138*Q127*Q128)*-3.444</f>
        <v>-36.543760256228545</v>
      </c>
      <c r="R137" s="59"/>
      <c r="S137" s="50"/>
      <c r="T137" s="51">
        <f>(T125*-1)+T132</f>
        <v>-80.305715932192811</v>
      </c>
      <c r="U137" s="51">
        <f>(T138*-1)+T137</f>
        <v>-7.4745526853420756</v>
      </c>
      <c r="V137" s="51">
        <f>(U137/2)+T125</f>
        <v>0</v>
      </c>
      <c r="W137" s="47"/>
      <c r="X137" s="51">
        <f>(V137*T125)+W130</f>
        <v>7.8915668662499812</v>
      </c>
      <c r="Y137" s="78">
        <f>T133*AJ138/AJ138</f>
        <v>148.39178574836379</v>
      </c>
      <c r="Z137" s="78">
        <f>(X137+Y137)</f>
        <v>156.28335261461376</v>
      </c>
      <c r="AA137" s="48">
        <f>(AH138+AA135)/2</f>
        <v>1222.3203119357279</v>
      </c>
      <c r="AB137" s="48"/>
      <c r="AC137" s="48"/>
      <c r="AD137" s="48"/>
      <c r="AE137" s="48"/>
      <c r="AF137" s="48"/>
      <c r="AG137" s="78">
        <f>(AH134+AA134+AH134)/3</f>
        <v>1087.9174707633965</v>
      </c>
      <c r="AH137" s="45">
        <f>((U128+X136)/2)*AJ138/AJ130</f>
        <v>515.2712082479311</v>
      </c>
      <c r="AI137" s="45">
        <f>W133*AJ138/AJ130</f>
        <v>1007.2351604577296</v>
      </c>
      <c r="AJ137" s="135">
        <f>((AJ136*AJ135*V139*-1)*AJ138*AJ127*AJ128)*-3.444</f>
        <v>-4.7020683366508456</v>
      </c>
      <c r="AK137" s="59"/>
      <c r="AL137" s="50"/>
    </row>
    <row r="138" spans="1:38" x14ac:dyDescent="0.25">
      <c r="A138" s="51">
        <f>A125+A132</f>
        <v>-74.012276087369401</v>
      </c>
      <c r="B138" s="51">
        <f>(A139+(A137*-1)+A138)</f>
        <v>-148.0245521747388</v>
      </c>
      <c r="C138" s="47">
        <f>(B138/10)</f>
        <v>-14.802455217473881</v>
      </c>
      <c r="D138" s="47"/>
      <c r="E138" s="47">
        <f>((D134+B135)/2)*Q138</f>
        <v>370.33402410526497</v>
      </c>
      <c r="F138" s="48">
        <f>((E133+B135)/2)*Q138/Q130</f>
        <v>1298.8104273125002</v>
      </c>
      <c r="G138" s="48"/>
      <c r="H138" s="48">
        <f>(Q139/2)</f>
        <v>169.36487972155001</v>
      </c>
      <c r="I138" s="48"/>
      <c r="J138" s="48"/>
      <c r="K138" s="48"/>
      <c r="L138" s="48"/>
      <c r="M138" s="48"/>
      <c r="N138" s="78">
        <f>(Q139/2)/Q130</f>
        <v>519.52417092500002</v>
      </c>
      <c r="O138" s="45">
        <f>E133*Q138/Q130</f>
        <v>2081.5939881637296</v>
      </c>
      <c r="P138" s="45">
        <f>((B125+A128)/2)*Q138/Q130</f>
        <v>1070.3131655304423</v>
      </c>
      <c r="Q138" s="124">
        <f>ROUND(O131,N139)</f>
        <v>1.51</v>
      </c>
      <c r="R138" s="59"/>
      <c r="S138" s="50"/>
      <c r="T138" s="51">
        <f>T125+T132</f>
        <v>-72.831163246850736</v>
      </c>
      <c r="U138" s="51">
        <f>(T139+(T137*-1)+T138)</f>
        <v>-145.66232649370147</v>
      </c>
      <c r="V138" s="47">
        <f>(U138/10)</f>
        <v>-14.566232649370146</v>
      </c>
      <c r="W138" s="47"/>
      <c r="X138" s="47">
        <f>((W134+U135)/2)*AJ138</f>
        <v>204.17647123423288</v>
      </c>
      <c r="Y138" s="48">
        <f>((X133+U135)/2)*AJ138/AJ130</f>
        <v>1298.8104273125</v>
      </c>
      <c r="Z138" s="48"/>
      <c r="AA138" s="48">
        <f>(AJ139/2)</f>
        <v>93.358493515222506</v>
      </c>
      <c r="AB138" s="48"/>
      <c r="AC138" s="48"/>
      <c r="AD138" s="48"/>
      <c r="AE138" s="48"/>
      <c r="AF138" s="48"/>
      <c r="AG138" s="78">
        <f>(AJ139/2)/AJ130</f>
        <v>519.52417092500002</v>
      </c>
      <c r="AH138" s="45">
        <f>X133*AJ138/AJ130</f>
        <v>2082.4121252197788</v>
      </c>
      <c r="AI138" s="45">
        <f>((U125+T128)/2)*AJ138/AJ130</f>
        <v>1069.5063478592908</v>
      </c>
      <c r="AJ138" s="124">
        <f>ROUND(AH131,AG139)</f>
        <v>0.83</v>
      </c>
      <c r="AK138" s="59"/>
      <c r="AL138" s="50"/>
    </row>
    <row r="139" spans="1:38" x14ac:dyDescent="0.25">
      <c r="A139" s="78">
        <f>(A137+A138)</f>
        <v>-154.06492968560406</v>
      </c>
      <c r="B139" s="48"/>
      <c r="C139" s="55">
        <f>INT(C132)-C132+N139</f>
        <v>1.3605921853492955</v>
      </c>
      <c r="D139" s="48"/>
      <c r="E139" s="78" t="s">
        <v>11</v>
      </c>
      <c r="F139" s="48">
        <f>((O139+B135+E133)/3)*Q138/Q130</f>
        <v>2721.9795321591359</v>
      </c>
      <c r="G139" s="48"/>
      <c r="H139" s="48">
        <f>ROUND(H138,2)</f>
        <v>169.36</v>
      </c>
      <c r="I139" s="48"/>
      <c r="J139" s="48"/>
      <c r="K139" s="48"/>
      <c r="L139" s="48"/>
      <c r="M139" s="48"/>
      <c r="N139" s="48">
        <v>2</v>
      </c>
      <c r="O139" s="45">
        <f>((B125+B135+E133)/3)*Q138/Q130</f>
        <v>1202.1666118171422</v>
      </c>
      <c r="P139" s="78">
        <f>(Q139/Q138)</f>
        <v>224.32434400205298</v>
      </c>
      <c r="Q139" s="45">
        <f>P125*Q130</f>
        <v>338.72975944310002</v>
      </c>
      <c r="R139" s="59"/>
      <c r="S139" s="50"/>
      <c r="T139" s="78">
        <f>(T137+T138)</f>
        <v>-153.13687917904355</v>
      </c>
      <c r="U139" s="48"/>
      <c r="V139" s="55">
        <f>INT(V132)-V132+AG139</f>
        <v>1.9945737355550293</v>
      </c>
      <c r="W139" s="48"/>
      <c r="X139" s="78" t="s">
        <v>11</v>
      </c>
      <c r="Y139" s="48">
        <f>((AH139+U135+X133)/3)*AJ138/AJ130</f>
        <v>2715.8893806016222</v>
      </c>
      <c r="Z139" s="48"/>
      <c r="AA139" s="48">
        <f>ROUND(AA138,2)</f>
        <v>93.36</v>
      </c>
      <c r="AB139" s="48"/>
      <c r="AC139" s="48"/>
      <c r="AD139" s="48"/>
      <c r="AE139" s="48"/>
      <c r="AF139" s="48"/>
      <c r="AG139" s="48">
        <v>2</v>
      </c>
      <c r="AH139" s="45">
        <f>((U125+U135+X133)/3)*AJ138/AJ130</f>
        <v>1201.6186716942432</v>
      </c>
      <c r="AI139" s="78">
        <f>(AJ139/AJ138)</f>
        <v>224.96022533788556</v>
      </c>
      <c r="AJ139" s="45">
        <f>AI125*AJ130</f>
        <v>186.71698703044501</v>
      </c>
      <c r="AK139" s="59"/>
      <c r="AL139" s="50"/>
    </row>
    <row r="140" spans="1:38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 t="s">
        <v>12</v>
      </c>
      <c r="Q140" s="59"/>
      <c r="R140" s="59"/>
      <c r="S140" s="50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 t="s">
        <v>12</v>
      </c>
      <c r="AJ140" s="59"/>
      <c r="AK140" s="59"/>
      <c r="AL140" s="50"/>
    </row>
    <row r="141" spans="1:38" x14ac:dyDescent="0.25">
      <c r="A141" s="59"/>
      <c r="B141" s="59"/>
      <c r="C141" s="59"/>
      <c r="D141" s="59"/>
      <c r="E141" s="59"/>
      <c r="F141" s="59"/>
      <c r="G141" s="59"/>
      <c r="H141" s="59"/>
      <c r="I141" s="50"/>
      <c r="J141" s="50"/>
      <c r="K141" s="50"/>
      <c r="L141" s="50"/>
      <c r="M141" s="50"/>
      <c r="N141" s="59"/>
      <c r="O141" s="59"/>
      <c r="P141" s="59"/>
      <c r="Q141" s="59"/>
      <c r="R141" s="59"/>
      <c r="S141" s="50"/>
      <c r="T141" s="59"/>
      <c r="U141" s="59"/>
      <c r="V141" s="59"/>
      <c r="W141" s="59"/>
      <c r="X141" s="59"/>
      <c r="Y141" s="59"/>
      <c r="Z141" s="59"/>
      <c r="AA141" s="59"/>
      <c r="AB141" s="50"/>
      <c r="AC141" s="50"/>
      <c r="AD141" s="50"/>
      <c r="AE141" s="50"/>
      <c r="AF141" s="50"/>
      <c r="AG141" s="59"/>
      <c r="AH141" s="59"/>
      <c r="AI141" s="59"/>
      <c r="AJ141" s="59"/>
      <c r="AK141" s="59"/>
      <c r="AL141" s="50"/>
    </row>
    <row r="142" spans="1:38" x14ac:dyDescent="0.25">
      <c r="A142" s="59"/>
      <c r="B142" s="59"/>
      <c r="C142" s="59"/>
      <c r="D142" s="59"/>
      <c r="E142" s="59"/>
      <c r="F142" s="59"/>
      <c r="G142" s="59"/>
      <c r="H142" s="59"/>
      <c r="I142" s="50"/>
      <c r="J142" s="50"/>
      <c r="K142" s="50"/>
      <c r="L142" s="50"/>
      <c r="M142" s="50"/>
      <c r="N142" s="59"/>
      <c r="O142" s="59"/>
      <c r="P142" s="59"/>
      <c r="Q142" s="59"/>
      <c r="R142" s="59"/>
      <c r="S142" s="50"/>
      <c r="T142" s="59"/>
      <c r="U142" s="59"/>
      <c r="V142" s="59"/>
      <c r="W142" s="59"/>
      <c r="X142" s="59"/>
      <c r="Y142" s="59"/>
      <c r="Z142" s="59"/>
      <c r="AA142" s="59"/>
      <c r="AB142" s="50"/>
      <c r="AC142" s="50"/>
      <c r="AD142" s="50"/>
      <c r="AE142" s="50"/>
      <c r="AF142" s="50"/>
      <c r="AG142" s="59"/>
      <c r="AH142" s="59"/>
      <c r="AI142" s="59"/>
      <c r="AJ142" s="59"/>
      <c r="AK142" s="59"/>
      <c r="AL142" s="50"/>
    </row>
    <row r="143" spans="1:38" x14ac:dyDescent="0.25">
      <c r="A143" s="59"/>
      <c r="B143" s="59"/>
      <c r="C143" s="59"/>
      <c r="D143" s="59"/>
      <c r="E143" s="59"/>
      <c r="F143" s="59"/>
      <c r="G143" s="59"/>
      <c r="H143" s="59"/>
      <c r="I143" s="50"/>
      <c r="J143" s="50"/>
      <c r="K143" s="50"/>
      <c r="L143" s="50"/>
      <c r="M143" s="50"/>
      <c r="N143" s="59"/>
      <c r="O143" s="59"/>
      <c r="P143" s="59"/>
      <c r="Q143" s="59"/>
      <c r="R143" s="59"/>
      <c r="S143" s="50"/>
      <c r="T143" s="59"/>
      <c r="U143" s="59"/>
      <c r="V143" s="59"/>
      <c r="W143" s="59"/>
      <c r="X143" s="59"/>
      <c r="Y143" s="59"/>
      <c r="Z143" s="59"/>
      <c r="AA143" s="59"/>
      <c r="AB143" s="50"/>
      <c r="AC143" s="50"/>
      <c r="AD143" s="50"/>
      <c r="AE143" s="50"/>
      <c r="AF143" s="50"/>
      <c r="AG143" s="59"/>
      <c r="AH143" s="59"/>
      <c r="AI143" s="59"/>
      <c r="AJ143" s="59"/>
      <c r="AK143" s="59"/>
      <c r="AL143" s="50"/>
    </row>
    <row r="144" spans="1:38" x14ac:dyDescent="0.25">
      <c r="A144" s="59"/>
      <c r="B144" s="59"/>
      <c r="C144" s="59"/>
      <c r="D144" s="59"/>
      <c r="E144" s="59"/>
      <c r="F144" s="59"/>
      <c r="G144" s="59"/>
      <c r="H144" s="59"/>
      <c r="I144" s="50"/>
      <c r="J144" s="50"/>
      <c r="K144" s="50"/>
      <c r="L144" s="50"/>
      <c r="M144" s="50"/>
      <c r="N144" s="59"/>
      <c r="O144" s="59"/>
      <c r="P144" s="59"/>
      <c r="Q144" s="59"/>
      <c r="R144" s="59"/>
      <c r="S144" s="50"/>
      <c r="T144" s="59"/>
      <c r="U144" s="59"/>
      <c r="V144" s="59"/>
      <c r="W144" s="59"/>
      <c r="X144" s="59"/>
      <c r="Y144" s="59"/>
      <c r="Z144" s="59"/>
      <c r="AA144" s="59"/>
      <c r="AB144" s="50"/>
      <c r="AC144" s="50"/>
      <c r="AD144" s="50"/>
      <c r="AE144" s="50"/>
      <c r="AF144" s="50"/>
      <c r="AG144" s="59"/>
      <c r="AH144" s="59"/>
      <c r="AI144" s="59"/>
      <c r="AJ144" s="59"/>
      <c r="AK144" s="59"/>
      <c r="AL144" s="50"/>
    </row>
    <row r="145" spans="1:38" x14ac:dyDescent="0.25">
      <c r="A145" s="59"/>
      <c r="B145" s="59"/>
      <c r="C145" s="59"/>
      <c r="D145" s="59"/>
      <c r="E145" s="59"/>
      <c r="F145" s="59"/>
      <c r="G145" s="59"/>
      <c r="H145" s="59"/>
      <c r="I145" s="50"/>
      <c r="J145" s="50"/>
      <c r="K145" s="50"/>
      <c r="L145" s="50"/>
      <c r="M145" s="50"/>
      <c r="N145" s="59"/>
      <c r="O145" s="59"/>
      <c r="P145" s="59"/>
      <c r="Q145" s="59"/>
      <c r="R145" s="59"/>
      <c r="S145" s="50"/>
      <c r="T145" s="59"/>
      <c r="U145" s="59"/>
      <c r="V145" s="59"/>
      <c r="W145" s="59"/>
      <c r="X145" s="59"/>
      <c r="Y145" s="59"/>
      <c r="Z145" s="59"/>
      <c r="AA145" s="59"/>
      <c r="AB145" s="50"/>
      <c r="AC145" s="50"/>
      <c r="AD145" s="50"/>
      <c r="AE145" s="50"/>
      <c r="AF145" s="50"/>
      <c r="AG145" s="59"/>
      <c r="AH145" s="59"/>
      <c r="AI145" s="59"/>
      <c r="AJ145" s="59"/>
      <c r="AK145" s="59"/>
      <c r="AL145" s="50"/>
    </row>
    <row r="146" spans="1:38" x14ac:dyDescent="0.25">
      <c r="A146" s="59"/>
      <c r="B146" s="59"/>
      <c r="C146" s="59"/>
      <c r="D146" s="59"/>
      <c r="E146" s="59"/>
      <c r="F146" s="59"/>
      <c r="G146" s="59"/>
      <c r="H146" s="59"/>
      <c r="I146" s="50"/>
      <c r="J146" s="50"/>
      <c r="K146" s="50"/>
      <c r="L146" s="50"/>
      <c r="M146" s="50"/>
      <c r="N146" s="59"/>
      <c r="O146" s="59"/>
      <c r="P146" s="59"/>
      <c r="Q146" s="59"/>
      <c r="R146" s="59"/>
      <c r="S146" s="50"/>
      <c r="T146" s="59"/>
      <c r="U146" s="59"/>
      <c r="V146" s="59"/>
      <c r="W146" s="59"/>
      <c r="X146" s="59"/>
      <c r="Y146" s="59"/>
      <c r="Z146" s="59"/>
      <c r="AA146" s="59"/>
      <c r="AB146" s="50"/>
      <c r="AC146" s="50"/>
      <c r="AD146" s="50"/>
      <c r="AE146" s="50"/>
      <c r="AF146" s="50"/>
      <c r="AG146" s="59"/>
      <c r="AH146" s="59"/>
      <c r="AI146" s="59"/>
      <c r="AJ146" s="59"/>
      <c r="AK146" s="59"/>
      <c r="AL146" s="50"/>
    </row>
    <row r="147" spans="1:38" x14ac:dyDescent="0.25">
      <c r="A147" s="59"/>
      <c r="B147" s="59"/>
      <c r="C147" s="59"/>
      <c r="D147" s="59"/>
      <c r="E147" s="59"/>
      <c r="F147" s="59"/>
      <c r="G147" s="59"/>
      <c r="H147" s="59"/>
      <c r="I147" s="50"/>
      <c r="J147" s="50"/>
      <c r="K147" s="50"/>
      <c r="L147" s="50"/>
      <c r="M147" s="50"/>
      <c r="N147" s="59"/>
      <c r="O147" s="59"/>
      <c r="P147" s="59"/>
      <c r="Q147" s="59"/>
      <c r="R147" s="59"/>
      <c r="S147" s="50"/>
      <c r="T147" s="59"/>
      <c r="U147" s="59"/>
      <c r="V147" s="59"/>
      <c r="W147" s="59"/>
      <c r="X147" s="59"/>
      <c r="Y147" s="59"/>
      <c r="Z147" s="59"/>
      <c r="AA147" s="59"/>
      <c r="AB147" s="50"/>
      <c r="AC147" s="50"/>
      <c r="AD147" s="50"/>
      <c r="AE147" s="50"/>
      <c r="AF147" s="50"/>
      <c r="AG147" s="59"/>
      <c r="AH147" s="59"/>
      <c r="AI147" s="59"/>
      <c r="AJ147" s="59"/>
      <c r="AK147" s="59"/>
      <c r="AL147" s="50"/>
    </row>
    <row r="148" spans="1:38" x14ac:dyDescent="0.25">
      <c r="A148" s="59"/>
      <c r="B148" s="59"/>
      <c r="C148" s="59"/>
      <c r="D148" s="59"/>
      <c r="E148" s="59"/>
      <c r="F148" s="59"/>
      <c r="G148" s="59"/>
      <c r="H148" s="59"/>
      <c r="I148" s="50"/>
      <c r="J148" s="50"/>
      <c r="K148" s="50"/>
      <c r="L148" s="50"/>
      <c r="M148" s="50"/>
      <c r="N148" s="59"/>
      <c r="O148" s="59"/>
      <c r="P148" s="59"/>
      <c r="Q148" s="59"/>
      <c r="R148" s="59"/>
      <c r="S148" s="50"/>
      <c r="T148" s="59"/>
      <c r="U148" s="59"/>
      <c r="V148" s="59"/>
      <c r="W148" s="59"/>
      <c r="X148" s="59"/>
      <c r="Y148" s="59"/>
      <c r="Z148" s="59"/>
      <c r="AA148" s="59"/>
      <c r="AB148" s="50"/>
      <c r="AC148" s="50"/>
      <c r="AD148" s="50"/>
      <c r="AE148" s="50"/>
      <c r="AF148" s="50"/>
      <c r="AG148" s="59"/>
      <c r="AH148" s="59"/>
      <c r="AI148" s="59"/>
      <c r="AJ148" s="59"/>
      <c r="AK148" s="59"/>
      <c r="AL148" s="50"/>
    </row>
    <row r="149" spans="1:38" x14ac:dyDescent="0.25">
      <c r="A149" s="45">
        <f>P164</f>
        <v>224.77090872136699</v>
      </c>
      <c r="B149" s="47">
        <f>(A149*10^0.125)</f>
        <v>299.73682410676906</v>
      </c>
      <c r="C149" s="47">
        <f>INT(B149)</f>
        <v>299</v>
      </c>
      <c r="D149" s="47">
        <f>C149*4</f>
        <v>1196</v>
      </c>
      <c r="E149" s="47">
        <f>D149/5</f>
        <v>239.2</v>
      </c>
      <c r="F149" s="48">
        <f>E149^2</f>
        <v>57216.639999999992</v>
      </c>
      <c r="G149" s="48">
        <f>(F149^0.125)</f>
        <v>3.9326952517764404</v>
      </c>
      <c r="H149" s="48">
        <f>G149/3</f>
        <v>1.3108984172588134</v>
      </c>
      <c r="I149" s="48">
        <f>(H149*100)</f>
        <v>131.08984172588134</v>
      </c>
      <c r="J149" s="48">
        <f>(F149/100)</f>
        <v>572.16639999999995</v>
      </c>
      <c r="K149" s="48">
        <f>(J149+I149)/2</f>
        <v>351.62812086294065</v>
      </c>
      <c r="L149" s="48">
        <f>(K149+I149)/2</f>
        <v>241.358981294411</v>
      </c>
      <c r="M149" s="48">
        <f>(L149+A149)/2</f>
        <v>233.06494500788898</v>
      </c>
      <c r="N149" s="48">
        <f>M149*100^0.5</f>
        <v>2330.6494500788899</v>
      </c>
      <c r="O149" s="48">
        <f>INT(N149)/10</f>
        <v>233</v>
      </c>
      <c r="P149" s="48">
        <f>(O149)^2/10000</f>
        <v>5.4288999999999996</v>
      </c>
      <c r="Q149" s="48">
        <f>(P149+I149+M149)/3</f>
        <v>123.1945622445901</v>
      </c>
      <c r="R149" s="49">
        <f>Q154^0.5</f>
        <v>32.466855155681465</v>
      </c>
      <c r="S149" s="50"/>
      <c r="T149" s="45">
        <f>AI164</f>
        <v>224.68951507875454</v>
      </c>
      <c r="U149" s="47">
        <f>(T149*10^0.125)</f>
        <v>299.62828393990355</v>
      </c>
      <c r="V149" s="47">
        <f>INT(U149)</f>
        <v>299</v>
      </c>
      <c r="W149" s="47">
        <f>V149*4</f>
        <v>1196</v>
      </c>
      <c r="X149" s="47">
        <f>W149/5</f>
        <v>239.2</v>
      </c>
      <c r="Y149" s="48">
        <f>X149^2</f>
        <v>57216.639999999992</v>
      </c>
      <c r="Z149" s="48">
        <f>(Y149^0.125)</f>
        <v>3.9326952517764404</v>
      </c>
      <c r="AA149" s="48">
        <f>Z149/3</f>
        <v>1.3108984172588134</v>
      </c>
      <c r="AB149" s="48">
        <f>(AA149*100)</f>
        <v>131.08984172588134</v>
      </c>
      <c r="AC149" s="48">
        <f>(Y149/100)</f>
        <v>572.16639999999995</v>
      </c>
      <c r="AD149" s="48">
        <f>(AC149+AB149)/2</f>
        <v>351.62812086294065</v>
      </c>
      <c r="AE149" s="48">
        <f>(AD149+AB149)/2</f>
        <v>241.358981294411</v>
      </c>
      <c r="AF149" s="48">
        <f>(AE149+T149)/2</f>
        <v>233.02424818658278</v>
      </c>
      <c r="AG149" s="48">
        <f>AF149*100^0.5</f>
        <v>2330.2424818658278</v>
      </c>
      <c r="AH149" s="48">
        <f>INT(AG149)/10</f>
        <v>233</v>
      </c>
      <c r="AI149" s="48">
        <f>(AH149)^2/10000</f>
        <v>5.4288999999999996</v>
      </c>
      <c r="AJ149" s="48">
        <f>(AI149+AB149+AF149)/3</f>
        <v>123.18099663748804</v>
      </c>
      <c r="AK149" s="49">
        <f>AJ154^0.5</f>
        <v>32.466855155681465</v>
      </c>
      <c r="AL149" s="50"/>
    </row>
    <row r="150" spans="1:38" x14ac:dyDescent="0.25">
      <c r="A150" s="51">
        <f>(O151-O150)</f>
        <v>3.5336301293607733</v>
      </c>
      <c r="B150" s="47">
        <f>(B151+A152)/2</f>
        <v>217.98990423305767</v>
      </c>
      <c r="C150" s="52">
        <f>(D152*C152*B152*C151*D151*A150)</f>
        <v>11957166906674.064</v>
      </c>
      <c r="D150" s="47">
        <f>(C151*C150*A150)</f>
        <v>13095518968.200306</v>
      </c>
      <c r="E150" s="51">
        <f>INT(A150+1)</f>
        <v>4</v>
      </c>
      <c r="F150" s="53">
        <f>(Q162*-1)</f>
        <v>861.29244202942141</v>
      </c>
      <c r="G150" s="54"/>
      <c r="H150" s="45">
        <f>IF(F150&lt;0,1,-1)</f>
        <v>-1</v>
      </c>
      <c r="I150" s="54"/>
      <c r="J150" s="54"/>
      <c r="K150" s="54"/>
      <c r="L150" s="54"/>
      <c r="M150" s="54"/>
      <c r="N150" s="54">
        <f>(M149+O149)/2</f>
        <v>233.03247250394449</v>
      </c>
      <c r="O150" s="54">
        <f>N150-A149</f>
        <v>8.2615637825774968</v>
      </c>
      <c r="P150" s="54">
        <f>(Q154+R152)/2</f>
        <v>1039.04834185</v>
      </c>
      <c r="Q150" s="55">
        <f>(Q153*A150*100)</f>
        <v>-720.14393716710345</v>
      </c>
      <c r="R150" s="49">
        <f>INT(R149)</f>
        <v>32</v>
      </c>
      <c r="S150" s="50"/>
      <c r="T150" s="51">
        <f>(AH151-AH150)</f>
        <v>3.40645256277881</v>
      </c>
      <c r="U150" s="47">
        <f>(U151+T152)/2</f>
        <v>217.973371149402</v>
      </c>
      <c r="V150" s="52">
        <f>(W152*V152*U152*V151*W151*T150)</f>
        <v>7985728844446.2129</v>
      </c>
      <c r="W150" s="47">
        <f>(V151*V150*T150)</f>
        <v>9199691377.187891</v>
      </c>
      <c r="X150" s="51">
        <f>INT(T150+1)</f>
        <v>4</v>
      </c>
      <c r="Y150" s="53">
        <f>(AJ162*-1)</f>
        <v>317.34543623142815</v>
      </c>
      <c r="Z150" s="54"/>
      <c r="AA150" s="45">
        <f>IF(Y150&lt;0,1,-1)</f>
        <v>-1</v>
      </c>
      <c r="AB150" s="54"/>
      <c r="AC150" s="54"/>
      <c r="AD150" s="54"/>
      <c r="AE150" s="54"/>
      <c r="AF150" s="54"/>
      <c r="AG150" s="54">
        <f>(AF149+AH149)/2</f>
        <v>233.01212409329139</v>
      </c>
      <c r="AH150" s="54">
        <f>AG150-T149</f>
        <v>8.3226090145368516</v>
      </c>
      <c r="AI150" s="54">
        <f>(AJ154+AK152)/2</f>
        <v>1039.04834185</v>
      </c>
      <c r="AJ150" s="55">
        <f>(AJ153*T150*100)</f>
        <v>-645.81730217353709</v>
      </c>
      <c r="AK150" s="49">
        <f>INT(AK149)</f>
        <v>32</v>
      </c>
      <c r="AL150" s="50"/>
    </row>
    <row r="151" spans="1:38" x14ac:dyDescent="0.25">
      <c r="A151" s="51">
        <f>N150</f>
        <v>233.03247250394449</v>
      </c>
      <c r="B151" s="51">
        <f>(N150+N152)/2</f>
        <v>223.00409365668662</v>
      </c>
      <c r="C151" s="47">
        <f>(A150/D152)</f>
        <v>3.0993693448230086E-4</v>
      </c>
      <c r="D151" s="47">
        <f>(A150+B152+C152+D152)</f>
        <v>26032.249027332957</v>
      </c>
      <c r="E151" s="57">
        <f>(E150*C152)</f>
        <v>12905.851336115678</v>
      </c>
      <c r="F151" s="58"/>
      <c r="G151" s="54"/>
      <c r="H151" s="54"/>
      <c r="I151" s="54"/>
      <c r="J151" s="54"/>
      <c r="K151" s="54"/>
      <c r="L151" s="54"/>
      <c r="M151" s="54">
        <f>(N150+N152)/2</f>
        <v>223.00409365668662</v>
      </c>
      <c r="N151" s="54">
        <f>(I149+N150)/2</f>
        <v>182.06115711491293</v>
      </c>
      <c r="O151" s="54">
        <f>A149-N152</f>
        <v>11.79519391193827</v>
      </c>
      <c r="P151" s="54"/>
      <c r="Q151" s="48"/>
      <c r="R151" s="59"/>
      <c r="S151" s="50"/>
      <c r="T151" s="51">
        <f>AG150</f>
        <v>233.01212409329139</v>
      </c>
      <c r="U151" s="51">
        <f>(AG150+AG152)/2</f>
        <v>222.98628879736515</v>
      </c>
      <c r="V151" s="47">
        <f>(T150/W152)</f>
        <v>3.3818656703650914E-4</v>
      </c>
      <c r="W151" s="47">
        <f>(T150+U152+V152+W152)</f>
        <v>23105.758488662937</v>
      </c>
      <c r="X151" s="57">
        <f>(X150*V152)</f>
        <v>11827.790899714173</v>
      </c>
      <c r="Y151" s="58"/>
      <c r="Z151" s="54"/>
      <c r="AA151" s="54"/>
      <c r="AB151" s="54"/>
      <c r="AC151" s="54"/>
      <c r="AD151" s="54"/>
      <c r="AE151" s="54"/>
      <c r="AF151" s="54">
        <f>(AG150+AG152)/2</f>
        <v>222.98628879736515</v>
      </c>
      <c r="AG151" s="54">
        <f>(AB149+AG150)/2</f>
        <v>182.05098290958637</v>
      </c>
      <c r="AH151" s="54">
        <f>T149-AG152</f>
        <v>11.729061577315662</v>
      </c>
      <c r="AI151" s="54"/>
      <c r="AJ151" s="48"/>
      <c r="AK151" s="59"/>
      <c r="AL151" s="50"/>
    </row>
    <row r="152" spans="1:38" x14ac:dyDescent="0.25">
      <c r="A152" s="60">
        <f>N152</f>
        <v>212.97571480942872</v>
      </c>
      <c r="B152" s="47">
        <f>G158</f>
        <v>11401.126281587338</v>
      </c>
      <c r="C152" s="47">
        <f>(B152/A150)</f>
        <v>3226.4628340289196</v>
      </c>
      <c r="D152" s="47">
        <f>(A150*C152)</f>
        <v>11401.126281587338</v>
      </c>
      <c r="E152" s="51">
        <f>INT(A150)+1</f>
        <v>4</v>
      </c>
      <c r="F152" s="58">
        <f>(Q162)</f>
        <v>-861.29244202942141</v>
      </c>
      <c r="G152" s="54"/>
      <c r="H152" s="45">
        <f>IF(F150&gt;0,-1,1)</f>
        <v>-1</v>
      </c>
      <c r="I152" s="54"/>
      <c r="J152" s="54"/>
      <c r="K152" s="54"/>
      <c r="L152" s="54"/>
      <c r="M152" s="54">
        <f>(N151+P149*2)</f>
        <v>192.91895711491293</v>
      </c>
      <c r="N152" s="54">
        <f>(N150+M152)/2</f>
        <v>212.97571480942872</v>
      </c>
      <c r="O152" s="54">
        <f>(N151+J149)/2</f>
        <v>377.11377855745644</v>
      </c>
      <c r="P152" s="45">
        <f>IF(Q162&gt;1,-1,1)</f>
        <v>1</v>
      </c>
      <c r="Q152" s="55">
        <f>F160-F157</f>
        <v>-4.0120442394041715</v>
      </c>
      <c r="R152" s="49">
        <f>R150^2</f>
        <v>1024</v>
      </c>
      <c r="S152" s="50"/>
      <c r="T152" s="60">
        <f>AG152</f>
        <v>212.96045350143888</v>
      </c>
      <c r="U152" s="47">
        <f>Z158</f>
        <v>10072.702155585808</v>
      </c>
      <c r="V152" s="47">
        <f>(U152/T150)</f>
        <v>2956.9477249285433</v>
      </c>
      <c r="W152" s="47">
        <f>(T150*V152)</f>
        <v>10072.702155585808</v>
      </c>
      <c r="X152" s="51">
        <f>INT(T150)+1</f>
        <v>4</v>
      </c>
      <c r="Y152" s="58">
        <f>(AJ162)</f>
        <v>-317.34543623142815</v>
      </c>
      <c r="Z152" s="54"/>
      <c r="AA152" s="45">
        <f>IF(Y150&gt;0,-1,1)</f>
        <v>-1</v>
      </c>
      <c r="AB152" s="54"/>
      <c r="AC152" s="54"/>
      <c r="AD152" s="54"/>
      <c r="AE152" s="54"/>
      <c r="AF152" s="54">
        <f>(AG151+AI149*2)</f>
        <v>192.90878290958636</v>
      </c>
      <c r="AG152" s="54">
        <f>(AG150+AF152)/2</f>
        <v>212.96045350143888</v>
      </c>
      <c r="AH152" s="54">
        <f>(AG151+AC149)/2</f>
        <v>377.10869145479319</v>
      </c>
      <c r="AI152" s="45">
        <f>IF(AJ162&gt;1,-1,1)</f>
        <v>1</v>
      </c>
      <c r="AJ152" s="55">
        <f>Y160-Y157</f>
        <v>-3.8598783702248989</v>
      </c>
      <c r="AK152" s="49">
        <f>AK150^2</f>
        <v>1024</v>
      </c>
      <c r="AL152" s="50"/>
    </row>
    <row r="153" spans="1:38" x14ac:dyDescent="0.25">
      <c r="A153" s="60">
        <f>(O151+O150)+A149</f>
        <v>244.82766641588276</v>
      </c>
      <c r="B153" s="47">
        <f>(A151+B151)/2</f>
        <v>228.01828308031554</v>
      </c>
      <c r="C153" s="51">
        <f>(C151)</f>
        <v>3.0993693448230086E-4</v>
      </c>
      <c r="D153" s="47">
        <f>(D150*D151*D152*B152*A150)</f>
        <v>1.5658530603228718E+23</v>
      </c>
      <c r="E153" s="47">
        <f>(C153*A150)</f>
        <v>1.0952024898883742E-3</v>
      </c>
      <c r="F153" s="54">
        <f>(F155/O155)*O156-F156</f>
        <v>-858.76305724945837</v>
      </c>
      <c r="G153" s="54"/>
      <c r="H153" s="54"/>
      <c r="I153" s="54"/>
      <c r="J153" s="54"/>
      <c r="K153" s="54"/>
      <c r="L153" s="54"/>
      <c r="M153" s="54"/>
      <c r="N153" s="52">
        <f>(F153+Q162)*F156</f>
        <v>-1481470.8014000421</v>
      </c>
      <c r="O153" s="45">
        <f>H152</f>
        <v>-1</v>
      </c>
      <c r="P153" s="45">
        <f>IF(Q162&lt;100,1,-1)</f>
        <v>1</v>
      </c>
      <c r="Q153" s="55">
        <f>Q152+F160</f>
        <v>-2.0379720310381666</v>
      </c>
      <c r="R153" s="59"/>
      <c r="S153" s="50"/>
      <c r="T153" s="60">
        <f>(AH151+AH150)+T149</f>
        <v>244.74118567060705</v>
      </c>
      <c r="U153" s="47">
        <f>(T151+U151)/2</f>
        <v>227.99920644532827</v>
      </c>
      <c r="V153" s="51">
        <f>(V151)</f>
        <v>3.3818656703650914E-4</v>
      </c>
      <c r="W153" s="47">
        <f>(W150*W151*W152*U152*T150)</f>
        <v>7.3466240790812443E+22</v>
      </c>
      <c r="X153" s="47">
        <f>(V153*T150)</f>
        <v>1.1520164979788843E-3</v>
      </c>
      <c r="Y153" s="54">
        <f>(Y155/AH155)*AH156-Y156</f>
        <v>-316.07279775840016</v>
      </c>
      <c r="Z153" s="54"/>
      <c r="AA153" s="54"/>
      <c r="AB153" s="54"/>
      <c r="AC153" s="54"/>
      <c r="AD153" s="54"/>
      <c r="AE153" s="54"/>
      <c r="AF153" s="54"/>
      <c r="AG153" s="52">
        <f>(Y153+AJ162)*Y156</f>
        <v>-201012.3857824429</v>
      </c>
      <c r="AH153" s="45">
        <f>AA152</f>
        <v>-1</v>
      </c>
      <c r="AI153" s="45">
        <f>IF(AJ162&lt;100,1,-1)</f>
        <v>1</v>
      </c>
      <c r="AJ153" s="55">
        <f>AJ152+Y160</f>
        <v>-1.8958646576505158</v>
      </c>
      <c r="AK153" s="59"/>
      <c r="AL153" s="50"/>
    </row>
    <row r="154" spans="1:38" x14ac:dyDescent="0.25">
      <c r="A154" s="60">
        <f>(O151*-1-O150)+A149</f>
        <v>204.71415102685123</v>
      </c>
      <c r="B154" s="47">
        <f>(B151+B150)/2</f>
        <v>220.49699894487213</v>
      </c>
      <c r="C154" s="47">
        <f>(B150+A152)/2</f>
        <v>215.48280952124321</v>
      </c>
      <c r="D154" s="47">
        <f>D150</f>
        <v>13095518968.200306</v>
      </c>
      <c r="E154" s="47">
        <f>(B151+A149)/2</f>
        <v>223.88750118902681</v>
      </c>
      <c r="F154" s="54">
        <f>(F156/O156)</f>
        <v>571.41256311229938</v>
      </c>
      <c r="G154" s="54"/>
      <c r="H154" s="54"/>
      <c r="I154" s="54"/>
      <c r="J154" s="54"/>
      <c r="K154" s="54"/>
      <c r="L154" s="54"/>
      <c r="M154" s="54"/>
      <c r="N154" s="54"/>
      <c r="O154" s="45">
        <f>H150</f>
        <v>-1</v>
      </c>
      <c r="P154" s="45">
        <f>IF(Q162&lt;0,-1,1)</f>
        <v>-1</v>
      </c>
      <c r="Q154" s="58">
        <f>Q129</f>
        <v>1054.0966837000001</v>
      </c>
      <c r="R154" s="59"/>
      <c r="S154" s="50"/>
      <c r="T154" s="60">
        <f>(AH151*-1-AH150)+T149</f>
        <v>204.63784448690203</v>
      </c>
      <c r="U154" s="47">
        <f>(U151+U150)/2</f>
        <v>220.47982997338357</v>
      </c>
      <c r="V154" s="47">
        <f>(U150+T152)/2</f>
        <v>215.46691232542042</v>
      </c>
      <c r="W154" s="47">
        <f>W150</f>
        <v>9199691377.187891</v>
      </c>
      <c r="X154" s="47">
        <f>(U151+T149)/2</f>
        <v>223.83790193805984</v>
      </c>
      <c r="Y154" s="54">
        <f>(Y156/AH156)</f>
        <v>381.92791974936716</v>
      </c>
      <c r="Z154" s="54"/>
      <c r="AA154" s="54"/>
      <c r="AB154" s="54"/>
      <c r="AC154" s="54"/>
      <c r="AD154" s="54"/>
      <c r="AE154" s="54"/>
      <c r="AF154" s="54"/>
      <c r="AG154" s="54"/>
      <c r="AH154" s="45">
        <f>AA150</f>
        <v>-1</v>
      </c>
      <c r="AI154" s="45">
        <f>IF(AJ162&lt;0,-1,1)</f>
        <v>-1</v>
      </c>
      <c r="AJ154" s="58">
        <f>AJ129</f>
        <v>1054.0966837000001</v>
      </c>
      <c r="AK154" s="59"/>
      <c r="AL154" s="50"/>
    </row>
    <row r="155" spans="1:38" x14ac:dyDescent="0.25">
      <c r="A155" s="51">
        <f>(A154-A153)+A149-A151</f>
        <v>-48.37507917160903</v>
      </c>
      <c r="B155" s="51">
        <f>(A155*-1)+A156</f>
        <v>20.056757694515767</v>
      </c>
      <c r="C155" s="51">
        <f>(B155/2)+A150</f>
        <v>13.562008976618657</v>
      </c>
      <c r="D155" s="51">
        <f>(C163+C156+B162+B155+A150)*-1</f>
        <v>7.7838423730351174</v>
      </c>
      <c r="E155" s="51">
        <f>(C155*A150)*D155</f>
        <v>373.02603961557799</v>
      </c>
      <c r="F155" s="45">
        <f>(E155*A150)</f>
        <v>1318.1360526217318</v>
      </c>
      <c r="G155" s="45">
        <f>(F155+E155)</f>
        <v>1691.1620922373097</v>
      </c>
      <c r="H155" s="54"/>
      <c r="I155" s="54"/>
      <c r="J155" s="54"/>
      <c r="K155" s="54"/>
      <c r="L155" s="54"/>
      <c r="M155" s="54"/>
      <c r="N155" s="54"/>
      <c r="O155" s="54">
        <v>785.5</v>
      </c>
      <c r="P155" s="45">
        <f>IF(N153&gt;-1,1,-1)</f>
        <v>-1</v>
      </c>
      <c r="Q155" s="48">
        <f>Q107</f>
        <v>0.32600000000000001</v>
      </c>
      <c r="R155" s="59"/>
      <c r="S155" s="50"/>
      <c r="T155" s="51">
        <f>(T154-T153)+T149-T151</f>
        <v>-48.425950198241878</v>
      </c>
      <c r="U155" s="51">
        <f>(T155*-1)+T156</f>
        <v>20.051670591852513</v>
      </c>
      <c r="V155" s="51">
        <f>(U155/2)+T150</f>
        <v>13.432287858705067</v>
      </c>
      <c r="W155" s="51">
        <f>(V163+V156+U162+U155+T150)*-1</f>
        <v>7.7187274589451604</v>
      </c>
      <c r="X155" s="51">
        <f>(V155*T150)*W155</f>
        <v>353.18157784714271</v>
      </c>
      <c r="Y155" s="45">
        <f>(X155*T150)</f>
        <v>1203.096290983663</v>
      </c>
      <c r="Z155" s="45">
        <f>(Y155+X155)</f>
        <v>1556.2778688308058</v>
      </c>
      <c r="AA155" s="54"/>
      <c r="AB155" s="54"/>
      <c r="AC155" s="54"/>
      <c r="AD155" s="54"/>
      <c r="AE155" s="54"/>
      <c r="AF155" s="54"/>
      <c r="AG155" s="54"/>
      <c r="AH155" s="54">
        <v>785.5</v>
      </c>
      <c r="AI155" s="45">
        <f>IF(AG153&gt;-1,1,-1)</f>
        <v>-1</v>
      </c>
      <c r="AJ155" s="48">
        <f>AJ107</f>
        <v>0.1797</v>
      </c>
      <c r="AK155" s="59"/>
      <c r="AL155" s="50"/>
    </row>
    <row r="156" spans="1:38" x14ac:dyDescent="0.25">
      <c r="A156" s="51">
        <f>(A154-A153)+A149-A152</f>
        <v>-28.318321477093264</v>
      </c>
      <c r="B156" s="51">
        <f>A157+(A156*-1)+A155</f>
        <v>-96.750158343218061</v>
      </c>
      <c r="C156" s="47">
        <f>(B156/10)</f>
        <v>-9.6750158343218065</v>
      </c>
      <c r="D156" s="47"/>
      <c r="E156" s="47"/>
      <c r="F156" s="54">
        <f>(Q162*-1)</f>
        <v>861.29244202942141</v>
      </c>
      <c r="G156" s="54"/>
      <c r="H156" s="54"/>
      <c r="I156" s="54"/>
      <c r="J156" s="54"/>
      <c r="K156" s="54"/>
      <c r="L156" s="54"/>
      <c r="M156" s="54"/>
      <c r="N156" s="54"/>
      <c r="O156" s="54">
        <f>(H164/1000)*8.9</f>
        <v>1.5073040000000002</v>
      </c>
      <c r="P156" s="45">
        <f>(P158+O160)/2</f>
        <v>1013.496569155123</v>
      </c>
      <c r="Q156" s="48">
        <f>H164/(Q163*1000)</f>
        <v>0.11238221632382217</v>
      </c>
      <c r="R156" s="59"/>
      <c r="S156" s="50"/>
      <c r="T156" s="51">
        <f>(T154-T153)+T149-T152</f>
        <v>-28.374279606389365</v>
      </c>
      <c r="U156" s="51">
        <f>T157+(T156*-1)+T155</f>
        <v>-96.851900396483757</v>
      </c>
      <c r="V156" s="47">
        <f>(U156/10)</f>
        <v>-9.6851900396483757</v>
      </c>
      <c r="W156" s="47"/>
      <c r="X156" s="47"/>
      <c r="Y156" s="54">
        <f>(AJ162*-1)</f>
        <v>317.34543623142815</v>
      </c>
      <c r="Z156" s="54"/>
      <c r="AA156" s="54"/>
      <c r="AB156" s="54"/>
      <c r="AC156" s="54"/>
      <c r="AD156" s="54"/>
      <c r="AE156" s="54"/>
      <c r="AF156" s="54"/>
      <c r="AG156" s="54"/>
      <c r="AH156" s="54">
        <f>(AA164/1000)*8.9</f>
        <v>0.83090399999999998</v>
      </c>
      <c r="AI156" s="45">
        <f>(AI158+AH160)/2</f>
        <v>1013.7857822288113</v>
      </c>
      <c r="AJ156" s="48">
        <f>AA164/(AJ163*1000)</f>
        <v>0.11234657039711192</v>
      </c>
      <c r="AK156" s="59"/>
      <c r="AL156" s="50"/>
    </row>
    <row r="157" spans="1:38" x14ac:dyDescent="0.25">
      <c r="A157" s="51">
        <f>(A156+A155)</f>
        <v>-76.693400648702294</v>
      </c>
      <c r="B157" s="47"/>
      <c r="C157" s="47">
        <f>((F157+E157*-1)+E161)*10-A150+O157*-1-C153*111</f>
        <v>10.186894723098016</v>
      </c>
      <c r="D157" s="47"/>
      <c r="E157" s="47">
        <f>(E161+O157+F157)</f>
        <v>-5.1509024060205633E-2</v>
      </c>
      <c r="F157" s="54">
        <f>(O157*E161)</f>
        <v>5.9861164477701765</v>
      </c>
      <c r="G157" s="54"/>
      <c r="H157" s="78">
        <f>(P158+H158)/2</f>
        <v>773.40820878342129</v>
      </c>
      <c r="I157" s="54"/>
      <c r="J157" s="54"/>
      <c r="K157" s="54"/>
      <c r="L157" s="54"/>
      <c r="M157" s="54"/>
      <c r="N157" s="54">
        <f>(A153-A149)-(A149-B154)</f>
        <v>15.782847918020906</v>
      </c>
      <c r="O157" s="45">
        <f>(P157+A150+C153*10)</f>
        <v>-1.250447986562393</v>
      </c>
      <c r="P157" s="54">
        <f>E161</f>
        <v>-4.7871774852679891</v>
      </c>
      <c r="Q157" s="55">
        <f>(Q153*Q152*10)</f>
        <v>81.76433947193496</v>
      </c>
      <c r="R157" s="59"/>
      <c r="S157" s="50"/>
      <c r="T157" s="51">
        <f>(T156+T155)</f>
        <v>-76.800229804631243</v>
      </c>
      <c r="U157" s="47"/>
      <c r="V157" s="47">
        <f>((Y157+X157*-1)+X161)*10-T150+AH157*-1-V153*111</f>
        <v>10.304331737804786</v>
      </c>
      <c r="W157" s="47"/>
      <c r="X157" s="47">
        <f>(X161+AH157+Y157)</f>
        <v>-8.563743829073811E-2</v>
      </c>
      <c r="Y157" s="54">
        <f>(AH157*X161)</f>
        <v>5.8238920827992819</v>
      </c>
      <c r="Z157" s="54"/>
      <c r="AA157" s="78">
        <f>(AI158+AA158)/2</f>
        <v>773.62655528816731</v>
      </c>
      <c r="AB157" s="54"/>
      <c r="AC157" s="54"/>
      <c r="AD157" s="54"/>
      <c r="AE157" s="54"/>
      <c r="AF157" s="54"/>
      <c r="AG157" s="54">
        <f>(T153-T149)-(T149-U154)</f>
        <v>15.841985486481548</v>
      </c>
      <c r="AH157" s="45">
        <f>(AI157+T150+V153*10)</f>
        <v>-1.2498475463204224</v>
      </c>
      <c r="AI157" s="54">
        <f>X161</f>
        <v>-4.6596819747695974</v>
      </c>
      <c r="AJ157" s="55">
        <f>(AJ153*AJ152*10)</f>
        <v>73.178069849390596</v>
      </c>
      <c r="AK157" s="59"/>
      <c r="AL157" s="50"/>
    </row>
    <row r="158" spans="1:38" x14ac:dyDescent="0.25">
      <c r="A158" s="51">
        <f>(A149+A157)</f>
        <v>148.0775080726647</v>
      </c>
      <c r="B158" s="47">
        <f>(A149+A158)/2</f>
        <v>186.42420839701583</v>
      </c>
      <c r="C158" s="47">
        <f>(E154-A149)-(A149-B158)</f>
        <v>-39.230107856691347</v>
      </c>
      <c r="D158" s="51">
        <f>(B154+C154)/2</f>
        <v>217.98990423305767</v>
      </c>
      <c r="E158" s="51">
        <f>(A153+A159)</f>
        <v>450.42522497507417</v>
      </c>
      <c r="F158" s="78">
        <f>(G155*2)-G162</f>
        <v>3226.4628340289196</v>
      </c>
      <c r="G158" s="78">
        <f>(A150*F158)</f>
        <v>11401.126281587338</v>
      </c>
      <c r="H158" s="78">
        <f>(N160+P158)/2</f>
        <v>515.93553063240495</v>
      </c>
      <c r="I158" s="78"/>
      <c r="J158" s="78"/>
      <c r="K158" s="78"/>
      <c r="L158" s="78"/>
      <c r="M158" s="78"/>
      <c r="N158" s="78">
        <f>(O158+O159)/2</f>
        <v>1046.3887502816453</v>
      </c>
      <c r="O158" s="45">
        <f>(A152+C154)/2*Q163/Q155</f>
        <v>990.31747878270335</v>
      </c>
      <c r="P158" s="45">
        <f>B151*Q163/Q155</f>
        <v>1030.8808869344377</v>
      </c>
      <c r="Q158" s="48">
        <f>(A154+B151)/2</f>
        <v>213.85912234176891</v>
      </c>
      <c r="R158" s="59"/>
      <c r="S158" s="50"/>
      <c r="T158" s="51">
        <f>(T149+T157)</f>
        <v>147.8892852741233</v>
      </c>
      <c r="U158" s="47">
        <f>(T149+T158)/2</f>
        <v>186.2894001764389</v>
      </c>
      <c r="V158" s="47">
        <f>(X154-T149)-(T149-U158)</f>
        <v>-39.251728043010331</v>
      </c>
      <c r="W158" s="51">
        <f>(U154+V154)/2</f>
        <v>217.973371149402</v>
      </c>
      <c r="X158" s="51">
        <f>(T153+T159)</f>
        <v>450.23064329820374</v>
      </c>
      <c r="Y158" s="78">
        <f>(Z155*2)-Z162</f>
        <v>2956.9477249285433</v>
      </c>
      <c r="Z158" s="78">
        <f>(T150*Y158)</f>
        <v>10072.702155585808</v>
      </c>
      <c r="AA158" s="78">
        <f>(AG160+AI158)/2</f>
        <v>516.08112398417859</v>
      </c>
      <c r="AB158" s="78"/>
      <c r="AC158" s="78"/>
      <c r="AD158" s="78"/>
      <c r="AE158" s="78"/>
      <c r="AF158" s="78"/>
      <c r="AG158" s="78">
        <f>(AH158+AH159)/2</f>
        <v>1046.6450346355068</v>
      </c>
      <c r="AH158" s="45">
        <f>(T152+V154)/2*AJ163/AJ155</f>
        <v>990.60417641101844</v>
      </c>
      <c r="AI158" s="45">
        <f>U151*AJ163/AJ155</f>
        <v>1031.1719865921559</v>
      </c>
      <c r="AJ158" s="48">
        <f>(T154+U151)/2</f>
        <v>213.81206664213357</v>
      </c>
      <c r="AK158" s="59"/>
      <c r="AL158" s="50"/>
    </row>
    <row r="159" spans="1:38" x14ac:dyDescent="0.25">
      <c r="A159" s="51">
        <f>((A154+A153+A152+A151)/4-A154-A149)*-1</f>
        <v>205.59755855919141</v>
      </c>
      <c r="B159" s="47">
        <f>(B154+C154)/2</f>
        <v>217.98990423305767</v>
      </c>
      <c r="C159" s="47">
        <f>(E161+A150)</f>
        <v>-1.2535473559072159</v>
      </c>
      <c r="D159" s="51">
        <f>(A161+D160+A153+D160)/2</f>
        <v>380.05079842451852</v>
      </c>
      <c r="E159" s="51">
        <f>(A154+D160+A153)/3</f>
        <v>201.53361842093349</v>
      </c>
      <c r="F159" s="78">
        <f>(O159+P158)/2</f>
        <v>1066.6704543575124</v>
      </c>
      <c r="G159" s="48"/>
      <c r="H159" s="78">
        <f>(O159+P158+N158)/3</f>
        <v>1059.9098863322233</v>
      </c>
      <c r="I159" s="78"/>
      <c r="J159" s="78"/>
      <c r="K159" s="78"/>
      <c r="L159" s="78"/>
      <c r="M159" s="78"/>
      <c r="N159" s="78">
        <f>((A159+A153)/2)*Q163/Q155</f>
        <v>1041.0902055788906</v>
      </c>
      <c r="O159" s="45">
        <f>((A160+A151)/2)*Q163/Q155</f>
        <v>1102.4600217805873</v>
      </c>
      <c r="P159" s="45">
        <f>B150*Q163/Q155</f>
        <v>1007.701796562018</v>
      </c>
      <c r="Q159" s="55">
        <f>A150+E161</f>
        <v>-1.2535473559072159</v>
      </c>
      <c r="R159" s="59"/>
      <c r="S159" s="50"/>
      <c r="T159" s="51">
        <f>((T154+T153+T152+T151)/4-T154-T149)*-1</f>
        <v>205.48945762759672</v>
      </c>
      <c r="U159" s="47">
        <f>(U154+V154)/2</f>
        <v>217.973371149402</v>
      </c>
      <c r="V159" s="47">
        <f>(X161+T150)</f>
        <v>-1.2532294119907874</v>
      </c>
      <c r="W159" s="51">
        <f>(T161+W160+T153+W160)/2</f>
        <v>379.85971413072906</v>
      </c>
      <c r="X159" s="51">
        <f>(T154+W160+T153)/3</f>
        <v>201.44544197476998</v>
      </c>
      <c r="Y159" s="78">
        <f>(AH159+AI158)/2</f>
        <v>1066.9289397260754</v>
      </c>
      <c r="Z159" s="48"/>
      <c r="AA159" s="78">
        <f>(AH159+AI158+AG158)/3</f>
        <v>1060.1676380292192</v>
      </c>
      <c r="AB159" s="78"/>
      <c r="AC159" s="78"/>
      <c r="AD159" s="78"/>
      <c r="AE159" s="78"/>
      <c r="AF159" s="78"/>
      <c r="AG159" s="78">
        <f>((T159+T153)/2)*AJ163/AJ155</f>
        <v>1041.017430664461</v>
      </c>
      <c r="AH159" s="45">
        <f>((T160+T151)/2)*AJ163/AJ155</f>
        <v>1102.6858928599952</v>
      </c>
      <c r="AI159" s="45">
        <f>U150*AJ163/AJ155</f>
        <v>1007.9903807743632</v>
      </c>
      <c r="AJ159" s="55">
        <f>T150+X161</f>
        <v>-1.2532294119907874</v>
      </c>
      <c r="AK159" s="59"/>
      <c r="AL159" s="50"/>
    </row>
    <row r="160" spans="1:38" x14ac:dyDescent="0.25">
      <c r="A160" s="51">
        <f>((A154+A153+A152+A151)/4-A154-A149*-1)</f>
        <v>243.94425888354257</v>
      </c>
      <c r="B160" s="47">
        <f>B151/2</f>
        <v>111.50204682834331</v>
      </c>
      <c r="C160" s="47">
        <f>(B150+C154)/2</f>
        <v>216.73635687715046</v>
      </c>
      <c r="D160" s="51">
        <f>(A159+A158+B160)/3</f>
        <v>155.05903782006646</v>
      </c>
      <c r="E160" s="51">
        <f>(A154+A153+B160)/3</f>
        <v>187.01462142369243</v>
      </c>
      <c r="F160" s="48">
        <f>E157+(C164*-1)-E157-E161</f>
        <v>1.9740722083660049</v>
      </c>
      <c r="G160" s="48"/>
      <c r="H160" s="78">
        <f>(P160+N160)/2</f>
        <v>362.26253159053897</v>
      </c>
      <c r="I160" s="48"/>
      <c r="J160" s="48"/>
      <c r="K160" s="48"/>
      <c r="L160" s="48"/>
      <c r="M160" s="48"/>
      <c r="N160" s="78">
        <f>((N159+N158)/2/Q154)</f>
        <v>0.99017433037226055</v>
      </c>
      <c r="O160" s="45">
        <f>((A152+D158)/2)*Q163/Q155</f>
        <v>996.11225137580823</v>
      </c>
      <c r="P160" s="45">
        <f>((B160+E159)/2)*Q163/Q155</f>
        <v>723.53488885070567</v>
      </c>
      <c r="Q160" s="55">
        <f>(Q159*Q157/10)</f>
        <v>-10.249547155254408</v>
      </c>
      <c r="R160" s="59"/>
      <c r="S160" s="50"/>
      <c r="T160" s="51">
        <f>((T154+T153+T152+T151)/4-T154-T149*-1)</f>
        <v>243.88957252991236</v>
      </c>
      <c r="U160" s="47">
        <f>U151/2</f>
        <v>111.49314439868257</v>
      </c>
      <c r="V160" s="47">
        <f>(U150+V154)/2</f>
        <v>216.72014173741121</v>
      </c>
      <c r="W160" s="51">
        <f>(T159+T158+U160)/3</f>
        <v>154.95729576680085</v>
      </c>
      <c r="X160" s="51">
        <f>(T154+T153+U160)/3</f>
        <v>186.95739151873056</v>
      </c>
      <c r="Y160" s="48">
        <f>X157+(V164*-1)-X157-X161</f>
        <v>1.9640137125743831</v>
      </c>
      <c r="Z160" s="48"/>
      <c r="AA160" s="78">
        <f>(AI160+AG160)/2</f>
        <v>362.28139289780995</v>
      </c>
      <c r="AB160" s="48"/>
      <c r="AC160" s="48"/>
      <c r="AD160" s="48"/>
      <c r="AE160" s="48"/>
      <c r="AF160" s="48"/>
      <c r="AG160" s="78">
        <f>((AG159+AG158)/2/AJ154)</f>
        <v>0.99026137620129573</v>
      </c>
      <c r="AH160" s="45">
        <f>((T152+W158)/2)*AJ163/AJ155</f>
        <v>996.39957786546665</v>
      </c>
      <c r="AI160" s="45">
        <f>((U160+X159)/2)*AJ163/AJ155</f>
        <v>723.57252441941864</v>
      </c>
      <c r="AJ160" s="55">
        <f>(AJ159*AJ157/10)</f>
        <v>-9.1708909447972538</v>
      </c>
      <c r="AK160" s="59"/>
      <c r="AL160" s="50"/>
    </row>
    <row r="161" spans="1:38" x14ac:dyDescent="0.25">
      <c r="A161" s="51">
        <f>(A154+A159)/2</f>
        <v>205.15585479302132</v>
      </c>
      <c r="B161" s="47">
        <f>(A151+B153)/2</f>
        <v>230.52537779213003</v>
      </c>
      <c r="C161" s="47">
        <f>(A150*C153)</f>
        <v>1.0952024898883742E-3</v>
      </c>
      <c r="D161" s="47">
        <f>(A151+B161)/2</f>
        <v>231.77892514803727</v>
      </c>
      <c r="E161" s="47">
        <f>(D161-A149)-(A149-A152)</f>
        <v>-4.7871774852679891</v>
      </c>
      <c r="F161" s="78">
        <f>(N161+H161)/2</f>
        <v>1081.833261069281</v>
      </c>
      <c r="G161" s="48"/>
      <c r="H161" s="117">
        <f>A160*Q163/Q155</f>
        <v>1127.6809758818977</v>
      </c>
      <c r="I161" s="48"/>
      <c r="J161" s="48"/>
      <c r="K161" s="48"/>
      <c r="L161" s="48"/>
      <c r="M161" s="48"/>
      <c r="N161" s="78">
        <f>(N159+P158)/2</f>
        <v>1035.9855462566643</v>
      </c>
      <c r="O161" s="45">
        <f>((E158+A158)/2)*Q163/Q155</f>
        <v>1383.3491084400955</v>
      </c>
      <c r="P161" s="45">
        <f>((E159+E161/10)/2)*Q163/Q155</f>
        <v>464.70818299588478</v>
      </c>
      <c r="Q161" s="51">
        <f>(Q160+C164)</f>
        <v>-7.436441878352424</v>
      </c>
      <c r="R161" s="59"/>
      <c r="S161" s="50"/>
      <c r="T161" s="51">
        <f>(T154+T159)/2</f>
        <v>205.06365105724939</v>
      </c>
      <c r="U161" s="47">
        <f>(T151+U153)/2</f>
        <v>230.50566526930982</v>
      </c>
      <c r="V161" s="47">
        <f>(T150*V153)</f>
        <v>1.1520164979788843E-3</v>
      </c>
      <c r="W161" s="47">
        <f>(T151+U161)/2</f>
        <v>231.7588946813006</v>
      </c>
      <c r="X161" s="47">
        <f>(W161-T149)-(T149-T152)</f>
        <v>-4.6596819747695974</v>
      </c>
      <c r="Y161" s="78">
        <f>(AG161+AA161)/2</f>
        <v>1081.9656480602789</v>
      </c>
      <c r="Z161" s="48"/>
      <c r="AA161" s="117">
        <f>T160*AJ163/AJ155</f>
        <v>1127.8365874922492</v>
      </c>
      <c r="AB161" s="48"/>
      <c r="AC161" s="48"/>
      <c r="AD161" s="48"/>
      <c r="AE161" s="48"/>
      <c r="AF161" s="48"/>
      <c r="AG161" s="78">
        <f>(AG159+AI158)/2</f>
        <v>1036.0947086283086</v>
      </c>
      <c r="AH161" s="45">
        <f>((X158+T158)/2)*AJ163/AJ155</f>
        <v>1382.965110304963</v>
      </c>
      <c r="AI161" s="45">
        <f>((X159+X161/10)/2)*AJ163/AJ155</f>
        <v>464.70212217287275</v>
      </c>
      <c r="AJ161" s="51">
        <f>(AJ160+V164)</f>
        <v>-6.4752226826020394</v>
      </c>
      <c r="AK161" s="59"/>
      <c r="AL161" s="50"/>
    </row>
    <row r="162" spans="1:38" x14ac:dyDescent="0.25">
      <c r="A162" s="51">
        <f>(A150*-1)+A157</f>
        <v>-80.227030778063067</v>
      </c>
      <c r="B162" s="51">
        <f>(A163*-1)+A162</f>
        <v>-7.0672602587215465</v>
      </c>
      <c r="C162" s="51">
        <f>(B162/2)+A150</f>
        <v>0</v>
      </c>
      <c r="D162" s="47"/>
      <c r="E162" s="51">
        <f>(C162*A150)+D155</f>
        <v>7.7838423730351174</v>
      </c>
      <c r="F162" s="78">
        <f>A158*Q163/Q163</f>
        <v>148.0775080726647</v>
      </c>
      <c r="G162" s="78">
        <f>(E162+F162)</f>
        <v>155.86135044569983</v>
      </c>
      <c r="H162" s="48">
        <f>(O163+H160)/2</f>
        <v>1222.22147137416</v>
      </c>
      <c r="I162" s="48"/>
      <c r="J162" s="48"/>
      <c r="K162" s="48"/>
      <c r="L162" s="48"/>
      <c r="M162" s="48"/>
      <c r="N162" s="78">
        <f>(O159+H159+O159)/3</f>
        <v>1088.2766432977994</v>
      </c>
      <c r="O162" s="45">
        <f>((B153+E161)/2)*Q163/Q155</f>
        <v>515.96514744131389</v>
      </c>
      <c r="P162" s="45">
        <f>D158*Q163/Q155</f>
        <v>1007.701796562018</v>
      </c>
      <c r="Q162" s="135">
        <f>((Q161*Q160*C164*-1)*Q163*Q152*Q153)*0.326</f>
        <v>-861.29244202942141</v>
      </c>
      <c r="R162" s="59"/>
      <c r="S162" s="50"/>
      <c r="T162" s="51">
        <f>(T150*-1)+T157</f>
        <v>-80.206682367410053</v>
      </c>
      <c r="U162" s="51">
        <f>(T163*-1)+T162</f>
        <v>-6.8129051255576201</v>
      </c>
      <c r="V162" s="51">
        <f>(U162/2)+T150</f>
        <v>0</v>
      </c>
      <c r="W162" s="47"/>
      <c r="X162" s="51">
        <f>(V162*T150)+W155</f>
        <v>7.7187274589451604</v>
      </c>
      <c r="Y162" s="78">
        <f>T158*AJ163/AJ163</f>
        <v>147.8892852741233</v>
      </c>
      <c r="Z162" s="78">
        <f>(X162+Y162)</f>
        <v>155.60801273306845</v>
      </c>
      <c r="AA162" s="48">
        <f>(AH163+AA160)/2</f>
        <v>1222.1581271133659</v>
      </c>
      <c r="AB162" s="48"/>
      <c r="AC162" s="48"/>
      <c r="AD162" s="48"/>
      <c r="AE162" s="48"/>
      <c r="AF162" s="48"/>
      <c r="AG162" s="78">
        <f>(AH159+AA159+AH159)/3</f>
        <v>1088.5131412497365</v>
      </c>
      <c r="AH162" s="45">
        <f>((U153+X161)/2)*AJ163/AJ155</f>
        <v>516.40274021990615</v>
      </c>
      <c r="AI162" s="45">
        <f>W158*AJ163/AJ155</f>
        <v>1007.9903807743632</v>
      </c>
      <c r="AJ162" s="135">
        <f>((AJ161*AJ160*V164*-1)*AJ163*AJ152*AJ153)*0.326</f>
        <v>-317.34543623142815</v>
      </c>
      <c r="AK162" s="59"/>
      <c r="AL162" s="50"/>
    </row>
    <row r="163" spans="1:38" x14ac:dyDescent="0.25">
      <c r="A163" s="51">
        <f>A150+A157</f>
        <v>-73.159770519341521</v>
      </c>
      <c r="B163" s="51">
        <f>(A164+(A162*-1)+A163)</f>
        <v>-146.31954103868304</v>
      </c>
      <c r="C163" s="47">
        <f>(B163/10)</f>
        <v>-14.631954103868305</v>
      </c>
      <c r="D163" s="47"/>
      <c r="E163" s="47">
        <f>((D159+B160)/2)*Q163</f>
        <v>370.38506889803136</v>
      </c>
      <c r="F163" s="48">
        <f>((E158+B160)/2)*Q163/Q155</f>
        <v>1298.8104273125002</v>
      </c>
      <c r="G163" s="48"/>
      <c r="H163" s="48">
        <f>(Q164/2)</f>
        <v>169.36487972155001</v>
      </c>
      <c r="I163" s="48"/>
      <c r="J163" s="48"/>
      <c r="K163" s="48"/>
      <c r="L163" s="48"/>
      <c r="M163" s="48"/>
      <c r="N163" s="78">
        <f>(Q164/2)/Q155</f>
        <v>519.52417092500002</v>
      </c>
      <c r="O163" s="45">
        <f>E158*Q163/Q155</f>
        <v>2082.1804111577812</v>
      </c>
      <c r="P163" s="45">
        <f>((B150+A153)/2)*Q163/Q155</f>
        <v>1069.7332499508484</v>
      </c>
      <c r="Q163" s="124">
        <f>ROUND(O156,N164)</f>
        <v>1.5069999999999999</v>
      </c>
      <c r="R163" s="59"/>
      <c r="S163" s="50"/>
      <c r="T163" s="51">
        <f>T150+T157</f>
        <v>-73.393777241852433</v>
      </c>
      <c r="U163" s="51">
        <f>(T164+(T162*-1)+T163)</f>
        <v>-146.78755448370487</v>
      </c>
      <c r="V163" s="47">
        <f>(U163/10)</f>
        <v>-14.678755448370486</v>
      </c>
      <c r="W163" s="47"/>
      <c r="X163" s="47">
        <f>((W159+U160)/2)*AJ163</f>
        <v>204.15711271897052</v>
      </c>
      <c r="Y163" s="48">
        <f>((X158+U160)/2)*AJ163/AJ155</f>
        <v>1298.8104273125</v>
      </c>
      <c r="Z163" s="48"/>
      <c r="AA163" s="48">
        <f>(AJ164/2)</f>
        <v>93.358493515222506</v>
      </c>
      <c r="AB163" s="48"/>
      <c r="AC163" s="48"/>
      <c r="AD163" s="48"/>
      <c r="AE163" s="48"/>
      <c r="AF163" s="48"/>
      <c r="AG163" s="78">
        <f>(AJ164/2)/AJ155</f>
        <v>519.52417092500002</v>
      </c>
      <c r="AH163" s="45">
        <f>X158*AJ163/AJ155</f>
        <v>2082.034861328922</v>
      </c>
      <c r="AI163" s="45">
        <f>((U150+T153)/2)*AJ163/AJ155</f>
        <v>1069.8825729477671</v>
      </c>
      <c r="AJ163" s="124">
        <f>ROUND(AH156,AG164)</f>
        <v>0.83099999999999996</v>
      </c>
      <c r="AK163" s="59"/>
      <c r="AL163" s="50"/>
    </row>
    <row r="164" spans="1:38" x14ac:dyDescent="0.25">
      <c r="A164" s="78">
        <f>(A162+A163)</f>
        <v>-153.38680129740459</v>
      </c>
      <c r="B164" s="48"/>
      <c r="C164" s="55">
        <f>INT(C157)-C157+N164</f>
        <v>2.8131052769019842</v>
      </c>
      <c r="D164" s="48"/>
      <c r="E164" s="78" t="s">
        <v>11</v>
      </c>
      <c r="F164" s="48">
        <f>((O164+B160+E158)/3)*Q163/Q155</f>
        <v>2717.6872635180939</v>
      </c>
      <c r="G164" s="48"/>
      <c r="H164" s="48">
        <f>ROUND(H163,2)</f>
        <v>169.36</v>
      </c>
      <c r="I164" s="48"/>
      <c r="J164" s="48"/>
      <c r="K164" s="48"/>
      <c r="L164" s="48"/>
      <c r="M164" s="48"/>
      <c r="N164" s="48">
        <v>3</v>
      </c>
      <c r="O164" s="45">
        <f>((B150+B160+E158)/3)*Q163/Q155</f>
        <v>1201.7742170623396</v>
      </c>
      <c r="P164" s="78">
        <f>(Q164/Q163)</f>
        <v>224.77090872136699</v>
      </c>
      <c r="Q164" s="45">
        <f>P150*Q155</f>
        <v>338.72975944310002</v>
      </c>
      <c r="R164" s="59"/>
      <c r="S164" s="50"/>
      <c r="T164" s="78">
        <f>(T162+T163)</f>
        <v>-153.60045960926249</v>
      </c>
      <c r="U164" s="48"/>
      <c r="V164" s="55">
        <f>INT(V157)-V157+AG164</f>
        <v>2.6956682621952144</v>
      </c>
      <c r="W164" s="48"/>
      <c r="X164" s="78" t="s">
        <v>11</v>
      </c>
      <c r="Y164" s="48">
        <f>((AH164+U160+X158)/3)*AJ163/AJ155</f>
        <v>2718.5063620510773</v>
      </c>
      <c r="Z164" s="48"/>
      <c r="AA164" s="48">
        <f>ROUND(AA163,2)</f>
        <v>93.36</v>
      </c>
      <c r="AB164" s="48"/>
      <c r="AC164" s="48"/>
      <c r="AD164" s="48"/>
      <c r="AE164" s="48"/>
      <c r="AF164" s="48"/>
      <c r="AG164" s="48">
        <v>3</v>
      </c>
      <c r="AH164" s="45">
        <f>((U150+U160+X158)/3)*AJ163/AJ155</f>
        <v>1201.8704117997877</v>
      </c>
      <c r="AI164" s="78">
        <f>(AJ164/AJ163)</f>
        <v>224.68951507875454</v>
      </c>
      <c r="AJ164" s="45">
        <f>AI150*AJ155</f>
        <v>186.71698703044501</v>
      </c>
      <c r="AK164" s="59"/>
      <c r="AL164" s="50"/>
    </row>
    <row r="165" spans="1:38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 t="s">
        <v>12</v>
      </c>
      <c r="Q165" s="59"/>
      <c r="R165" s="59"/>
      <c r="S165" s="50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 t="s">
        <v>12</v>
      </c>
      <c r="AJ165" s="59"/>
      <c r="AK165" s="59"/>
      <c r="AL165" s="50"/>
    </row>
    <row r="166" spans="1:38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0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0"/>
    </row>
    <row r="167" spans="1:38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0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0"/>
    </row>
    <row r="168" spans="1:38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0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0"/>
    </row>
  </sheetData>
  <protectedRanges>
    <protectedRange sqref="D27" name="Range4"/>
    <protectedRange sqref="D13" name="Range3"/>
    <protectedRange sqref="A13:C13" name="Range2"/>
    <protectedRange sqref="H10:J10" name="Range1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orabi abdullah</dc:creator>
  <cp:lastModifiedBy>orabi abdullah</cp:lastModifiedBy>
  <dcterms:created xsi:type="dcterms:W3CDTF">2014-09-11T07:09:00Z</dcterms:created>
  <dcterms:modified xsi:type="dcterms:W3CDTF">2014-09-12T19:26:18Z</dcterms:modified>
</cp:coreProperties>
</file>