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xl/charts/chart9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0.xml" ContentType="application/vnd.openxmlformats-officedocument.drawingml.chart+xml"/>
  <Override PartName="/xl/drawings/drawing15.xml" ContentType="application/vnd.openxmlformats-officedocument.drawingml.chartshapes+xml"/>
  <Override PartName="/xl/charts/chart11.xml" ContentType="application/vnd.openxmlformats-officedocument.drawingml.chart+xml"/>
  <Override PartName="/xl/drawings/drawing16.xml" ContentType="application/vnd.openxmlformats-officedocument.drawingml.chartshap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7.xml" ContentType="application/vnd.openxmlformats-officedocument.drawing+xml"/>
  <Override PartName="/xl/charts/chart12.xml" ContentType="application/vnd.openxmlformats-officedocument.drawingml.chart+xml"/>
  <Override PartName="/xl/drawings/drawing18.xml" ContentType="application/vnd.openxmlformats-officedocument.drawingml.chartshapes+xml"/>
  <Override PartName="/xl/charts/chart13.xml" ContentType="application/vnd.openxmlformats-officedocument.drawingml.chart+xml"/>
  <Override PartName="/xl/drawings/drawing19.xml" ContentType="application/vnd.openxmlformats-officedocument.drawingml.chartshapes+xml"/>
  <Override PartName="/xl/charts/chart14.xml" ContentType="application/vnd.openxmlformats-officedocument.drawingml.chart+xml"/>
  <Override PartName="/xl/drawings/drawing20.xml" ContentType="application/vnd.openxmlformats-officedocument.drawingml.chartshapes+xml"/>
  <Override PartName="/xl/charts/chart15.xml" ContentType="application/vnd.openxmlformats-officedocument.drawingml.chart+xml"/>
  <Override PartName="/xl/drawings/drawing21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70" yWindow="60" windowWidth="21930" windowHeight="11160" activeTab="2"/>
  </bookViews>
  <sheets>
    <sheet name="RT daily" sheetId="1" r:id="rId1"/>
    <sheet name="running 1h" sheetId="2" r:id="rId2"/>
    <sheet name="running 4h" sheetId="3" r:id="rId3"/>
    <sheet name="running daily" sheetId="4" r:id="rId4"/>
    <sheet name="running weekly" sheetId="8" r:id="rId5"/>
    <sheet name="running monthly" sheetId="6" r:id="rId6"/>
    <sheet name="Data" sheetId="7" r:id="rId7"/>
    <sheet name="Datap" sheetId="10" r:id="rId8"/>
    <sheet name="aggregated" sheetId="9" r:id="rId9"/>
    <sheet name="Correlation calculator" sheetId="11" r:id="rId10"/>
  </sheets>
  <externalReferences>
    <externalReference r:id="rId11"/>
    <externalReference r:id="rId12"/>
    <externalReference r:id="rId13"/>
  </externalReferences>
  <definedNames>
    <definedName name="Infinitus_Currency_Strength" localSheetId="6">Data!$A$1:$T$30</definedName>
    <definedName name="Infinitus_Currency_Strength_past_period" localSheetId="7">Datap!$A$1:$T$30</definedName>
  </definedNames>
  <calcPr calcId="145621"/>
</workbook>
</file>

<file path=xl/calcChain.xml><?xml version="1.0" encoding="utf-8"?>
<calcChain xmlns="http://schemas.openxmlformats.org/spreadsheetml/2006/main">
  <c r="B24" i="2" l="1"/>
  <c r="E18" i="1"/>
  <c r="D18" i="1"/>
  <c r="C18" i="1"/>
  <c r="E17" i="1"/>
  <c r="D17" i="1"/>
  <c r="C17" i="1"/>
  <c r="E16" i="1"/>
  <c r="D16" i="1"/>
  <c r="C16" i="1"/>
  <c r="E15" i="1"/>
  <c r="D15" i="1"/>
  <c r="C15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5" i="1"/>
  <c r="D5" i="1"/>
  <c r="C5" i="1"/>
  <c r="E14" i="1"/>
  <c r="C14" i="1"/>
  <c r="D14" i="1"/>
  <c r="E4" i="1"/>
  <c r="D4" i="1"/>
  <c r="C4" i="1"/>
  <c r="B16" i="11"/>
  <c r="B15" i="11"/>
  <c r="B14" i="11"/>
  <c r="B13" i="11"/>
  <c r="B12" i="11"/>
  <c r="B11" i="11"/>
  <c r="B10" i="11"/>
  <c r="B9" i="11"/>
  <c r="B8" i="11"/>
  <c r="B7" i="11"/>
  <c r="B6" i="11"/>
  <c r="B5" i="11"/>
  <c r="B4" i="11"/>
  <c r="B3" i="11"/>
  <c r="B2" i="11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B35" i="2"/>
  <c r="B34" i="2"/>
  <c r="B33" i="2"/>
  <c r="B32" i="2"/>
  <c r="B31" i="2"/>
  <c r="B30" i="2"/>
  <c r="B29" i="2"/>
  <c r="B28" i="2"/>
  <c r="B27" i="2"/>
  <c r="B26" i="2"/>
  <c r="B25" i="2"/>
  <c r="B23" i="2"/>
  <c r="B22" i="2"/>
  <c r="B21" i="2"/>
  <c r="E18" i="6"/>
  <c r="E17" i="6"/>
  <c r="E16" i="6"/>
  <c r="E15" i="6"/>
  <c r="E14" i="6"/>
  <c r="E13" i="6"/>
  <c r="E12" i="6"/>
  <c r="E11" i="6"/>
  <c r="E10" i="6"/>
  <c r="E9" i="6"/>
  <c r="E8" i="6"/>
  <c r="E7" i="6"/>
  <c r="D18" i="6"/>
  <c r="D17" i="6"/>
  <c r="D16" i="6"/>
  <c r="D15" i="6"/>
  <c r="D14" i="6"/>
  <c r="D13" i="6"/>
  <c r="D12" i="6"/>
  <c r="D11" i="6"/>
  <c r="D10" i="6"/>
  <c r="D9" i="6"/>
  <c r="D8" i="6"/>
  <c r="D7" i="6"/>
  <c r="D4" i="6"/>
  <c r="C18" i="6"/>
  <c r="C17" i="6"/>
  <c r="C16" i="6"/>
  <c r="C15" i="6"/>
  <c r="C14" i="6"/>
  <c r="C13" i="6"/>
  <c r="C12" i="6"/>
  <c r="C11" i="6"/>
  <c r="C10" i="6"/>
  <c r="C9" i="6"/>
  <c r="C8" i="6"/>
  <c r="C7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E18" i="8"/>
  <c r="E17" i="8"/>
  <c r="E16" i="8"/>
  <c r="E15" i="8"/>
  <c r="E14" i="8"/>
  <c r="E13" i="8"/>
  <c r="E12" i="8"/>
  <c r="E11" i="8"/>
  <c r="E10" i="8"/>
  <c r="E9" i="8"/>
  <c r="E8" i="8"/>
  <c r="E7" i="8"/>
  <c r="D18" i="8"/>
  <c r="D17" i="8"/>
  <c r="D16" i="8"/>
  <c r="D15" i="8"/>
  <c r="D14" i="8"/>
  <c r="D13" i="8"/>
  <c r="D12" i="8"/>
  <c r="D11" i="8"/>
  <c r="D10" i="8"/>
  <c r="D9" i="8"/>
  <c r="D8" i="8"/>
  <c r="D7" i="8"/>
  <c r="C18" i="8"/>
  <c r="C17" i="8"/>
  <c r="C16" i="8"/>
  <c r="C15" i="8"/>
  <c r="C14" i="8"/>
  <c r="C13" i="8"/>
  <c r="C12" i="8"/>
  <c r="C11" i="8"/>
  <c r="C10" i="8"/>
  <c r="C9" i="8"/>
  <c r="C8" i="8"/>
  <c r="C7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E18" i="4"/>
  <c r="E17" i="4"/>
  <c r="E16" i="4"/>
  <c r="E15" i="4"/>
  <c r="E14" i="4"/>
  <c r="E13" i="4"/>
  <c r="E12" i="4"/>
  <c r="E11" i="4"/>
  <c r="E10" i="4"/>
  <c r="E9" i="4"/>
  <c r="E8" i="4"/>
  <c r="E7" i="4"/>
  <c r="D18" i="4"/>
  <c r="D17" i="4"/>
  <c r="D16" i="4"/>
  <c r="D15" i="4"/>
  <c r="D14" i="4"/>
  <c r="D13" i="4"/>
  <c r="D12" i="4"/>
  <c r="D11" i="4"/>
  <c r="D10" i="4"/>
  <c r="D9" i="4"/>
  <c r="D8" i="4"/>
  <c r="D7" i="4"/>
  <c r="D4" i="4"/>
  <c r="C18" i="4"/>
  <c r="C17" i="4"/>
  <c r="C16" i="4"/>
  <c r="C15" i="4"/>
  <c r="C14" i="4"/>
  <c r="C13" i="4"/>
  <c r="C12" i="4"/>
  <c r="C11" i="4"/>
  <c r="C10" i="4"/>
  <c r="C9" i="4"/>
  <c r="C8" i="4"/>
  <c r="C7" i="4"/>
  <c r="C4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E18" i="3"/>
  <c r="E17" i="3"/>
  <c r="E16" i="3"/>
  <c r="E15" i="3"/>
  <c r="E14" i="3"/>
  <c r="E13" i="3"/>
  <c r="E12" i="3"/>
  <c r="E11" i="3"/>
  <c r="E10" i="3"/>
  <c r="E9" i="3"/>
  <c r="E8" i="3"/>
  <c r="E7" i="3"/>
  <c r="E4" i="3"/>
  <c r="D18" i="3"/>
  <c r="D17" i="3"/>
  <c r="D16" i="3"/>
  <c r="D15" i="3"/>
  <c r="D14" i="3"/>
  <c r="D13" i="3"/>
  <c r="D12" i="3"/>
  <c r="D11" i="3"/>
  <c r="D10" i="3"/>
  <c r="D9" i="3"/>
  <c r="D8" i="3"/>
  <c r="D7" i="3"/>
  <c r="D4" i="3"/>
  <c r="C18" i="3"/>
  <c r="C17" i="3"/>
  <c r="C16" i="3"/>
  <c r="C15" i="3"/>
  <c r="C14" i="3"/>
  <c r="C13" i="3"/>
  <c r="C12" i="3"/>
  <c r="C11" i="3"/>
  <c r="C10" i="3"/>
  <c r="C9" i="3"/>
  <c r="C8" i="3"/>
  <c r="C7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E18" i="2"/>
  <c r="E17" i="2"/>
  <c r="E16" i="2"/>
  <c r="E15" i="2"/>
  <c r="E14" i="2"/>
  <c r="E13" i="2"/>
  <c r="E12" i="2"/>
  <c r="E11" i="2"/>
  <c r="E10" i="2"/>
  <c r="E9" i="2"/>
  <c r="E8" i="2"/>
  <c r="E7" i="2"/>
  <c r="D18" i="2"/>
  <c r="D17" i="2"/>
  <c r="D16" i="2"/>
  <c r="D15" i="2"/>
  <c r="D14" i="2"/>
  <c r="D13" i="2"/>
  <c r="D12" i="2"/>
  <c r="D11" i="2"/>
  <c r="D10" i="2"/>
  <c r="D9" i="2"/>
  <c r="D8" i="2"/>
  <c r="D7" i="2"/>
  <c r="C18" i="2"/>
  <c r="C17" i="2"/>
  <c r="C16" i="2"/>
  <c r="C15" i="2"/>
  <c r="C14" i="2"/>
  <c r="C13" i="2"/>
  <c r="C12" i="2"/>
  <c r="C11" i="2"/>
  <c r="C10" i="2"/>
  <c r="C9" i="2"/>
  <c r="C8" i="2"/>
  <c r="C7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E6" i="6"/>
  <c r="E5" i="6"/>
  <c r="E4" i="6"/>
  <c r="D6" i="6"/>
  <c r="D5" i="6"/>
  <c r="C6" i="6"/>
  <c r="C5" i="6"/>
  <c r="C4" i="6"/>
  <c r="E6" i="8"/>
  <c r="E5" i="8"/>
  <c r="E4" i="8"/>
  <c r="D6" i="8"/>
  <c r="D5" i="8"/>
  <c r="D4" i="8"/>
  <c r="C6" i="8"/>
  <c r="C5" i="8"/>
  <c r="C4" i="8"/>
  <c r="E6" i="4"/>
  <c r="E5" i="4"/>
  <c r="E4" i="4"/>
  <c r="D6" i="4"/>
  <c r="D5" i="4"/>
  <c r="C6" i="4"/>
  <c r="C5" i="4"/>
  <c r="E6" i="3"/>
  <c r="E5" i="2"/>
  <c r="E5" i="3"/>
  <c r="D6" i="3"/>
  <c r="D5" i="3"/>
  <c r="C6" i="3"/>
  <c r="C5" i="3"/>
  <c r="C4" i="3"/>
  <c r="E6" i="2"/>
  <c r="D6" i="2"/>
  <c r="C6" i="2"/>
  <c r="D5" i="2"/>
  <c r="C5" i="2"/>
  <c r="C4" i="2"/>
  <c r="D4" i="2"/>
  <c r="E4" i="2"/>
  <c r="F8" i="1" l="1"/>
  <c r="G8" i="1" s="1"/>
  <c r="H8" i="1" s="1"/>
  <c r="F17" i="1"/>
  <c r="G17" i="1" s="1"/>
  <c r="H17" i="1" s="1"/>
  <c r="C10" i="11"/>
  <c r="E10" i="11" s="1"/>
  <c r="C9" i="11"/>
  <c r="E9" i="11" s="1"/>
  <c r="C8" i="11"/>
  <c r="E8" i="11" s="1"/>
  <c r="C7" i="11"/>
  <c r="E7" i="11" s="1"/>
  <c r="F21" i="6"/>
  <c r="F22" i="6"/>
  <c r="F23" i="6"/>
  <c r="F24" i="6"/>
  <c r="G24" i="6" s="1"/>
  <c r="H24" i="6" s="1"/>
  <c r="F25" i="6"/>
  <c r="G25" i="6" s="1"/>
  <c r="H25" i="6" s="1"/>
  <c r="F26" i="6"/>
  <c r="G26" i="6" s="1"/>
  <c r="H26" i="6" s="1"/>
  <c r="F27" i="6"/>
  <c r="G27" i="6" s="1"/>
  <c r="H27" i="6" s="1"/>
  <c r="F28" i="6"/>
  <c r="G28" i="6" s="1"/>
  <c r="H28" i="6" s="1"/>
  <c r="F29" i="6"/>
  <c r="G29" i="6" s="1"/>
  <c r="H29" i="6" s="1"/>
  <c r="F30" i="6"/>
  <c r="G30" i="6" s="1"/>
  <c r="H30" i="6" s="1"/>
  <c r="F31" i="6"/>
  <c r="G31" i="6" s="1"/>
  <c r="H31" i="6" s="1"/>
  <c r="F32" i="6"/>
  <c r="G32" i="6" s="1"/>
  <c r="H32" i="6" s="1"/>
  <c r="F33" i="6"/>
  <c r="G33" i="6" s="1"/>
  <c r="H33" i="6" s="1"/>
  <c r="F34" i="6"/>
  <c r="G34" i="6" s="1"/>
  <c r="H34" i="6" s="1"/>
  <c r="F35" i="6"/>
  <c r="G35" i="6" s="1"/>
  <c r="H35" i="6" s="1"/>
  <c r="F12" i="3"/>
  <c r="G12" i="3" s="1"/>
  <c r="H12" i="3" s="1"/>
  <c r="G21" i="6"/>
  <c r="H21" i="6" s="1"/>
  <c r="G22" i="6"/>
  <c r="H22" i="6" s="1"/>
  <c r="G23" i="6"/>
  <c r="H23" i="6" s="1"/>
  <c r="F21" i="8"/>
  <c r="G21" i="8" s="1"/>
  <c r="H21" i="8" s="1"/>
  <c r="F22" i="8"/>
  <c r="G22" i="8" s="1"/>
  <c r="H22" i="8" s="1"/>
  <c r="F23" i="8"/>
  <c r="G23" i="8" s="1"/>
  <c r="H23" i="8" s="1"/>
  <c r="F24" i="8"/>
  <c r="G24" i="8" s="1"/>
  <c r="H24" i="8" s="1"/>
  <c r="F25" i="8"/>
  <c r="G25" i="8" s="1"/>
  <c r="H25" i="8" s="1"/>
  <c r="F26" i="8"/>
  <c r="G26" i="8" s="1"/>
  <c r="H26" i="8" s="1"/>
  <c r="F27" i="8"/>
  <c r="G27" i="8" s="1"/>
  <c r="H27" i="8" s="1"/>
  <c r="F28" i="8"/>
  <c r="G28" i="8" s="1"/>
  <c r="H28" i="8" s="1"/>
  <c r="F29" i="8"/>
  <c r="G29" i="8" s="1"/>
  <c r="H29" i="8" s="1"/>
  <c r="F30" i="8"/>
  <c r="G30" i="8" s="1"/>
  <c r="H30" i="8" s="1"/>
  <c r="F31" i="8"/>
  <c r="G31" i="8" s="1"/>
  <c r="H31" i="8" s="1"/>
  <c r="F32" i="8"/>
  <c r="G32" i="8" s="1"/>
  <c r="H32" i="8" s="1"/>
  <c r="F33" i="8"/>
  <c r="G33" i="8" s="1"/>
  <c r="H33" i="8" s="1"/>
  <c r="F34" i="8"/>
  <c r="G34" i="8" s="1"/>
  <c r="H34" i="8" s="1"/>
  <c r="F35" i="8"/>
  <c r="G35" i="8" s="1"/>
  <c r="H35" i="8" s="1"/>
  <c r="F21" i="4"/>
  <c r="G21" i="4" s="1"/>
  <c r="H21" i="4" s="1"/>
  <c r="F22" i="4"/>
  <c r="G22" i="4" s="1"/>
  <c r="H22" i="4" s="1"/>
  <c r="F23" i="4"/>
  <c r="G23" i="4" s="1"/>
  <c r="H23" i="4" s="1"/>
  <c r="F24" i="4"/>
  <c r="G24" i="4" s="1"/>
  <c r="H24" i="4" s="1"/>
  <c r="F25" i="4"/>
  <c r="G25" i="4" s="1"/>
  <c r="H25" i="4" s="1"/>
  <c r="F26" i="4"/>
  <c r="G26" i="4" s="1"/>
  <c r="H26" i="4" s="1"/>
  <c r="F27" i="4"/>
  <c r="G27" i="4" s="1"/>
  <c r="H27" i="4" s="1"/>
  <c r="F28" i="4"/>
  <c r="G28" i="4" s="1"/>
  <c r="H28" i="4" s="1"/>
  <c r="F29" i="4"/>
  <c r="G29" i="4" s="1"/>
  <c r="H29" i="4" s="1"/>
  <c r="F30" i="4"/>
  <c r="G30" i="4" s="1"/>
  <c r="H30" i="4" s="1"/>
  <c r="F31" i="4"/>
  <c r="G31" i="4" s="1"/>
  <c r="H31" i="4" s="1"/>
  <c r="F32" i="4"/>
  <c r="G32" i="4" s="1"/>
  <c r="H32" i="4" s="1"/>
  <c r="F33" i="4"/>
  <c r="G33" i="4" s="1"/>
  <c r="H33" i="4" s="1"/>
  <c r="F34" i="4"/>
  <c r="G34" i="4" s="1"/>
  <c r="H34" i="4" s="1"/>
  <c r="F35" i="4"/>
  <c r="G35" i="4" s="1"/>
  <c r="H35" i="4" s="1"/>
  <c r="F21" i="3"/>
  <c r="G21" i="3" s="1"/>
  <c r="H21" i="3" s="1"/>
  <c r="F22" i="3"/>
  <c r="G22" i="3" s="1"/>
  <c r="H22" i="3" s="1"/>
  <c r="F23" i="3"/>
  <c r="G23" i="3" s="1"/>
  <c r="H23" i="3" s="1"/>
  <c r="F24" i="3"/>
  <c r="G24" i="3" s="1"/>
  <c r="H24" i="3" s="1"/>
  <c r="F25" i="3"/>
  <c r="G25" i="3" s="1"/>
  <c r="H25" i="3" s="1"/>
  <c r="F26" i="3"/>
  <c r="G26" i="3" s="1"/>
  <c r="H26" i="3" s="1"/>
  <c r="F27" i="3"/>
  <c r="G27" i="3" s="1"/>
  <c r="H27" i="3" s="1"/>
  <c r="F28" i="3"/>
  <c r="G28" i="3" s="1"/>
  <c r="H28" i="3" s="1"/>
  <c r="F29" i="3"/>
  <c r="G29" i="3" s="1"/>
  <c r="H29" i="3" s="1"/>
  <c r="F30" i="3"/>
  <c r="G30" i="3" s="1"/>
  <c r="H30" i="3" s="1"/>
  <c r="F31" i="3"/>
  <c r="G31" i="3" s="1"/>
  <c r="H31" i="3" s="1"/>
  <c r="F32" i="3"/>
  <c r="G32" i="3" s="1"/>
  <c r="H32" i="3" s="1"/>
  <c r="F33" i="3"/>
  <c r="G33" i="3" s="1"/>
  <c r="H33" i="3" s="1"/>
  <c r="F34" i="3"/>
  <c r="G34" i="3" s="1"/>
  <c r="H34" i="3" s="1"/>
  <c r="F35" i="3"/>
  <c r="G35" i="3" s="1"/>
  <c r="H35" i="3" s="1"/>
  <c r="F21" i="2"/>
  <c r="G21" i="2" s="1"/>
  <c r="H21" i="2" s="1"/>
  <c r="F22" i="2"/>
  <c r="G22" i="2" s="1"/>
  <c r="H22" i="2" s="1"/>
  <c r="F23" i="2"/>
  <c r="G23" i="2" s="1"/>
  <c r="H23" i="2" s="1"/>
  <c r="F24" i="2"/>
  <c r="G24" i="2" s="1"/>
  <c r="H24" i="2" s="1"/>
  <c r="F25" i="2"/>
  <c r="G25" i="2" s="1"/>
  <c r="H25" i="2" s="1"/>
  <c r="F26" i="2"/>
  <c r="G26" i="2" s="1"/>
  <c r="H26" i="2" s="1"/>
  <c r="F27" i="2"/>
  <c r="G27" i="2" s="1"/>
  <c r="H27" i="2" s="1"/>
  <c r="F28" i="2"/>
  <c r="G28" i="2" s="1"/>
  <c r="H28" i="2" s="1"/>
  <c r="F29" i="2"/>
  <c r="G29" i="2" s="1"/>
  <c r="H29" i="2" s="1"/>
  <c r="F30" i="2"/>
  <c r="G30" i="2" s="1"/>
  <c r="H30" i="2" s="1"/>
  <c r="F31" i="2"/>
  <c r="G31" i="2" s="1"/>
  <c r="H31" i="2" s="1"/>
  <c r="F32" i="2"/>
  <c r="G32" i="2" s="1"/>
  <c r="H32" i="2" s="1"/>
  <c r="F33" i="2"/>
  <c r="G33" i="2" s="1"/>
  <c r="H33" i="2" s="1"/>
  <c r="F34" i="2"/>
  <c r="G34" i="2" s="1"/>
  <c r="H34" i="2" s="1"/>
  <c r="F35" i="2"/>
  <c r="G35" i="2" s="1"/>
  <c r="H35" i="2" s="1"/>
  <c r="F15" i="6"/>
  <c r="G15" i="6" s="1"/>
  <c r="H15" i="6" s="1"/>
  <c r="Q6" i="6" s="1"/>
  <c r="F17" i="6"/>
  <c r="G17" i="6" s="1"/>
  <c r="H17" i="6" s="1"/>
  <c r="Q7" i="6" s="1"/>
  <c r="F5" i="8"/>
  <c r="G5" i="8" s="1"/>
  <c r="H5" i="8" s="1"/>
  <c r="F17" i="8"/>
  <c r="G17" i="8" s="1"/>
  <c r="H17" i="8" s="1"/>
  <c r="F11" i="6"/>
  <c r="G11" i="6" s="1"/>
  <c r="H11" i="6" s="1"/>
  <c r="P5" i="6" s="1"/>
  <c r="F13" i="6"/>
  <c r="G13" i="6" s="1"/>
  <c r="H13" i="6" s="1"/>
  <c r="I13" i="6" s="1"/>
  <c r="N7" i="6" s="1"/>
  <c r="F4" i="8"/>
  <c r="G4" i="8" s="1"/>
  <c r="H4" i="8" s="1"/>
  <c r="L5" i="8" s="1"/>
  <c r="F8" i="8"/>
  <c r="G8" i="8" s="1"/>
  <c r="H8" i="8" s="1"/>
  <c r="I8" i="8" s="1"/>
  <c r="L9" i="8" s="1"/>
  <c r="F16" i="8"/>
  <c r="G16" i="8" s="1"/>
  <c r="H16" i="8" s="1"/>
  <c r="I16" i="8" s="1"/>
  <c r="O8" i="8" s="1"/>
  <c r="F5" i="6"/>
  <c r="G5" i="6" s="1"/>
  <c r="H5" i="6" s="1"/>
  <c r="I5" i="6" s="1"/>
  <c r="N4" i="6" s="1"/>
  <c r="F7" i="6"/>
  <c r="G7" i="6" s="1"/>
  <c r="H7" i="6" s="1"/>
  <c r="F9" i="6"/>
  <c r="G9" i="6" s="1"/>
  <c r="H9" i="6" s="1"/>
  <c r="F4" i="6"/>
  <c r="G4" i="6" s="1"/>
  <c r="H4" i="6" s="1"/>
  <c r="F6" i="6"/>
  <c r="G6" i="6" s="1"/>
  <c r="H6" i="6" s="1"/>
  <c r="F8" i="6"/>
  <c r="G8" i="6" s="1"/>
  <c r="H8" i="6" s="1"/>
  <c r="F10" i="6"/>
  <c r="G10" i="6" s="1"/>
  <c r="H10" i="6" s="1"/>
  <c r="F12" i="6"/>
  <c r="G12" i="6" s="1"/>
  <c r="H12" i="6" s="1"/>
  <c r="F14" i="6"/>
  <c r="G14" i="6" s="1"/>
  <c r="H14" i="6" s="1"/>
  <c r="F16" i="6"/>
  <c r="G16" i="6" s="1"/>
  <c r="H16" i="6" s="1"/>
  <c r="F18" i="6"/>
  <c r="G18" i="6" s="1"/>
  <c r="H18" i="6" s="1"/>
  <c r="F18" i="8"/>
  <c r="G18" i="8" s="1"/>
  <c r="H18" i="8" s="1"/>
  <c r="I18" i="8" s="1"/>
  <c r="Q8" i="8" s="1"/>
  <c r="F10" i="4"/>
  <c r="G10" i="4" s="1"/>
  <c r="H10" i="4" s="1"/>
  <c r="F9" i="8"/>
  <c r="G9" i="8" s="1"/>
  <c r="H9" i="8" s="1"/>
  <c r="F11" i="8"/>
  <c r="G11" i="8" s="1"/>
  <c r="H11" i="8" s="1"/>
  <c r="F13" i="8"/>
  <c r="G13" i="8" s="1"/>
  <c r="H13" i="8" s="1"/>
  <c r="F15" i="8"/>
  <c r="G15" i="8" s="1"/>
  <c r="H15" i="8" s="1"/>
  <c r="F8" i="4"/>
  <c r="G8" i="4" s="1"/>
  <c r="H8" i="4" s="1"/>
  <c r="F12" i="4"/>
  <c r="G12" i="4" s="1"/>
  <c r="H12" i="4" s="1"/>
  <c r="F6" i="8"/>
  <c r="G6" i="8" s="1"/>
  <c r="H6" i="8" s="1"/>
  <c r="L7" i="8" s="1"/>
  <c r="F7" i="8"/>
  <c r="G7" i="8" s="1"/>
  <c r="H7" i="8" s="1"/>
  <c r="F10" i="8"/>
  <c r="G10" i="8" s="1"/>
  <c r="H10" i="8" s="1"/>
  <c r="F12" i="8"/>
  <c r="G12" i="8" s="1"/>
  <c r="H12" i="8" s="1"/>
  <c r="F14" i="8"/>
  <c r="G14" i="8" s="1"/>
  <c r="H14" i="8" s="1"/>
  <c r="F5" i="3"/>
  <c r="G5" i="3" s="1"/>
  <c r="H5" i="3" s="1"/>
  <c r="F14" i="4"/>
  <c r="G14" i="4" s="1"/>
  <c r="H14" i="4" s="1"/>
  <c r="F4" i="4"/>
  <c r="G4" i="4" s="1"/>
  <c r="H4" i="4" s="1"/>
  <c r="F6" i="4"/>
  <c r="G6" i="4" s="1"/>
  <c r="H6" i="4" s="1"/>
  <c r="F16" i="4"/>
  <c r="G16" i="4" s="1"/>
  <c r="H16" i="4" s="1"/>
  <c r="F18" i="4"/>
  <c r="G18" i="4" s="1"/>
  <c r="H18" i="4" s="1"/>
  <c r="F5" i="4"/>
  <c r="G5" i="4" s="1"/>
  <c r="H5" i="4" s="1"/>
  <c r="L6" i="4" s="1"/>
  <c r="F7" i="4"/>
  <c r="G7" i="4" s="1"/>
  <c r="H7" i="4" s="1"/>
  <c r="P4" i="4" s="1"/>
  <c r="F9" i="4"/>
  <c r="G9" i="4" s="1"/>
  <c r="H9" i="4" s="1"/>
  <c r="N5" i="4" s="1"/>
  <c r="F11" i="4"/>
  <c r="G11" i="4" s="1"/>
  <c r="H11" i="4" s="1"/>
  <c r="I11" i="4" s="1"/>
  <c r="M8" i="4" s="1"/>
  <c r="F13" i="4"/>
  <c r="G13" i="4" s="1"/>
  <c r="H13" i="4" s="1"/>
  <c r="I13" i="4" s="1"/>
  <c r="N7" i="4" s="1"/>
  <c r="F15" i="4"/>
  <c r="G15" i="4" s="1"/>
  <c r="H15" i="4" s="1"/>
  <c r="I15" i="4" s="1"/>
  <c r="N9" i="4" s="1"/>
  <c r="F17" i="4"/>
  <c r="G17" i="4" s="1"/>
  <c r="H17" i="4" s="1"/>
  <c r="I17" i="4" s="1"/>
  <c r="O9" i="4" s="1"/>
  <c r="F14" i="3"/>
  <c r="G14" i="3" s="1"/>
  <c r="H14" i="3" s="1"/>
  <c r="F16" i="3"/>
  <c r="G16" i="3" s="1"/>
  <c r="H16" i="3" s="1"/>
  <c r="F18" i="3"/>
  <c r="G18" i="3" s="1"/>
  <c r="H18" i="3" s="1"/>
  <c r="F6" i="3"/>
  <c r="G6" i="3" s="1"/>
  <c r="H6" i="3" s="1"/>
  <c r="F8" i="3"/>
  <c r="G8" i="3" s="1"/>
  <c r="H8" i="3" s="1"/>
  <c r="F10" i="3"/>
  <c r="G10" i="3" s="1"/>
  <c r="H10" i="3" s="1"/>
  <c r="F4" i="3"/>
  <c r="G4" i="3" s="1"/>
  <c r="H4" i="3" s="1"/>
  <c r="F7" i="3"/>
  <c r="G7" i="3" s="1"/>
  <c r="H7" i="3" s="1"/>
  <c r="F9" i="3"/>
  <c r="G9" i="3" s="1"/>
  <c r="H9" i="3" s="1"/>
  <c r="F11" i="3"/>
  <c r="G11" i="3" s="1"/>
  <c r="H11" i="3" s="1"/>
  <c r="F13" i="3"/>
  <c r="G13" i="3" s="1"/>
  <c r="H13" i="3" s="1"/>
  <c r="F15" i="3"/>
  <c r="G15" i="3" s="1"/>
  <c r="H15" i="3" s="1"/>
  <c r="F17" i="3"/>
  <c r="G17" i="3" s="1"/>
  <c r="H17" i="3" s="1"/>
  <c r="I17" i="3" s="1"/>
  <c r="O9" i="3" s="1"/>
  <c r="F18" i="2"/>
  <c r="F11" i="2"/>
  <c r="G11" i="2" s="1"/>
  <c r="H11" i="2" s="1"/>
  <c r="F16" i="2"/>
  <c r="F17" i="2"/>
  <c r="G17" i="2" s="1"/>
  <c r="H17" i="2" s="1"/>
  <c r="F9" i="2"/>
  <c r="G9" i="2" s="1"/>
  <c r="H9" i="2" s="1"/>
  <c r="F5" i="2"/>
  <c r="F7" i="2"/>
  <c r="F13" i="2"/>
  <c r="F15" i="2"/>
  <c r="F12" i="2"/>
  <c r="G12" i="2" s="1"/>
  <c r="H12" i="2" s="1"/>
  <c r="G16" i="2"/>
  <c r="H16" i="2" s="1"/>
  <c r="I16" i="2" s="1"/>
  <c r="O8" i="2" s="1"/>
  <c r="F6" i="2"/>
  <c r="G6" i="2" s="1"/>
  <c r="H6" i="2" s="1"/>
  <c r="F8" i="2"/>
  <c r="G8" i="2" s="1"/>
  <c r="H8" i="2" s="1"/>
  <c r="F4" i="2"/>
  <c r="G4" i="2" s="1"/>
  <c r="H4" i="2" s="1"/>
  <c r="F10" i="2"/>
  <c r="G10" i="2" s="1"/>
  <c r="H10" i="2" s="1"/>
  <c r="F14" i="2"/>
  <c r="G14" i="2" s="1"/>
  <c r="H14" i="2" s="1"/>
  <c r="G18" i="2"/>
  <c r="H18" i="2" s="1"/>
  <c r="G5" i="2"/>
  <c r="H5" i="2" s="1"/>
  <c r="G7" i="2"/>
  <c r="H7" i="2" s="1"/>
  <c r="G13" i="2"/>
  <c r="H13" i="2" s="1"/>
  <c r="G15" i="2"/>
  <c r="H15" i="2" s="1"/>
  <c r="F18" i="1"/>
  <c r="G18" i="1" s="1"/>
  <c r="H18" i="1" s="1"/>
  <c r="F12" i="1"/>
  <c r="G12" i="1" s="1"/>
  <c r="H12" i="1" s="1"/>
  <c r="F15" i="1"/>
  <c r="G15" i="1" s="1"/>
  <c r="H15" i="1" s="1"/>
  <c r="Q4" i="8" l="1"/>
  <c r="I27" i="6"/>
  <c r="M24" i="6" s="1"/>
  <c r="O22" i="6"/>
  <c r="I33" i="6"/>
  <c r="O25" i="6" s="1"/>
  <c r="P24" i="6"/>
  <c r="I23" i="6"/>
  <c r="O21" i="6" s="1"/>
  <c r="L24" i="6"/>
  <c r="I21" i="6"/>
  <c r="M21" i="6" s="1"/>
  <c r="L22" i="6"/>
  <c r="I35" i="6"/>
  <c r="Q25" i="6" s="1"/>
  <c r="P26" i="6"/>
  <c r="I31" i="6"/>
  <c r="N25" i="6" s="1"/>
  <c r="P23" i="6"/>
  <c r="I29" i="6"/>
  <c r="M26" i="6" s="1"/>
  <c r="Q22" i="6"/>
  <c r="I25" i="6"/>
  <c r="L26" i="6" s="1"/>
  <c r="Q21" i="6"/>
  <c r="I22" i="6"/>
  <c r="N21" i="6" s="1"/>
  <c r="L23" i="6"/>
  <c r="I34" i="6"/>
  <c r="O26" i="6" s="1"/>
  <c r="Q24" i="6"/>
  <c r="I32" i="6"/>
  <c r="N26" i="6" s="1"/>
  <c r="Q23" i="6"/>
  <c r="I30" i="6"/>
  <c r="N24" i="6" s="1"/>
  <c r="O23" i="6"/>
  <c r="I28" i="6"/>
  <c r="M25" i="6" s="1"/>
  <c r="P22" i="6"/>
  <c r="I26" i="6"/>
  <c r="M23" i="6" s="1"/>
  <c r="N22" i="6"/>
  <c r="I24" i="6"/>
  <c r="L25" i="6" s="1"/>
  <c r="P21" i="6"/>
  <c r="I32" i="3"/>
  <c r="N26" i="3" s="1"/>
  <c r="Q23" i="3"/>
  <c r="I30" i="3"/>
  <c r="N24" i="3" s="1"/>
  <c r="O23" i="3"/>
  <c r="I28" i="3"/>
  <c r="M25" i="3" s="1"/>
  <c r="P22" i="3"/>
  <c r="I26" i="3"/>
  <c r="M23" i="3" s="1"/>
  <c r="N22" i="3"/>
  <c r="I24" i="3"/>
  <c r="L25" i="3" s="1"/>
  <c r="P21" i="3"/>
  <c r="I22" i="3"/>
  <c r="N21" i="3" s="1"/>
  <c r="L23" i="3"/>
  <c r="I35" i="4"/>
  <c r="Q25" i="4" s="1"/>
  <c r="P26" i="4"/>
  <c r="I33" i="4"/>
  <c r="O25" i="4" s="1"/>
  <c r="P24" i="4"/>
  <c r="I31" i="4"/>
  <c r="N25" i="4" s="1"/>
  <c r="P23" i="4"/>
  <c r="I29" i="4"/>
  <c r="M26" i="4" s="1"/>
  <c r="Q22" i="4"/>
  <c r="I27" i="4"/>
  <c r="M24" i="4" s="1"/>
  <c r="O22" i="4"/>
  <c r="I25" i="4"/>
  <c r="L26" i="4" s="1"/>
  <c r="Q21" i="4"/>
  <c r="I23" i="4"/>
  <c r="O21" i="4" s="1"/>
  <c r="L24" i="4"/>
  <c r="I21" i="4"/>
  <c r="M21" i="4" s="1"/>
  <c r="L22" i="4"/>
  <c r="I34" i="8"/>
  <c r="O26" i="8" s="1"/>
  <c r="Q24" i="8"/>
  <c r="I32" i="8"/>
  <c r="N26" i="8" s="1"/>
  <c r="Q23" i="8"/>
  <c r="I30" i="8"/>
  <c r="N24" i="8" s="1"/>
  <c r="O23" i="8"/>
  <c r="I28" i="8"/>
  <c r="M25" i="8" s="1"/>
  <c r="P22" i="8"/>
  <c r="I26" i="8"/>
  <c r="M23" i="8" s="1"/>
  <c r="N22" i="8"/>
  <c r="I24" i="8"/>
  <c r="L25" i="8" s="1"/>
  <c r="P21" i="8"/>
  <c r="I22" i="8"/>
  <c r="N21" i="8" s="1"/>
  <c r="L23" i="8"/>
  <c r="I34" i="3"/>
  <c r="O26" i="3" s="1"/>
  <c r="Q24" i="3"/>
  <c r="I31" i="3"/>
  <c r="N25" i="3" s="1"/>
  <c r="P23" i="3"/>
  <c r="I29" i="3"/>
  <c r="M26" i="3" s="1"/>
  <c r="Q22" i="3"/>
  <c r="I27" i="3"/>
  <c r="M24" i="3" s="1"/>
  <c r="O22" i="3"/>
  <c r="I25" i="3"/>
  <c r="L26" i="3" s="1"/>
  <c r="Q21" i="3"/>
  <c r="I23" i="3"/>
  <c r="O21" i="3" s="1"/>
  <c r="L24" i="3"/>
  <c r="I21" i="3"/>
  <c r="M21" i="3" s="1"/>
  <c r="L22" i="3"/>
  <c r="I35" i="3"/>
  <c r="Q25" i="3" s="1"/>
  <c r="P26" i="3"/>
  <c r="I33" i="3"/>
  <c r="O25" i="3" s="1"/>
  <c r="P24" i="3"/>
  <c r="I34" i="4"/>
  <c r="O26" i="4" s="1"/>
  <c r="Q24" i="4"/>
  <c r="I32" i="4"/>
  <c r="N26" i="4" s="1"/>
  <c r="Q23" i="4"/>
  <c r="I30" i="4"/>
  <c r="N24" i="4" s="1"/>
  <c r="O23" i="4"/>
  <c r="I28" i="4"/>
  <c r="M25" i="4" s="1"/>
  <c r="P22" i="4"/>
  <c r="I26" i="4"/>
  <c r="M23" i="4" s="1"/>
  <c r="N22" i="4"/>
  <c r="I24" i="4"/>
  <c r="L25" i="4" s="1"/>
  <c r="P21" i="4"/>
  <c r="I22" i="4"/>
  <c r="N21" i="4" s="1"/>
  <c r="L23" i="4"/>
  <c r="I35" i="8"/>
  <c r="Q25" i="8" s="1"/>
  <c r="P26" i="8"/>
  <c r="I33" i="8"/>
  <c r="O25" i="8" s="1"/>
  <c r="P24" i="8"/>
  <c r="I31" i="8"/>
  <c r="N25" i="8" s="1"/>
  <c r="P23" i="8"/>
  <c r="I29" i="8"/>
  <c r="M26" i="8" s="1"/>
  <c r="Q22" i="8"/>
  <c r="I27" i="8"/>
  <c r="M24" i="8" s="1"/>
  <c r="O22" i="8"/>
  <c r="I25" i="8"/>
  <c r="L26" i="8" s="1"/>
  <c r="Q21" i="8"/>
  <c r="I23" i="8"/>
  <c r="O21" i="8" s="1"/>
  <c r="L24" i="8"/>
  <c r="I21" i="8"/>
  <c r="M21" i="8" s="1"/>
  <c r="L22" i="8"/>
  <c r="I35" i="2"/>
  <c r="Q25" i="2" s="1"/>
  <c r="P26" i="2"/>
  <c r="I33" i="2"/>
  <c r="O25" i="2" s="1"/>
  <c r="P24" i="2"/>
  <c r="I31" i="2"/>
  <c r="N25" i="2" s="1"/>
  <c r="P23" i="2"/>
  <c r="I29" i="2"/>
  <c r="M26" i="2" s="1"/>
  <c r="Q22" i="2"/>
  <c r="I27" i="2"/>
  <c r="M24" i="2" s="1"/>
  <c r="O22" i="2"/>
  <c r="I25" i="2"/>
  <c r="L26" i="2" s="1"/>
  <c r="Q21" i="2"/>
  <c r="I23" i="2"/>
  <c r="O21" i="2" s="1"/>
  <c r="L24" i="2"/>
  <c r="I21" i="2"/>
  <c r="M21" i="2" s="1"/>
  <c r="L22" i="2"/>
  <c r="I34" i="2"/>
  <c r="O26" i="2" s="1"/>
  <c r="Q24" i="2"/>
  <c r="I32" i="2"/>
  <c r="N26" i="2" s="1"/>
  <c r="Q23" i="2"/>
  <c r="I30" i="2"/>
  <c r="N24" i="2" s="1"/>
  <c r="O23" i="2"/>
  <c r="I28" i="2"/>
  <c r="M25" i="2" s="1"/>
  <c r="P22" i="2"/>
  <c r="I26" i="2"/>
  <c r="M23" i="2" s="1"/>
  <c r="N22" i="2"/>
  <c r="I24" i="2"/>
  <c r="L25" i="2" s="1"/>
  <c r="P21" i="2"/>
  <c r="I22" i="2"/>
  <c r="N21" i="2" s="1"/>
  <c r="L23" i="2"/>
  <c r="P7" i="8"/>
  <c r="I4" i="8"/>
  <c r="M4" i="8" s="1"/>
  <c r="O6" i="4"/>
  <c r="P9" i="8"/>
  <c r="I9" i="4"/>
  <c r="M6" i="4" s="1"/>
  <c r="I5" i="4"/>
  <c r="N4" i="4" s="1"/>
  <c r="N5" i="6"/>
  <c r="I9" i="6"/>
  <c r="M6" i="6" s="1"/>
  <c r="P4" i="6"/>
  <c r="I7" i="6"/>
  <c r="L8" i="6" s="1"/>
  <c r="I15" i="6"/>
  <c r="N9" i="6" s="1"/>
  <c r="O6" i="6"/>
  <c r="I17" i="6"/>
  <c r="O9" i="6" s="1"/>
  <c r="I11" i="6"/>
  <c r="M8" i="6" s="1"/>
  <c r="L6" i="6"/>
  <c r="L5" i="6"/>
  <c r="I4" i="6"/>
  <c r="M4" i="6" s="1"/>
  <c r="P7" i="6"/>
  <c r="I16" i="6"/>
  <c r="O8" i="6" s="1"/>
  <c r="I12" i="6"/>
  <c r="M9" i="6" s="1"/>
  <c r="Q5" i="6"/>
  <c r="Q4" i="6"/>
  <c r="I8" i="6"/>
  <c r="L9" i="6" s="1"/>
  <c r="I18" i="6"/>
  <c r="Q8" i="6" s="1"/>
  <c r="P9" i="6"/>
  <c r="I14" i="6"/>
  <c r="N8" i="6" s="1"/>
  <c r="P6" i="6"/>
  <c r="I10" i="6"/>
  <c r="M7" i="6" s="1"/>
  <c r="O5" i="6"/>
  <c r="L7" i="6"/>
  <c r="I6" i="6"/>
  <c r="O4" i="6" s="1"/>
  <c r="Q6" i="4"/>
  <c r="I7" i="4"/>
  <c r="L8" i="4" s="1"/>
  <c r="I6" i="8"/>
  <c r="O4" i="8" s="1"/>
  <c r="I12" i="8"/>
  <c r="M9" i="8" s="1"/>
  <c r="Q5" i="8"/>
  <c r="I14" i="8"/>
  <c r="N8" i="8" s="1"/>
  <c r="P6" i="8"/>
  <c r="I10" i="8"/>
  <c r="M7" i="8" s="1"/>
  <c r="O5" i="8"/>
  <c r="I15" i="8"/>
  <c r="N9" i="8" s="1"/>
  <c r="Q6" i="8"/>
  <c r="I11" i="8"/>
  <c r="M8" i="8" s="1"/>
  <c r="P5" i="8"/>
  <c r="I7" i="8"/>
  <c r="L8" i="8" s="1"/>
  <c r="P4" i="8"/>
  <c r="I17" i="8"/>
  <c r="O9" i="8" s="1"/>
  <c r="Q7" i="8"/>
  <c r="I13" i="8"/>
  <c r="N7" i="8" s="1"/>
  <c r="O6" i="8"/>
  <c r="I9" i="8"/>
  <c r="M6" i="8" s="1"/>
  <c r="N5" i="8"/>
  <c r="L6" i="8"/>
  <c r="I5" i="8"/>
  <c r="N4" i="8" s="1"/>
  <c r="P5" i="4"/>
  <c r="Q7" i="4"/>
  <c r="I18" i="4"/>
  <c r="Q8" i="4" s="1"/>
  <c r="P9" i="4"/>
  <c r="I10" i="4"/>
  <c r="M7" i="4" s="1"/>
  <c r="O5" i="4"/>
  <c r="L7" i="4"/>
  <c r="I6" i="4"/>
  <c r="O4" i="4" s="1"/>
  <c r="P7" i="4"/>
  <c r="I16" i="4"/>
  <c r="O8" i="4" s="1"/>
  <c r="I12" i="4"/>
  <c r="M9" i="4" s="1"/>
  <c r="Q5" i="4"/>
  <c r="Q4" i="4"/>
  <c r="I8" i="4"/>
  <c r="L9" i="4" s="1"/>
  <c r="L5" i="4"/>
  <c r="I4" i="4"/>
  <c r="M4" i="4" s="1"/>
  <c r="I14" i="4"/>
  <c r="N8" i="4" s="1"/>
  <c r="P6" i="4"/>
  <c r="I13" i="3"/>
  <c r="N7" i="3" s="1"/>
  <c r="O6" i="3"/>
  <c r="I9" i="3"/>
  <c r="M6" i="3" s="1"/>
  <c r="N5" i="3"/>
  <c r="I4" i="3"/>
  <c r="M4" i="3" s="1"/>
  <c r="L5" i="3"/>
  <c r="Q7" i="3"/>
  <c r="Q6" i="3"/>
  <c r="I15" i="3"/>
  <c r="N9" i="3" s="1"/>
  <c r="P4" i="3"/>
  <c r="I7" i="3"/>
  <c r="L8" i="3" s="1"/>
  <c r="P5" i="3"/>
  <c r="I11" i="3"/>
  <c r="M8" i="3" s="1"/>
  <c r="I18" i="3"/>
  <c r="Q8" i="3" s="1"/>
  <c r="P9" i="3"/>
  <c r="I14" i="3"/>
  <c r="N8" i="3" s="1"/>
  <c r="P6" i="3"/>
  <c r="L7" i="3"/>
  <c r="I6" i="3"/>
  <c r="O4" i="3" s="1"/>
  <c r="P7" i="3"/>
  <c r="I16" i="3"/>
  <c r="O8" i="3" s="1"/>
  <c r="I12" i="3"/>
  <c r="M9" i="3" s="1"/>
  <c r="Q5" i="3"/>
  <c r="I8" i="3"/>
  <c r="L9" i="3" s="1"/>
  <c r="Q4" i="3"/>
  <c r="L6" i="3"/>
  <c r="I5" i="3"/>
  <c r="N4" i="3" s="1"/>
  <c r="I10" i="3"/>
  <c r="M7" i="3" s="1"/>
  <c r="O5" i="3"/>
  <c r="P7" i="2"/>
  <c r="Q5" i="2"/>
  <c r="I12" i="2"/>
  <c r="M9" i="2" s="1"/>
  <c r="Q4" i="2"/>
  <c r="I8" i="2"/>
  <c r="L9" i="2" s="1"/>
  <c r="I6" i="2"/>
  <c r="O4" i="2" s="1"/>
  <c r="L7" i="2"/>
  <c r="I14" i="2"/>
  <c r="N8" i="2" s="1"/>
  <c r="P6" i="2"/>
  <c r="L5" i="2"/>
  <c r="I4" i="2"/>
  <c r="M4" i="2" s="1"/>
  <c r="O5" i="2"/>
  <c r="I10" i="2"/>
  <c r="M7" i="2" s="1"/>
  <c r="I15" i="2"/>
  <c r="N9" i="2" s="1"/>
  <c r="Q6" i="2"/>
  <c r="I11" i="2"/>
  <c r="M8" i="2" s="1"/>
  <c r="P5" i="2"/>
  <c r="I7" i="2"/>
  <c r="L8" i="2" s="1"/>
  <c r="P4" i="2"/>
  <c r="I18" i="2"/>
  <c r="Q8" i="2" s="1"/>
  <c r="P9" i="2"/>
  <c r="I17" i="2"/>
  <c r="O9" i="2" s="1"/>
  <c r="Q7" i="2"/>
  <c r="I13" i="2"/>
  <c r="N7" i="2" s="1"/>
  <c r="O6" i="2"/>
  <c r="I9" i="2"/>
  <c r="M6" i="2" s="1"/>
  <c r="N5" i="2"/>
  <c r="L6" i="2"/>
  <c r="I5" i="2"/>
  <c r="N4" i="2" s="1"/>
  <c r="I18" i="1"/>
  <c r="Q8" i="1" s="1"/>
  <c r="P9" i="1"/>
  <c r="I17" i="1"/>
  <c r="O9" i="1" s="1"/>
  <c r="Q7" i="1"/>
  <c r="I15" i="1"/>
  <c r="N9" i="1" s="1"/>
  <c r="Q6" i="1"/>
  <c r="I12" i="1"/>
  <c r="M9" i="1" s="1"/>
  <c r="Q5" i="1"/>
  <c r="I8" i="1"/>
  <c r="L9" i="1" s="1"/>
  <c r="Q4" i="1"/>
  <c r="R8" i="8" l="1"/>
  <c r="P10" i="8" s="1"/>
  <c r="R22" i="8"/>
  <c r="E13" i="9" s="1"/>
  <c r="R22" i="4"/>
  <c r="M27" i="4" s="1"/>
  <c r="R22" i="6"/>
  <c r="M27" i="6" s="1"/>
  <c r="R25" i="4"/>
  <c r="D16" i="9" s="1"/>
  <c r="R22" i="3"/>
  <c r="M27" i="3" s="1"/>
  <c r="R22" i="2"/>
  <c r="M27" i="2" s="1"/>
  <c r="R21" i="2"/>
  <c r="R23" i="2"/>
  <c r="R21" i="8"/>
  <c r="R26" i="8"/>
  <c r="R21" i="4"/>
  <c r="R23" i="4"/>
  <c r="R21" i="3"/>
  <c r="R26" i="3"/>
  <c r="R23" i="6"/>
  <c r="R21" i="6"/>
  <c r="R25" i="6"/>
  <c r="R26" i="6"/>
  <c r="R24" i="6"/>
  <c r="R25" i="8"/>
  <c r="R26" i="4"/>
  <c r="R25" i="3"/>
  <c r="R24" i="8"/>
  <c r="R24" i="3"/>
  <c r="R23" i="8"/>
  <c r="R24" i="4"/>
  <c r="R23" i="3"/>
  <c r="R25" i="2"/>
  <c r="R24" i="2"/>
  <c r="R26" i="2"/>
  <c r="R4" i="8"/>
  <c r="E2" i="9" s="1"/>
  <c r="R7" i="6"/>
  <c r="F5" i="9" s="1"/>
  <c r="R6" i="4"/>
  <c r="D4" i="9" s="1"/>
  <c r="R9" i="8"/>
  <c r="Q10" i="8" s="1"/>
  <c r="R8" i="6"/>
  <c r="E6" i="9"/>
  <c r="R6" i="6"/>
  <c r="R9" i="6"/>
  <c r="R4" i="6"/>
  <c r="R5" i="6"/>
  <c r="R5" i="8"/>
  <c r="R7" i="8"/>
  <c r="R6" i="8"/>
  <c r="R9" i="4"/>
  <c r="R8" i="4"/>
  <c r="R4" i="4"/>
  <c r="R5" i="4"/>
  <c r="R7" i="4"/>
  <c r="R4" i="3"/>
  <c r="R8" i="3"/>
  <c r="R5" i="3"/>
  <c r="R6" i="3"/>
  <c r="R9" i="3"/>
  <c r="R7" i="3"/>
  <c r="R4" i="2"/>
  <c r="R9" i="2"/>
  <c r="R7" i="2"/>
  <c r="R5" i="2"/>
  <c r="R6" i="2"/>
  <c r="R8" i="2"/>
  <c r="R9" i="1"/>
  <c r="C13" i="9" l="1"/>
  <c r="M27" i="8"/>
  <c r="D13" i="9"/>
  <c r="F13" i="9"/>
  <c r="B13" i="9"/>
  <c r="P27" i="4"/>
  <c r="L10" i="8"/>
  <c r="P27" i="2"/>
  <c r="B16" i="9"/>
  <c r="P27" i="3"/>
  <c r="C16" i="9"/>
  <c r="O27" i="2"/>
  <c r="B15" i="9"/>
  <c r="N27" i="3"/>
  <c r="C14" i="9"/>
  <c r="N27" i="8"/>
  <c r="E14" i="9"/>
  <c r="O27" i="8"/>
  <c r="E15" i="9"/>
  <c r="Q27" i="4"/>
  <c r="D17" i="9"/>
  <c r="O27" i="6"/>
  <c r="F15" i="9"/>
  <c r="P27" i="6"/>
  <c r="F16" i="9"/>
  <c r="N27" i="6"/>
  <c r="F14" i="9"/>
  <c r="L27" i="3"/>
  <c r="C12" i="9"/>
  <c r="L27" i="4"/>
  <c r="D12" i="9"/>
  <c r="L27" i="8"/>
  <c r="E12" i="9"/>
  <c r="L27" i="2"/>
  <c r="B12" i="9"/>
  <c r="Q27" i="2"/>
  <c r="B17" i="9"/>
  <c r="O27" i="4"/>
  <c r="D15" i="9"/>
  <c r="O27" i="3"/>
  <c r="C15" i="9"/>
  <c r="P27" i="8"/>
  <c r="E16" i="9"/>
  <c r="Q27" i="6"/>
  <c r="F17" i="9"/>
  <c r="L27" i="6"/>
  <c r="F12" i="9"/>
  <c r="Q27" i="3"/>
  <c r="C17" i="9"/>
  <c r="N27" i="4"/>
  <c r="D14" i="9"/>
  <c r="Q27" i="8"/>
  <c r="E17" i="9"/>
  <c r="N27" i="2"/>
  <c r="B14" i="9"/>
  <c r="O10" i="6"/>
  <c r="N10" i="4"/>
  <c r="Q10" i="1"/>
  <c r="G7" i="9"/>
  <c r="E7" i="9"/>
  <c r="Q10" i="3"/>
  <c r="C7" i="9"/>
  <c r="M10" i="3"/>
  <c r="C3" i="9"/>
  <c r="M10" i="4"/>
  <c r="D3" i="9"/>
  <c r="P10" i="4"/>
  <c r="D6" i="9"/>
  <c r="M10" i="8"/>
  <c r="E3" i="9"/>
  <c r="L10" i="6"/>
  <c r="F2" i="9"/>
  <c r="O10" i="3"/>
  <c r="C5" i="9"/>
  <c r="N10" i="3"/>
  <c r="C4" i="9"/>
  <c r="P10" i="3"/>
  <c r="C6" i="9"/>
  <c r="O10" i="4"/>
  <c r="D5" i="9"/>
  <c r="L10" i="4"/>
  <c r="D2" i="9"/>
  <c r="Q10" i="4"/>
  <c r="D7" i="9"/>
  <c r="O10" i="8"/>
  <c r="E5" i="9"/>
  <c r="M10" i="6"/>
  <c r="F3" i="9"/>
  <c r="Q10" i="6"/>
  <c r="F7" i="9"/>
  <c r="P10" i="6"/>
  <c r="F6" i="9"/>
  <c r="L10" i="3"/>
  <c r="C2" i="9"/>
  <c r="N10" i="8"/>
  <c r="E4" i="9"/>
  <c r="N10" i="6"/>
  <c r="F4" i="9"/>
  <c r="P10" i="2"/>
  <c r="B6" i="9"/>
  <c r="M10" i="2"/>
  <c r="B3" i="9"/>
  <c r="Q10" i="2"/>
  <c r="B7" i="9"/>
  <c r="N10" i="2"/>
  <c r="B4" i="9"/>
  <c r="O10" i="2"/>
  <c r="B5" i="9"/>
  <c r="L10" i="2"/>
  <c r="B2" i="9"/>
  <c r="E6" i="1"/>
  <c r="D6" i="1"/>
  <c r="C6" i="1"/>
  <c r="F13" i="1" l="1"/>
  <c r="G13" i="1" s="1"/>
  <c r="H13" i="1" s="1"/>
  <c r="O6" i="1" s="1"/>
  <c r="F11" i="1"/>
  <c r="G11" i="1" s="1"/>
  <c r="H11" i="1" s="1"/>
  <c r="F10" i="1"/>
  <c r="G10" i="1" s="1"/>
  <c r="H10" i="1" s="1"/>
  <c r="O5" i="1" s="1"/>
  <c r="F14" i="1"/>
  <c r="G14" i="1" s="1"/>
  <c r="H14" i="1" s="1"/>
  <c r="P6" i="1" s="1"/>
  <c r="F9" i="1"/>
  <c r="G9" i="1" s="1"/>
  <c r="H9" i="1" s="1"/>
  <c r="F4" i="1"/>
  <c r="G4" i="1" s="1"/>
  <c r="H4" i="1" s="1"/>
  <c r="I4" i="1" s="1"/>
  <c r="M4" i="1" s="1"/>
  <c r="F7" i="1"/>
  <c r="G7" i="1" s="1"/>
  <c r="H7" i="1" s="1"/>
  <c r="F6" i="1"/>
  <c r="G6" i="1" s="1"/>
  <c r="H6" i="1" s="1"/>
  <c r="F16" i="1"/>
  <c r="G16" i="1" s="1"/>
  <c r="H16" i="1" s="1"/>
  <c r="I16" i="1" s="1"/>
  <c r="F5" i="1"/>
  <c r="G5" i="1" s="1"/>
  <c r="H5" i="1" s="1"/>
  <c r="I5" i="1" s="1"/>
  <c r="I13" i="1" l="1"/>
  <c r="N7" i="1" s="1"/>
  <c r="N5" i="1"/>
  <c r="I9" i="1"/>
  <c r="M6" i="1" s="1"/>
  <c r="I10" i="1"/>
  <c r="M7" i="1" s="1"/>
  <c r="P4" i="1"/>
  <c r="I7" i="1"/>
  <c r="L8" i="1" s="1"/>
  <c r="L5" i="1"/>
  <c r="I14" i="1"/>
  <c r="N8" i="1" s="1"/>
  <c r="L7" i="1"/>
  <c r="I6" i="1"/>
  <c r="O4" i="1" s="1"/>
  <c r="P5" i="1"/>
  <c r="I11" i="1"/>
  <c r="M8" i="1" s="1"/>
  <c r="O8" i="1"/>
  <c r="P7" i="1"/>
  <c r="N4" i="1"/>
  <c r="L6" i="1"/>
  <c r="R8" i="1" l="1"/>
  <c r="R4" i="1"/>
  <c r="R7" i="1"/>
  <c r="R6" i="1"/>
  <c r="R5" i="1"/>
  <c r="M10" i="1" l="1"/>
  <c r="G3" i="9"/>
  <c r="O10" i="1"/>
  <c r="G5" i="9"/>
  <c r="P10" i="1"/>
  <c r="G6" i="9"/>
  <c r="N10" i="1"/>
  <c r="G4" i="9"/>
  <c r="L10" i="1"/>
  <c r="G2" i="9"/>
</calcChain>
</file>

<file path=xl/connections.xml><?xml version="1.0" encoding="utf-8"?>
<connections xmlns="http://schemas.openxmlformats.org/spreadsheetml/2006/main">
  <connection id="1" interval="1" name="Infinitus Currency Strength" type="6" refreshedVersion="4" background="1" refreshOnLoad="1" saveData="1">
    <textPr prompt="0" codePage="850" sourceFile="C:\Users\infinitus\AppData\Roaming\MetaQuotes\Terminal\1AD0ED14ED1228DE6C32D8AB34E5F201\MQL4\Files\Infinitus Currency Strength.csv" tab="0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interval="1" name="Infinitus Currency Strength past period" type="6" refreshedVersion="4" background="1" refreshOnLoad="1">
    <textPr prompt="0" codePage="850" sourceFile="C:\Users\infinitus\AppData\Roaming\MetaQuotes\Terminal\1AD0ED14ED1228DE6C32D8AB34E5F201\MQL4\Files\Infinitus Currency Strength past period.csv" tab="0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<sst xmlns="http://schemas.openxmlformats.org/spreadsheetml/2006/main" count="629" uniqueCount="72">
  <si>
    <t>Currency Strength</t>
  </si>
  <si>
    <t>EURUSD</t>
  </si>
  <si>
    <t>GBPUSD</t>
  </si>
  <si>
    <t>AUDUSD</t>
  </si>
  <si>
    <t>USDJPY</t>
  </si>
  <si>
    <t>Bid</t>
  </si>
  <si>
    <t>High</t>
  </si>
  <si>
    <t>Low</t>
  </si>
  <si>
    <t>Mid</t>
  </si>
  <si>
    <t>EURGBP</t>
  </si>
  <si>
    <t>EURAUD</t>
  </si>
  <si>
    <t>EURJPY</t>
  </si>
  <si>
    <t>GBPAUD</t>
  </si>
  <si>
    <t>GBPJPY</t>
  </si>
  <si>
    <t>AUDJPY</t>
  </si>
  <si>
    <t>Bid&gt;Mid</t>
  </si>
  <si>
    <t>% above/below Mid</t>
  </si>
  <si>
    <t>USD</t>
  </si>
  <si>
    <t>EUR</t>
  </si>
  <si>
    <t>AUD</t>
  </si>
  <si>
    <t>GBP</t>
  </si>
  <si>
    <t>JPY</t>
  </si>
  <si>
    <t>Reziprok</t>
  </si>
  <si>
    <t>Summe</t>
  </si>
  <si>
    <t>USDCAD</t>
  </si>
  <si>
    <t>EURCAD</t>
  </si>
  <si>
    <t>GBPCAD</t>
  </si>
  <si>
    <t>CADJPY</t>
  </si>
  <si>
    <t>AUDCAD</t>
  </si>
  <si>
    <t>CAD</t>
  </si>
  <si>
    <t>Low-High-Close Data EURUSD</t>
  </si>
  <si>
    <t>Low-High-Close Data EURGBP</t>
  </si>
  <si>
    <t>Low-High-Close Data EURAUD</t>
  </si>
  <si>
    <t>Low-High-Close Data EURJPY</t>
  </si>
  <si>
    <t>Low-High-Close Data EURCAD</t>
  </si>
  <si>
    <t>Low-High-Close Data AUDCAD</t>
  </si>
  <si>
    <t>Low-High-Close Data AUDJPY</t>
  </si>
  <si>
    <t>Low-High-Close Data CADJPY</t>
  </si>
  <si>
    <t>Low-High-Close Data GBPAUD</t>
  </si>
  <si>
    <t>Low-High-Close Data GBPJPY</t>
  </si>
  <si>
    <t>Low-High-Close Data GBPCAD</t>
  </si>
  <si>
    <t>Low-High-Close Data GBPUSD</t>
  </si>
  <si>
    <t>Low-High-Close Data AUDUSD</t>
  </si>
  <si>
    <t>Low-High-Close Data USDJPY</t>
  </si>
  <si>
    <t>Low-High-Close Data USDCAD</t>
  </si>
  <si>
    <t>d</t>
  </si>
  <si>
    <t>w</t>
  </si>
  <si>
    <t>m</t>
  </si>
  <si>
    <t>l</t>
  </si>
  <si>
    <t>h</t>
  </si>
  <si>
    <t>bid</t>
  </si>
  <si>
    <t>1h</t>
  </si>
  <si>
    <t>4h</t>
  </si>
  <si>
    <t>daily</t>
  </si>
  <si>
    <t>weekly</t>
  </si>
  <si>
    <t>monthly</t>
  </si>
  <si>
    <t>RT daily</t>
  </si>
  <si>
    <t>close</t>
  </si>
  <si>
    <t>low</t>
  </si>
  <si>
    <t>high</t>
  </si>
  <si>
    <t>open</t>
  </si>
  <si>
    <t>Open</t>
  </si>
  <si>
    <t>open not provided by MT4 via DDE</t>
  </si>
  <si>
    <t>actual</t>
  </si>
  <si>
    <t>past</t>
  </si>
  <si>
    <t>act data</t>
  </si>
  <si>
    <t>past data</t>
  </si>
  <si>
    <t>pat</t>
  </si>
  <si>
    <t>EU/GU</t>
  </si>
  <si>
    <t>EU/AU</t>
  </si>
  <si>
    <t>EU*UJ</t>
  </si>
  <si>
    <t>EU*UC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</si>
</sst>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1" fontId="0" fillId="0" borderId="6" xfId="0" applyNumberFormat="1" applyBorder="1"/>
    <xf numFmtId="0" fontId="0" fillId="0" borderId="0" xfId="0" applyBorder="1"/>
    <xf numFmtId="1" fontId="0" fillId="0" borderId="0" xfId="0" applyNumberFormat="1" applyBorder="1"/>
    <xf numFmtId="1" fontId="0" fillId="0" borderId="9" xfId="0" applyNumberFormat="1" applyBorder="1"/>
    <xf numFmtId="1" fontId="0" fillId="0" borderId="2" xfId="0" applyNumberFormat="1" applyBorder="1"/>
    <xf numFmtId="0" fontId="0" fillId="0" borderId="2" xfId="0" applyBorder="1"/>
    <xf numFmtId="0" fontId="0" fillId="0" borderId="4" xfId="0" applyFill="1" applyBorder="1"/>
    <xf numFmtId="0" fontId="0" fillId="0" borderId="6" xfId="0" applyBorder="1"/>
    <xf numFmtId="0" fontId="0" fillId="0" borderId="11" xfId="0" applyBorder="1"/>
    <xf numFmtId="1" fontId="0" fillId="0" borderId="0" xfId="0" applyNumberFormat="1" applyFill="1" applyBorder="1"/>
    <xf numFmtId="164" fontId="0" fillId="0" borderId="0" xfId="0" applyNumberFormat="1" applyBorder="1"/>
    <xf numFmtId="164" fontId="0" fillId="0" borderId="6" xfId="0" applyNumberFormat="1" applyBorder="1"/>
    <xf numFmtId="0" fontId="0" fillId="0" borderId="6" xfId="0" applyBorder="1" applyAlignment="1">
      <alignment horizontal="center"/>
    </xf>
    <xf numFmtId="1" fontId="0" fillId="0" borderId="10" xfId="0" applyNumberFormat="1" applyBorder="1"/>
    <xf numFmtId="164" fontId="0" fillId="0" borderId="7" xfId="0" applyNumberFormat="1" applyBorder="1"/>
    <xf numFmtId="0" fontId="0" fillId="0" borderId="0" xfId="0" applyBorder="1" applyAlignment="1">
      <alignment horizontal="center"/>
    </xf>
    <xf numFmtId="1" fontId="0" fillId="0" borderId="12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9" xfId="0" applyBorder="1" applyAlignment="1">
      <alignment horizontal="center"/>
    </xf>
    <xf numFmtId="1" fontId="0" fillId="0" borderId="13" xfId="0" applyNumberFormat="1" applyBorder="1"/>
    <xf numFmtId="0" fontId="3" fillId="0" borderId="7" xfId="0" applyFont="1" applyBorder="1"/>
    <xf numFmtId="0" fontId="3" fillId="0" borderId="8" xfId="0" applyFont="1" applyBorder="1"/>
    <xf numFmtId="164" fontId="0" fillId="0" borderId="0" xfId="0" applyNumberFormat="1"/>
    <xf numFmtId="0" fontId="0" fillId="0" borderId="14" xfId="0" applyBorder="1"/>
    <xf numFmtId="164" fontId="0" fillId="0" borderId="14" xfId="0" applyNumberFormat="1" applyBorder="1"/>
    <xf numFmtId="0" fontId="0" fillId="0" borderId="15" xfId="0" applyBorder="1"/>
    <xf numFmtId="0" fontId="0" fillId="0" borderId="1" xfId="0" applyFill="1" applyBorder="1"/>
    <xf numFmtId="0" fontId="0" fillId="0" borderId="15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2" fillId="0" borderId="1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4" fontId="1" fillId="0" borderId="5" xfId="0" applyNumberFormat="1" applyFont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164" fontId="1" fillId="0" borderId="0" xfId="0" applyNumberFormat="1" applyFont="1" applyBorder="1"/>
    <xf numFmtId="0" fontId="0" fillId="0" borderId="16" xfId="0" applyBorder="1"/>
    <xf numFmtId="164" fontId="1" fillId="0" borderId="7" xfId="0" applyNumberFormat="1" applyFont="1" applyBorder="1" applyAlignment="1">
      <alignment horizontal="right"/>
    </xf>
    <xf numFmtId="164" fontId="1" fillId="0" borderId="8" xfId="0" applyNumberFormat="1" applyFont="1" applyBorder="1" applyAlignment="1">
      <alignment horizontal="right"/>
    </xf>
    <xf numFmtId="0" fontId="0" fillId="2" borderId="0" xfId="0" applyFill="1"/>
    <xf numFmtId="0" fontId="3" fillId="0" borderId="5" xfId="0" applyFont="1" applyBorder="1"/>
    <xf numFmtId="164" fontId="0" fillId="0" borderId="11" xfId="0" applyNumberFormat="1" applyBorder="1"/>
    <xf numFmtId="164" fontId="0" fillId="0" borderId="3" xfId="0" applyNumberFormat="1" applyBorder="1"/>
    <xf numFmtId="164" fontId="0" fillId="0" borderId="4" xfId="0" applyNumberFormat="1" applyBorder="1"/>
  </cellXfs>
  <cellStyles count="1">
    <cellStyle name="Standard" xfId="0" builtinId="0"/>
  </cellStyles>
  <dxfs count="7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700"/>
              <a:t>Currency Strength</a:t>
            </a:r>
          </a:p>
        </c:rich>
      </c:tx>
      <c:layout>
        <c:manualLayout>
          <c:xMode val="edge"/>
          <c:yMode val="edge"/>
          <c:x val="0.87596895189783952"/>
          <c:y val="1.614204927282640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0717410323713"/>
          <c:y val="4.4804357082483384E-2"/>
          <c:w val="0.76704396325459689"/>
          <c:h val="0.83371654814334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'RT daily'!$K$4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daily'!$L$4:$R$4</c:f>
              <c:numCache>
                <c:formatCode>0</c:formatCode>
                <c:ptCount val="7"/>
                <c:pt idx="1">
                  <c:v>-49.311294765835669</c:v>
                </c:pt>
                <c:pt idx="2">
                  <c:v>-74.598540145981147</c:v>
                </c:pt>
                <c:pt idx="3">
                  <c:v>-70.485436893204479</c:v>
                </c:pt>
                <c:pt idx="4">
                  <c:v>-48.031496062990186</c:v>
                </c:pt>
                <c:pt idx="5">
                  <c:v>-86.445783132528234</c:v>
                </c:pt>
                <c:pt idx="6">
                  <c:v>-65.77451020010794</c:v>
                </c:pt>
              </c:numCache>
            </c:numRef>
          </c:val>
        </c:ser>
        <c:ser>
          <c:idx val="1"/>
          <c:order val="1"/>
          <c:tx>
            <c:strRef>
              <c:f>'RT daily'!$K$5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daily'!$L$5:$R$5</c:f>
              <c:numCache>
                <c:formatCode>General</c:formatCode>
                <c:ptCount val="7"/>
                <c:pt idx="0" formatCode="0">
                  <c:v>49.311294765835669</c:v>
                </c:pt>
                <c:pt idx="2" formatCode="0">
                  <c:v>-78.947368421049319</c:v>
                </c:pt>
                <c:pt idx="3" formatCode="0">
                  <c:v>-68.144499178977057</c:v>
                </c:pt>
                <c:pt idx="4" formatCode="0">
                  <c:v>-41.520467836257986</c:v>
                </c:pt>
                <c:pt idx="5" formatCode="0">
                  <c:v>-93.112947658406057</c:v>
                </c:pt>
                <c:pt idx="6" formatCode="0">
                  <c:v>-46.482797665770946</c:v>
                </c:pt>
              </c:numCache>
            </c:numRef>
          </c:val>
        </c:ser>
        <c:ser>
          <c:idx val="2"/>
          <c:order val="2"/>
          <c:tx>
            <c:strRef>
              <c:f>'RT daily'!$K$6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daily'!$L$6:$R$6</c:f>
              <c:numCache>
                <c:formatCode>0</c:formatCode>
                <c:ptCount val="7"/>
                <c:pt idx="0">
                  <c:v>74.598540145981147</c:v>
                </c:pt>
                <c:pt idx="1">
                  <c:v>78.947368421049319</c:v>
                </c:pt>
                <c:pt idx="3">
                  <c:v>16.008316008319387</c:v>
                </c:pt>
                <c:pt idx="4">
                  <c:v>46.32034632034712</c:v>
                </c:pt>
                <c:pt idx="5">
                  <c:v>-2.3945267958956684</c:v>
                </c:pt>
                <c:pt idx="6">
                  <c:v>42.696008819960255</c:v>
                </c:pt>
              </c:numCache>
            </c:numRef>
          </c:val>
        </c:ser>
        <c:ser>
          <c:idx val="3"/>
          <c:order val="3"/>
          <c:tx>
            <c:strRef>
              <c:f>'RT daily'!$K$7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daily'!$L$7:$R$7</c:f>
              <c:numCache>
                <c:formatCode>0</c:formatCode>
                <c:ptCount val="7"/>
                <c:pt idx="0">
                  <c:v>70.485436893204479</c:v>
                </c:pt>
                <c:pt idx="1">
                  <c:v>68.144499178977057</c:v>
                </c:pt>
                <c:pt idx="2">
                  <c:v>-16.008316008319387</c:v>
                </c:pt>
                <c:pt idx="4">
                  <c:v>46.315789473681534</c:v>
                </c:pt>
                <c:pt idx="5">
                  <c:v>-17.117117117117235</c:v>
                </c:pt>
                <c:pt idx="6">
                  <c:v>30.364058484085284</c:v>
                </c:pt>
              </c:numCache>
            </c:numRef>
          </c:val>
        </c:ser>
        <c:ser>
          <c:idx val="4"/>
          <c:order val="4"/>
          <c:tx>
            <c:strRef>
              <c:f>'RT daily'!$K$8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daily'!$L$8:$R$8</c:f>
              <c:numCache>
                <c:formatCode>0</c:formatCode>
                <c:ptCount val="7"/>
                <c:pt idx="0">
                  <c:v>48.031496062990186</c:v>
                </c:pt>
                <c:pt idx="1">
                  <c:v>41.520467836257986</c:v>
                </c:pt>
                <c:pt idx="2">
                  <c:v>-46.32034632034712</c:v>
                </c:pt>
                <c:pt idx="3">
                  <c:v>-46.315789473681534</c:v>
                </c:pt>
                <c:pt idx="5">
                  <c:v>-65.995525727072504</c:v>
                </c:pt>
                <c:pt idx="6">
                  <c:v>-13.8159395243706</c:v>
                </c:pt>
              </c:numCache>
            </c:numRef>
          </c:val>
        </c:ser>
        <c:ser>
          <c:idx val="6"/>
          <c:order val="5"/>
          <c:tx>
            <c:strRef>
              <c:f>'RT daily'!$K$9</c:f>
              <c:strCache>
                <c:ptCount val="1"/>
                <c:pt idx="0">
                  <c:v>CAD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daily'!$L$9:$R$9</c:f>
              <c:numCache>
                <c:formatCode>0</c:formatCode>
                <c:ptCount val="7"/>
                <c:pt idx="0">
                  <c:v>86.445783132528234</c:v>
                </c:pt>
                <c:pt idx="1">
                  <c:v>93.112947658406057</c:v>
                </c:pt>
                <c:pt idx="2">
                  <c:v>2.3945267958956684</c:v>
                </c:pt>
                <c:pt idx="3">
                  <c:v>17.117117117117235</c:v>
                </c:pt>
                <c:pt idx="4">
                  <c:v>65.995525727072504</c:v>
                </c:pt>
                <c:pt idx="6">
                  <c:v>53.013180086203946</c:v>
                </c:pt>
              </c:numCache>
            </c:numRef>
          </c:val>
        </c:ser>
        <c:ser>
          <c:idx val="5"/>
          <c:order val="6"/>
          <c:tx>
            <c:strRef>
              <c:f>'RT daily'!$K$10</c:f>
              <c:strCache>
                <c:ptCount val="1"/>
                <c:pt idx="0">
                  <c:v>Summe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cat>
            <c:strRef>
              <c:f>'RT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'RT daily'!$L$10:$R$10</c:f>
              <c:numCache>
                <c:formatCode>0</c:formatCode>
                <c:ptCount val="7"/>
                <c:pt idx="0">
                  <c:v>-65.77451020010794</c:v>
                </c:pt>
                <c:pt idx="1">
                  <c:v>-46.482797665770946</c:v>
                </c:pt>
                <c:pt idx="2">
                  <c:v>42.696008819960255</c:v>
                </c:pt>
                <c:pt idx="3">
                  <c:v>30.364058484085284</c:v>
                </c:pt>
                <c:pt idx="4">
                  <c:v>-13.8159395243706</c:v>
                </c:pt>
                <c:pt idx="5">
                  <c:v>53.013180086203946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951488"/>
        <c:axId val="177953024"/>
      </c:barChart>
      <c:catAx>
        <c:axId val="177951488"/>
        <c:scaling>
          <c:orientation val="minMax"/>
        </c:scaling>
        <c:delete val="0"/>
        <c:axPos val="b"/>
        <c:majorGridlines/>
        <c:majorTickMark val="out"/>
        <c:minorTickMark val="none"/>
        <c:tickLblPos val="low"/>
        <c:crossAx val="177953024"/>
        <c:crosses val="autoZero"/>
        <c:auto val="1"/>
        <c:lblAlgn val="ctr"/>
        <c:lblOffset val="100"/>
        <c:noMultiLvlLbl val="0"/>
      </c:catAx>
      <c:valAx>
        <c:axId val="177953024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951488"/>
        <c:crosses val="autoZero"/>
        <c:crossBetween val="between"/>
        <c:majorUnit val="20"/>
        <c:minorUnit val="5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1h'!$K$4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1h'!$L$4:$R$4</c:f>
              <c:numCache>
                <c:formatCode>0</c:formatCode>
                <c:ptCount val="7"/>
                <c:pt idx="1">
                  <c:v>20</c:v>
                </c:pt>
                <c:pt idx="2">
                  <c:v>77.777777777783257</c:v>
                </c:pt>
                <c:pt idx="3">
                  <c:v>0</c:v>
                </c:pt>
                <c:pt idx="4">
                  <c:v>81.052631578946432</c:v>
                </c:pt>
                <c:pt idx="5">
                  <c:v>-60</c:v>
                </c:pt>
                <c:pt idx="6">
                  <c:v>23.766081871345939</c:v>
                </c:pt>
              </c:numCache>
            </c:numRef>
          </c:val>
        </c:ser>
        <c:ser>
          <c:idx val="1"/>
          <c:order val="1"/>
          <c:tx>
            <c:strRef>
              <c:f>'running 1h'!$K$5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1h'!$L$5:$R$5</c:f>
              <c:numCache>
                <c:formatCode>General</c:formatCode>
                <c:ptCount val="7"/>
                <c:pt idx="0" formatCode="0">
                  <c:v>-20</c:v>
                </c:pt>
                <c:pt idx="2" formatCode="0">
                  <c:v>33.333333333333336</c:v>
                </c:pt>
                <c:pt idx="3" formatCode="0">
                  <c:v>-55.555555555566521</c:v>
                </c:pt>
                <c:pt idx="4" formatCode="0">
                  <c:v>23.529411764755054</c:v>
                </c:pt>
                <c:pt idx="5" formatCode="0">
                  <c:v>-88.235294117648593</c:v>
                </c:pt>
                <c:pt idx="6" formatCode="0">
                  <c:v>-21.385620915025346</c:v>
                </c:pt>
              </c:numCache>
            </c:numRef>
          </c:val>
        </c:ser>
        <c:ser>
          <c:idx val="2"/>
          <c:order val="2"/>
          <c:tx>
            <c:strRef>
              <c:f>'running 1h'!$K$6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1h'!$L$6:$R$6</c:f>
              <c:numCache>
                <c:formatCode>0</c:formatCode>
                <c:ptCount val="7"/>
                <c:pt idx="0">
                  <c:v>-77.777777777783257</c:v>
                </c:pt>
                <c:pt idx="1">
                  <c:v>-33.333333333333336</c:v>
                </c:pt>
                <c:pt idx="3">
                  <c:v>-80</c:v>
                </c:pt>
                <c:pt idx="4">
                  <c:v>14.28571428573577</c:v>
                </c:pt>
                <c:pt idx="5">
                  <c:v>-90.909090909092754</c:v>
                </c:pt>
                <c:pt idx="6">
                  <c:v>-53.546897546894719</c:v>
                </c:pt>
              </c:numCache>
            </c:numRef>
          </c:val>
        </c:ser>
        <c:ser>
          <c:idx val="3"/>
          <c:order val="3"/>
          <c:tx>
            <c:strRef>
              <c:f>'running 1h'!$K$7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1h'!$L$7:$R$7</c:f>
              <c:numCache>
                <c:formatCode>0</c:formatCode>
                <c:ptCount val="7"/>
                <c:pt idx="0">
                  <c:v>0</c:v>
                </c:pt>
                <c:pt idx="1">
                  <c:v>55.555555555566521</c:v>
                </c:pt>
                <c:pt idx="2">
                  <c:v>80</c:v>
                </c:pt>
                <c:pt idx="4">
                  <c:v>64.556962025330577</c:v>
                </c:pt>
                <c:pt idx="5">
                  <c:v>-63.6363636363563</c:v>
                </c:pt>
                <c:pt idx="6">
                  <c:v>27.295230788908157</c:v>
                </c:pt>
              </c:numCache>
            </c:numRef>
          </c:val>
        </c:ser>
        <c:ser>
          <c:idx val="4"/>
          <c:order val="4"/>
          <c:tx>
            <c:strRef>
              <c:f>'running 1h'!$K$8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1h'!$L$8:$R$8</c:f>
              <c:numCache>
                <c:formatCode>0</c:formatCode>
                <c:ptCount val="7"/>
                <c:pt idx="0">
                  <c:v>-81.052631578946432</c:v>
                </c:pt>
                <c:pt idx="1">
                  <c:v>-23.529411764755054</c:v>
                </c:pt>
                <c:pt idx="2">
                  <c:v>-14.28571428573577</c:v>
                </c:pt>
                <c:pt idx="3">
                  <c:v>-64.556962025330577</c:v>
                </c:pt>
                <c:pt idx="5">
                  <c:v>-80.891719745223497</c:v>
                </c:pt>
                <c:pt idx="6">
                  <c:v>-52.863287879998268</c:v>
                </c:pt>
              </c:numCache>
            </c:numRef>
          </c:val>
        </c:ser>
        <c:ser>
          <c:idx val="5"/>
          <c:order val="5"/>
          <c:tx>
            <c:strRef>
              <c:f>'running 1h'!$K$9</c:f>
              <c:strCache>
                <c:ptCount val="1"/>
                <c:pt idx="0">
                  <c:v>CAD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1h'!$L$9:$R$9</c:f>
              <c:numCache>
                <c:formatCode>0</c:formatCode>
                <c:ptCount val="7"/>
                <c:pt idx="0">
                  <c:v>60</c:v>
                </c:pt>
                <c:pt idx="1">
                  <c:v>88.235294117648593</c:v>
                </c:pt>
                <c:pt idx="2">
                  <c:v>90.909090909092754</c:v>
                </c:pt>
                <c:pt idx="3">
                  <c:v>63.6363636363563</c:v>
                </c:pt>
                <c:pt idx="4">
                  <c:v>80.891719745223497</c:v>
                </c:pt>
                <c:pt idx="6">
                  <c:v>76.734493681664233</c:v>
                </c:pt>
              </c:numCache>
            </c:numRef>
          </c:val>
        </c:ser>
        <c:ser>
          <c:idx val="6"/>
          <c:order val="6"/>
          <c:tx>
            <c:strRef>
              <c:f>'running 1h'!$K$10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1h'!$L$3:$R$3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1h'!$L$10:$R$10</c:f>
              <c:numCache>
                <c:formatCode>0</c:formatCode>
                <c:ptCount val="7"/>
                <c:pt idx="0">
                  <c:v>23.766081871345939</c:v>
                </c:pt>
                <c:pt idx="1">
                  <c:v>-21.385620915025346</c:v>
                </c:pt>
                <c:pt idx="2">
                  <c:v>-53.546897546894719</c:v>
                </c:pt>
                <c:pt idx="3">
                  <c:v>27.295230788908157</c:v>
                </c:pt>
                <c:pt idx="4">
                  <c:v>-52.863287879998268</c:v>
                </c:pt>
                <c:pt idx="5">
                  <c:v>76.734493681664233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0302464"/>
        <c:axId val="250304384"/>
      </c:barChart>
      <c:catAx>
        <c:axId val="2503024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50304384"/>
        <c:crosses val="autoZero"/>
        <c:auto val="1"/>
        <c:lblAlgn val="ctr"/>
        <c:lblOffset val="100"/>
        <c:noMultiLvlLbl val="0"/>
      </c:catAx>
      <c:valAx>
        <c:axId val="250304384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0302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1h'!$K$21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1h'!$L$21:$R$21</c:f>
              <c:numCache>
                <c:formatCode>0</c:formatCode>
                <c:ptCount val="7"/>
                <c:pt idx="1">
                  <c:v>-100</c:v>
                </c:pt>
                <c:pt idx="2">
                  <c:v>-41.176470588216851</c:v>
                </c:pt>
                <c:pt idx="3">
                  <c:v>9.0909090909072567</c:v>
                </c:pt>
                <c:pt idx="4">
                  <c:v>-69.105691056906437</c:v>
                </c:pt>
                <c:pt idx="5">
                  <c:v>-55.555555555566521</c:v>
                </c:pt>
                <c:pt idx="6">
                  <c:v>-51.349361621956518</c:v>
                </c:pt>
              </c:numCache>
            </c:numRef>
          </c:val>
        </c:ser>
        <c:ser>
          <c:idx val="1"/>
          <c:order val="1"/>
          <c:tx>
            <c:strRef>
              <c:f>'running 1h'!$K$22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1h'!$L$22:$R$22</c:f>
              <c:numCache>
                <c:formatCode>General</c:formatCode>
                <c:ptCount val="7"/>
                <c:pt idx="0" formatCode="0">
                  <c:v>100</c:v>
                </c:pt>
                <c:pt idx="2" formatCode="0">
                  <c:v>42.85714285716098</c:v>
                </c:pt>
                <c:pt idx="3" formatCode="0">
                  <c:v>86.666666666668633</c:v>
                </c:pt>
                <c:pt idx="4" formatCode="0">
                  <c:v>-19.0751445086464</c:v>
                </c:pt>
                <c:pt idx="5" formatCode="0">
                  <c:v>27.272727272741953</c:v>
                </c:pt>
                <c:pt idx="6" formatCode="0">
                  <c:v>47.54427845758503</c:v>
                </c:pt>
              </c:numCache>
            </c:numRef>
          </c:val>
        </c:ser>
        <c:ser>
          <c:idx val="2"/>
          <c:order val="2"/>
          <c:tx>
            <c:strRef>
              <c:f>'running 1h'!$K$23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1h'!$L$23:$R$23</c:f>
              <c:numCache>
                <c:formatCode>0</c:formatCode>
                <c:ptCount val="7"/>
                <c:pt idx="0">
                  <c:v>41.176470588216851</c:v>
                </c:pt>
                <c:pt idx="1">
                  <c:v>-42.85714285716098</c:v>
                </c:pt>
                <c:pt idx="3">
                  <c:v>54.545454545454547</c:v>
                </c:pt>
                <c:pt idx="4">
                  <c:v>-40.243902439011705</c:v>
                </c:pt>
                <c:pt idx="5">
                  <c:v>-6.6666666666804826</c:v>
                </c:pt>
                <c:pt idx="6">
                  <c:v>1.190842634163646</c:v>
                </c:pt>
              </c:numCache>
            </c:numRef>
          </c:val>
        </c:ser>
        <c:ser>
          <c:idx val="3"/>
          <c:order val="3"/>
          <c:tx>
            <c:strRef>
              <c:f>'running 1h'!$K$24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1h'!$L$24:$R$24</c:f>
              <c:numCache>
                <c:formatCode>0</c:formatCode>
                <c:ptCount val="7"/>
                <c:pt idx="0">
                  <c:v>-9.0909090909072567</c:v>
                </c:pt>
                <c:pt idx="1">
                  <c:v>-86.666666666668633</c:v>
                </c:pt>
                <c:pt idx="2">
                  <c:v>-54.545454545454547</c:v>
                </c:pt>
                <c:pt idx="4">
                  <c:v>-60.683760683764007</c:v>
                </c:pt>
                <c:pt idx="5">
                  <c:v>-80.000000000008882</c:v>
                </c:pt>
                <c:pt idx="6">
                  <c:v>-58.197358197360664</c:v>
                </c:pt>
              </c:numCache>
            </c:numRef>
          </c:val>
        </c:ser>
        <c:ser>
          <c:idx val="4"/>
          <c:order val="4"/>
          <c:tx>
            <c:strRef>
              <c:f>'running 1h'!$K$25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1h'!$L$25:$R$25</c:f>
              <c:numCache>
                <c:formatCode>0</c:formatCode>
                <c:ptCount val="7"/>
                <c:pt idx="0">
                  <c:v>69.105691056906437</c:v>
                </c:pt>
                <c:pt idx="1">
                  <c:v>19.0751445086464</c:v>
                </c:pt>
                <c:pt idx="2">
                  <c:v>40.243902439011705</c:v>
                </c:pt>
                <c:pt idx="3">
                  <c:v>60.683760683764007</c:v>
                </c:pt>
                <c:pt idx="5">
                  <c:v>17.894736842101171</c:v>
                </c:pt>
                <c:pt idx="6">
                  <c:v>41.400647106085941</c:v>
                </c:pt>
              </c:numCache>
            </c:numRef>
          </c:val>
        </c:ser>
        <c:ser>
          <c:idx val="5"/>
          <c:order val="5"/>
          <c:tx>
            <c:strRef>
              <c:f>'running 1h'!$K$26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1h'!$L$26:$R$26</c:f>
              <c:numCache>
                <c:formatCode>0</c:formatCode>
                <c:ptCount val="7"/>
                <c:pt idx="0">
                  <c:v>55.555555555566521</c:v>
                </c:pt>
                <c:pt idx="1">
                  <c:v>-27.272727272741953</c:v>
                </c:pt>
                <c:pt idx="2">
                  <c:v>6.6666666666804826</c:v>
                </c:pt>
                <c:pt idx="3">
                  <c:v>80.000000000008882</c:v>
                </c:pt>
                <c:pt idx="4">
                  <c:v>-17.894736842101171</c:v>
                </c:pt>
                <c:pt idx="6">
                  <c:v>19.410951621482553</c:v>
                </c:pt>
              </c:numCache>
            </c:numRef>
          </c:val>
        </c:ser>
        <c:ser>
          <c:idx val="6"/>
          <c:order val="6"/>
          <c:tx>
            <c:strRef>
              <c:f>'running 1h'!$K$27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1h'!$L$20:$R$20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1h'!$L$27:$R$27</c:f>
              <c:numCache>
                <c:formatCode>0</c:formatCode>
                <c:ptCount val="7"/>
                <c:pt idx="0">
                  <c:v>-51.349361621956518</c:v>
                </c:pt>
                <c:pt idx="1">
                  <c:v>47.54427845758503</c:v>
                </c:pt>
                <c:pt idx="2">
                  <c:v>1.190842634163646</c:v>
                </c:pt>
                <c:pt idx="3">
                  <c:v>-58.197358197360664</c:v>
                </c:pt>
                <c:pt idx="4">
                  <c:v>41.400647106085941</c:v>
                </c:pt>
                <c:pt idx="5">
                  <c:v>19.410951621482553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362240"/>
        <c:axId val="264388608"/>
      </c:barChart>
      <c:catAx>
        <c:axId val="26436224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64388608"/>
        <c:crosses val="autoZero"/>
        <c:auto val="1"/>
        <c:lblAlgn val="ctr"/>
        <c:lblOffset val="100"/>
        <c:noMultiLvlLbl val="0"/>
      </c:catAx>
      <c:valAx>
        <c:axId val="264388608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4362240"/>
        <c:crosses val="autoZero"/>
        <c:crossBetween val="between"/>
        <c:majorUnit val="2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4" r="0.7000000000000004" t="0.78740157499999996" header="0.30000000000000021" footer="0.30000000000000021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4h'!$K$4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4h'!$L$4:$R$4</c:f>
              <c:numCache>
                <c:formatCode>0</c:formatCode>
                <c:ptCount val="7"/>
                <c:pt idx="1">
                  <c:v>20</c:v>
                </c:pt>
                <c:pt idx="2">
                  <c:v>77.777777777783257</c:v>
                </c:pt>
                <c:pt idx="3">
                  <c:v>0</c:v>
                </c:pt>
                <c:pt idx="4">
                  <c:v>81.052631578946432</c:v>
                </c:pt>
                <c:pt idx="5">
                  <c:v>-60</c:v>
                </c:pt>
                <c:pt idx="6">
                  <c:v>23.766081871345939</c:v>
                </c:pt>
              </c:numCache>
            </c:numRef>
          </c:val>
        </c:ser>
        <c:ser>
          <c:idx val="1"/>
          <c:order val="1"/>
          <c:tx>
            <c:strRef>
              <c:f>'running 4h'!$K$5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4h'!$L$5:$R$5</c:f>
              <c:numCache>
                <c:formatCode>General</c:formatCode>
                <c:ptCount val="7"/>
                <c:pt idx="0" formatCode="0">
                  <c:v>-20</c:v>
                </c:pt>
                <c:pt idx="2" formatCode="0">
                  <c:v>33.333333333333336</c:v>
                </c:pt>
                <c:pt idx="3" formatCode="0">
                  <c:v>-55.555555555566521</c:v>
                </c:pt>
                <c:pt idx="4" formatCode="0">
                  <c:v>23.529411764755054</c:v>
                </c:pt>
                <c:pt idx="5" formatCode="0">
                  <c:v>-88.235294117648593</c:v>
                </c:pt>
                <c:pt idx="6" formatCode="0">
                  <c:v>-21.385620915025346</c:v>
                </c:pt>
              </c:numCache>
            </c:numRef>
          </c:val>
        </c:ser>
        <c:ser>
          <c:idx val="2"/>
          <c:order val="2"/>
          <c:tx>
            <c:strRef>
              <c:f>'running 4h'!$K$6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4h'!$L$6:$R$6</c:f>
              <c:numCache>
                <c:formatCode>0</c:formatCode>
                <c:ptCount val="7"/>
                <c:pt idx="0">
                  <c:v>-77.777777777783257</c:v>
                </c:pt>
                <c:pt idx="1">
                  <c:v>-33.333333333333336</c:v>
                </c:pt>
                <c:pt idx="3">
                  <c:v>-80</c:v>
                </c:pt>
                <c:pt idx="4">
                  <c:v>14.28571428573577</c:v>
                </c:pt>
                <c:pt idx="5">
                  <c:v>-90.909090909092754</c:v>
                </c:pt>
                <c:pt idx="6">
                  <c:v>-53.546897546894719</c:v>
                </c:pt>
              </c:numCache>
            </c:numRef>
          </c:val>
        </c:ser>
        <c:ser>
          <c:idx val="3"/>
          <c:order val="3"/>
          <c:tx>
            <c:strRef>
              <c:f>'running 4h'!$K$7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4h'!$L$7:$R$7</c:f>
              <c:numCache>
                <c:formatCode>0</c:formatCode>
                <c:ptCount val="7"/>
                <c:pt idx="0">
                  <c:v>0</c:v>
                </c:pt>
                <c:pt idx="1">
                  <c:v>55.555555555566521</c:v>
                </c:pt>
                <c:pt idx="2">
                  <c:v>80</c:v>
                </c:pt>
                <c:pt idx="4">
                  <c:v>64.556962025330577</c:v>
                </c:pt>
                <c:pt idx="5">
                  <c:v>-63.6363636363563</c:v>
                </c:pt>
                <c:pt idx="6">
                  <c:v>27.295230788908157</c:v>
                </c:pt>
              </c:numCache>
            </c:numRef>
          </c:val>
        </c:ser>
        <c:ser>
          <c:idx val="4"/>
          <c:order val="4"/>
          <c:tx>
            <c:strRef>
              <c:f>'running 4h'!$K$8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4h'!$L$8:$R$8</c:f>
              <c:numCache>
                <c:formatCode>0</c:formatCode>
                <c:ptCount val="7"/>
                <c:pt idx="0">
                  <c:v>-81.052631578946432</c:v>
                </c:pt>
                <c:pt idx="1">
                  <c:v>-23.529411764755054</c:v>
                </c:pt>
                <c:pt idx="2">
                  <c:v>-14.28571428573577</c:v>
                </c:pt>
                <c:pt idx="3">
                  <c:v>-64.556962025330577</c:v>
                </c:pt>
                <c:pt idx="5">
                  <c:v>-80.891719745223497</c:v>
                </c:pt>
                <c:pt idx="6">
                  <c:v>-52.863287879998268</c:v>
                </c:pt>
              </c:numCache>
            </c:numRef>
          </c:val>
        </c:ser>
        <c:ser>
          <c:idx val="5"/>
          <c:order val="5"/>
          <c:tx>
            <c:strRef>
              <c:f>'running 4h'!$K$9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4h'!$L$9:$R$9</c:f>
              <c:numCache>
                <c:formatCode>0</c:formatCode>
                <c:ptCount val="7"/>
                <c:pt idx="0">
                  <c:v>60</c:v>
                </c:pt>
                <c:pt idx="1">
                  <c:v>88.235294117648593</c:v>
                </c:pt>
                <c:pt idx="2">
                  <c:v>90.909090909092754</c:v>
                </c:pt>
                <c:pt idx="3">
                  <c:v>63.6363636363563</c:v>
                </c:pt>
                <c:pt idx="4">
                  <c:v>80.891719745223497</c:v>
                </c:pt>
                <c:pt idx="6">
                  <c:v>76.734493681664233</c:v>
                </c:pt>
              </c:numCache>
            </c:numRef>
          </c:val>
        </c:ser>
        <c:ser>
          <c:idx val="6"/>
          <c:order val="6"/>
          <c:tx>
            <c:strRef>
              <c:f>'running 4h'!$K$10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4h'!$L$3:$R$3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4h'!$L$10:$R$10</c:f>
              <c:numCache>
                <c:formatCode>0</c:formatCode>
                <c:ptCount val="7"/>
                <c:pt idx="0">
                  <c:v>23.766081871345939</c:v>
                </c:pt>
                <c:pt idx="1">
                  <c:v>-21.385620915025346</c:v>
                </c:pt>
                <c:pt idx="2">
                  <c:v>-53.546897546894719</c:v>
                </c:pt>
                <c:pt idx="3">
                  <c:v>27.295230788908157</c:v>
                </c:pt>
                <c:pt idx="4">
                  <c:v>-52.863287879998268</c:v>
                </c:pt>
                <c:pt idx="5">
                  <c:v>76.734493681664233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899200"/>
        <c:axId val="265494912"/>
      </c:barChart>
      <c:catAx>
        <c:axId val="26489920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65494912"/>
        <c:crosses val="autoZero"/>
        <c:auto val="1"/>
        <c:lblAlgn val="ctr"/>
        <c:lblOffset val="100"/>
        <c:noMultiLvlLbl val="0"/>
      </c:catAx>
      <c:valAx>
        <c:axId val="265494912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4899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4h'!$K$21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4h'!$L$21:$R$21</c:f>
              <c:numCache>
                <c:formatCode>0</c:formatCode>
                <c:ptCount val="7"/>
                <c:pt idx="1">
                  <c:v>-84.615384615387242</c:v>
                </c:pt>
                <c:pt idx="2">
                  <c:v>-74.999999999991672</c:v>
                </c:pt>
                <c:pt idx="3">
                  <c:v>-36.842105263153584</c:v>
                </c:pt>
                <c:pt idx="4">
                  <c:v>-78.531073446320605</c:v>
                </c:pt>
                <c:pt idx="5">
                  <c:v>26.315789473692821</c:v>
                </c:pt>
                <c:pt idx="6">
                  <c:v>-49.734554770232052</c:v>
                </c:pt>
              </c:numCache>
            </c:numRef>
          </c:val>
        </c:ser>
        <c:ser>
          <c:idx val="1"/>
          <c:order val="1"/>
          <c:tx>
            <c:strRef>
              <c:f>'running 4h'!$K$22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4h'!$L$22:$R$22</c:f>
              <c:numCache>
                <c:formatCode>General</c:formatCode>
                <c:ptCount val="7"/>
                <c:pt idx="0" formatCode="0">
                  <c:v>84.615384615387242</c:v>
                </c:pt>
                <c:pt idx="2" formatCode="0">
                  <c:v>-47.36842105262604</c:v>
                </c:pt>
                <c:pt idx="3" formatCode="0">
                  <c:v>-6.6666666666656793</c:v>
                </c:pt>
                <c:pt idx="4" formatCode="0">
                  <c:v>-44.664031620545636</c:v>
                </c:pt>
                <c:pt idx="5" formatCode="0">
                  <c:v>30.769230769230766</c:v>
                </c:pt>
                <c:pt idx="6" formatCode="0">
                  <c:v>3.3370992089561304</c:v>
                </c:pt>
              </c:numCache>
            </c:numRef>
          </c:val>
        </c:ser>
        <c:ser>
          <c:idx val="2"/>
          <c:order val="2"/>
          <c:tx>
            <c:strRef>
              <c:f>'running 4h'!$K$23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4h'!$L$23:$R$23</c:f>
              <c:numCache>
                <c:formatCode>0</c:formatCode>
                <c:ptCount val="7"/>
                <c:pt idx="0">
                  <c:v>74.999999999991672</c:v>
                </c:pt>
                <c:pt idx="1">
                  <c:v>47.36842105262604</c:v>
                </c:pt>
                <c:pt idx="3">
                  <c:v>31.818181818178605</c:v>
                </c:pt>
                <c:pt idx="4">
                  <c:v>-6.4133016627048232</c:v>
                </c:pt>
                <c:pt idx="5">
                  <c:v>55.555555555553212</c:v>
                </c:pt>
                <c:pt idx="6">
                  <c:v>40.665771352728946</c:v>
                </c:pt>
              </c:numCache>
            </c:numRef>
          </c:val>
        </c:ser>
        <c:ser>
          <c:idx val="3"/>
          <c:order val="3"/>
          <c:tx>
            <c:strRef>
              <c:f>'running 4h'!$K$24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4h'!$L$24:$R$24</c:f>
              <c:numCache>
                <c:formatCode>0</c:formatCode>
                <c:ptCount val="7"/>
                <c:pt idx="0">
                  <c:v>36.842105263153584</c:v>
                </c:pt>
                <c:pt idx="1">
                  <c:v>6.6666666666656793</c:v>
                </c:pt>
                <c:pt idx="2">
                  <c:v>-31.818181818178605</c:v>
                </c:pt>
                <c:pt idx="4">
                  <c:v>-74.725274725277302</c:v>
                </c:pt>
                <c:pt idx="5">
                  <c:v>37.931034482748053</c:v>
                </c:pt>
                <c:pt idx="6">
                  <c:v>-5.0207300261777181</c:v>
                </c:pt>
              </c:numCache>
            </c:numRef>
          </c:val>
        </c:ser>
        <c:ser>
          <c:idx val="4"/>
          <c:order val="4"/>
          <c:tx>
            <c:strRef>
              <c:f>'running 4h'!$K$25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4h'!$L$25:$R$25</c:f>
              <c:numCache>
                <c:formatCode>0</c:formatCode>
                <c:ptCount val="7"/>
                <c:pt idx="0">
                  <c:v>78.531073446320605</c:v>
                </c:pt>
                <c:pt idx="1">
                  <c:v>44.664031620545636</c:v>
                </c:pt>
                <c:pt idx="2">
                  <c:v>6.4133016627048232</c:v>
                </c:pt>
                <c:pt idx="3">
                  <c:v>74.725274725277302</c:v>
                </c:pt>
                <c:pt idx="5">
                  <c:v>68.421052631575918</c:v>
                </c:pt>
                <c:pt idx="6">
                  <c:v>54.550946817284853</c:v>
                </c:pt>
              </c:numCache>
            </c:numRef>
          </c:val>
        </c:ser>
        <c:ser>
          <c:idx val="5"/>
          <c:order val="5"/>
          <c:tx>
            <c:strRef>
              <c:f>'running 4h'!$K$26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4h'!$L$26:$R$26</c:f>
              <c:numCache>
                <c:formatCode>0</c:formatCode>
                <c:ptCount val="7"/>
                <c:pt idx="0">
                  <c:v>-26.315789473692821</c:v>
                </c:pt>
                <c:pt idx="1">
                  <c:v>-30.769230769230766</c:v>
                </c:pt>
                <c:pt idx="2">
                  <c:v>-55.555555555553212</c:v>
                </c:pt>
                <c:pt idx="3">
                  <c:v>-37.931034482748053</c:v>
                </c:pt>
                <c:pt idx="4">
                  <c:v>-68.421052631575918</c:v>
                </c:pt>
                <c:pt idx="6">
                  <c:v>-43.798532582560156</c:v>
                </c:pt>
              </c:numCache>
            </c:numRef>
          </c:val>
        </c:ser>
        <c:ser>
          <c:idx val="6"/>
          <c:order val="6"/>
          <c:tx>
            <c:strRef>
              <c:f>'running 4h'!$K$27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4h'!$L$20:$R$20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4h'!$L$27:$R$27</c:f>
              <c:numCache>
                <c:formatCode>0</c:formatCode>
                <c:ptCount val="7"/>
                <c:pt idx="0">
                  <c:v>-49.734554770232052</c:v>
                </c:pt>
                <c:pt idx="1">
                  <c:v>3.3370992089561304</c:v>
                </c:pt>
                <c:pt idx="2">
                  <c:v>40.665771352728946</c:v>
                </c:pt>
                <c:pt idx="3">
                  <c:v>-5.0207300261777181</c:v>
                </c:pt>
                <c:pt idx="4">
                  <c:v>54.550946817284853</c:v>
                </c:pt>
                <c:pt idx="5">
                  <c:v>-43.798532582560156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852992"/>
        <c:axId val="288941184"/>
      </c:barChart>
      <c:catAx>
        <c:axId val="28885299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88941184"/>
        <c:crosses val="autoZero"/>
        <c:auto val="1"/>
        <c:lblAlgn val="ctr"/>
        <c:lblOffset val="100"/>
        <c:noMultiLvlLbl val="0"/>
      </c:catAx>
      <c:valAx>
        <c:axId val="288941184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8852992"/>
        <c:crosses val="autoZero"/>
        <c:crossBetween val="between"/>
        <c:majorUnit val="2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000000000000004" r="0.7000000000000004" t="0.78740157499999996" header="0.30000000000000021" footer="0.30000000000000021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daily'!$K$4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daily'!$L$4:$R$4</c:f>
              <c:numCache>
                <c:formatCode>0</c:formatCode>
                <c:ptCount val="7"/>
                <c:pt idx="1">
                  <c:v>-55.555555555561035</c:v>
                </c:pt>
                <c:pt idx="2">
                  <c:v>-73.5294117647028</c:v>
                </c:pt>
                <c:pt idx="3">
                  <c:v>-72.549019607842368</c:v>
                </c:pt>
                <c:pt idx="4">
                  <c:v>-45.406824146982075</c:v>
                </c:pt>
                <c:pt idx="5">
                  <c:v>-85.074626865673125</c:v>
                </c:pt>
                <c:pt idx="6">
                  <c:v>-66.423087588152285</c:v>
                </c:pt>
              </c:numCache>
            </c:numRef>
          </c:val>
        </c:ser>
        <c:ser>
          <c:idx val="1"/>
          <c:order val="1"/>
          <c:tx>
            <c:strRef>
              <c:f>'running daily'!$K$5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daily'!$L$5:$R$5</c:f>
              <c:numCache>
                <c:formatCode>General</c:formatCode>
                <c:ptCount val="7"/>
                <c:pt idx="0" formatCode="0">
                  <c:v>55.555555555561035</c:v>
                </c:pt>
                <c:pt idx="2" formatCode="0">
                  <c:v>-67.999999999996803</c:v>
                </c:pt>
                <c:pt idx="3" formatCode="0">
                  <c:v>-67.213114754094661</c:v>
                </c:pt>
                <c:pt idx="4" formatCode="0">
                  <c:v>-32.1637426900473</c:v>
                </c:pt>
                <c:pt idx="5" formatCode="0">
                  <c:v>-91.780821917808964</c:v>
                </c:pt>
                <c:pt idx="6" formatCode="0">
                  <c:v>-40.720424761277343</c:v>
                </c:pt>
              </c:numCache>
            </c:numRef>
          </c:val>
        </c:ser>
        <c:ser>
          <c:idx val="2"/>
          <c:order val="2"/>
          <c:tx>
            <c:strRef>
              <c:f>'running daily'!$K$6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daily'!$L$6:$R$6</c:f>
              <c:numCache>
                <c:formatCode>0</c:formatCode>
                <c:ptCount val="7"/>
                <c:pt idx="0">
                  <c:v>73.5294117647028</c:v>
                </c:pt>
                <c:pt idx="1">
                  <c:v>67.999999999996803</c:v>
                </c:pt>
                <c:pt idx="3">
                  <c:v>16.666666666665122</c:v>
                </c:pt>
                <c:pt idx="4">
                  <c:v>47.186147186152141</c:v>
                </c:pt>
                <c:pt idx="5">
                  <c:v>-4.5454545454540867</c:v>
                </c:pt>
                <c:pt idx="6">
                  <c:v>40.167354214412555</c:v>
                </c:pt>
              </c:numCache>
            </c:numRef>
          </c:val>
        </c:ser>
        <c:ser>
          <c:idx val="3"/>
          <c:order val="3"/>
          <c:tx>
            <c:strRef>
              <c:f>'running daily'!$K$7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daily'!$L$7:$R$7</c:f>
              <c:numCache>
                <c:formatCode>0</c:formatCode>
                <c:ptCount val="7"/>
                <c:pt idx="0">
                  <c:v>72.549019607842368</c:v>
                </c:pt>
                <c:pt idx="1">
                  <c:v>67.213114754094661</c:v>
                </c:pt>
                <c:pt idx="2">
                  <c:v>-16.666666666665122</c:v>
                </c:pt>
                <c:pt idx="4">
                  <c:v>50.526315789476207</c:v>
                </c:pt>
                <c:pt idx="5">
                  <c:v>-15.555555555549853</c:v>
                </c:pt>
                <c:pt idx="6">
                  <c:v>31.61324558583965</c:v>
                </c:pt>
              </c:numCache>
            </c:numRef>
          </c:val>
        </c:ser>
        <c:ser>
          <c:idx val="4"/>
          <c:order val="4"/>
          <c:tx>
            <c:strRef>
              <c:f>'running daily'!$K$8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daily'!$L$8:$R$8</c:f>
              <c:numCache>
                <c:formatCode>0</c:formatCode>
                <c:ptCount val="7"/>
                <c:pt idx="0">
                  <c:v>45.406824146982075</c:v>
                </c:pt>
                <c:pt idx="1">
                  <c:v>32.1637426900473</c:v>
                </c:pt>
                <c:pt idx="2">
                  <c:v>-47.186147186152141</c:v>
                </c:pt>
                <c:pt idx="3">
                  <c:v>-50.526315789476207</c:v>
                </c:pt>
                <c:pt idx="5">
                  <c:v>-68.680089485461849</c:v>
                </c:pt>
                <c:pt idx="6">
                  <c:v>-17.764397124812167</c:v>
                </c:pt>
              </c:numCache>
            </c:numRef>
          </c:val>
        </c:ser>
        <c:ser>
          <c:idx val="5"/>
          <c:order val="5"/>
          <c:tx>
            <c:strRef>
              <c:f>'running daily'!$K$9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daily'!$L$9:$R$9</c:f>
              <c:numCache>
                <c:formatCode>0</c:formatCode>
                <c:ptCount val="7"/>
                <c:pt idx="0">
                  <c:v>85.074626865673125</c:v>
                </c:pt>
                <c:pt idx="1">
                  <c:v>91.780821917808964</c:v>
                </c:pt>
                <c:pt idx="2">
                  <c:v>4.5454545454540867</c:v>
                </c:pt>
                <c:pt idx="3">
                  <c:v>15.555555555549853</c:v>
                </c:pt>
                <c:pt idx="4">
                  <c:v>68.680089485461849</c:v>
                </c:pt>
                <c:pt idx="6">
                  <c:v>53.127309673989565</c:v>
                </c:pt>
              </c:numCache>
            </c:numRef>
          </c:val>
        </c:ser>
        <c:ser>
          <c:idx val="6"/>
          <c:order val="6"/>
          <c:tx>
            <c:strRef>
              <c:f>'running daily'!$K$10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daily'!$L$3:$R$3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daily'!$L$10:$R$10</c:f>
              <c:numCache>
                <c:formatCode>0</c:formatCode>
                <c:ptCount val="7"/>
                <c:pt idx="0">
                  <c:v>-66.423087588152285</c:v>
                </c:pt>
                <c:pt idx="1">
                  <c:v>-40.720424761277343</c:v>
                </c:pt>
                <c:pt idx="2">
                  <c:v>40.167354214412555</c:v>
                </c:pt>
                <c:pt idx="3">
                  <c:v>31.61324558583965</c:v>
                </c:pt>
                <c:pt idx="4">
                  <c:v>-17.764397124812167</c:v>
                </c:pt>
                <c:pt idx="5">
                  <c:v>53.127309673989565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101184"/>
        <c:axId val="193102976"/>
      </c:barChart>
      <c:catAx>
        <c:axId val="19310118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102976"/>
        <c:crosses val="autoZero"/>
        <c:auto val="1"/>
        <c:lblAlgn val="ctr"/>
        <c:lblOffset val="100"/>
        <c:noMultiLvlLbl val="0"/>
      </c:catAx>
      <c:valAx>
        <c:axId val="193102976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1011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daily'!$K$21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daily'!$L$21:$R$21</c:f>
              <c:numCache>
                <c:formatCode>0</c:formatCode>
                <c:ptCount val="7"/>
                <c:pt idx="1">
                  <c:v>92.000000000000711</c:v>
                </c:pt>
                <c:pt idx="2">
                  <c:v>96.49122807017585</c:v>
                </c:pt>
                <c:pt idx="3">
                  <c:v>-15.25423728813387</c:v>
                </c:pt>
                <c:pt idx="4">
                  <c:v>45.882352941176705</c:v>
                </c:pt>
                <c:pt idx="5">
                  <c:v>-68.421052631580181</c:v>
                </c:pt>
                <c:pt idx="6">
                  <c:v>30.139658218327845</c:v>
                </c:pt>
              </c:numCache>
            </c:numRef>
          </c:val>
        </c:ser>
        <c:ser>
          <c:idx val="1"/>
          <c:order val="1"/>
          <c:tx>
            <c:strRef>
              <c:f>'running daily'!$K$22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daily'!$L$22:$R$22</c:f>
              <c:numCache>
                <c:formatCode>General</c:formatCode>
                <c:ptCount val="7"/>
                <c:pt idx="0" formatCode="0">
                  <c:v>-92.000000000000711</c:v>
                </c:pt>
                <c:pt idx="2" formatCode="0">
                  <c:v>-14.285714285712022</c:v>
                </c:pt>
                <c:pt idx="3" formatCode="0">
                  <c:v>-94.805194805189487</c:v>
                </c:pt>
                <c:pt idx="4" formatCode="0">
                  <c:v>-100</c:v>
                </c:pt>
                <c:pt idx="5" formatCode="0">
                  <c:v>-93.023255813954208</c:v>
                </c:pt>
                <c:pt idx="6" formatCode="0">
                  <c:v>-78.822832980971285</c:v>
                </c:pt>
              </c:numCache>
            </c:numRef>
          </c:val>
        </c:ser>
        <c:ser>
          <c:idx val="2"/>
          <c:order val="2"/>
          <c:tx>
            <c:strRef>
              <c:f>'running daily'!$K$23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daily'!$L$23:$R$23</c:f>
              <c:numCache>
                <c:formatCode>0</c:formatCode>
                <c:ptCount val="7"/>
                <c:pt idx="0">
                  <c:v>-96.49122807017585</c:v>
                </c:pt>
                <c:pt idx="1">
                  <c:v>14.285714285712022</c:v>
                </c:pt>
                <c:pt idx="3">
                  <c:v>-96.078431372549545</c:v>
                </c:pt>
                <c:pt idx="4">
                  <c:v>-97.975708502026023</c:v>
                </c:pt>
                <c:pt idx="5">
                  <c:v>-98.214285714285921</c:v>
                </c:pt>
                <c:pt idx="6">
                  <c:v>-74.894787874665056</c:v>
                </c:pt>
              </c:numCache>
            </c:numRef>
          </c:val>
        </c:ser>
        <c:ser>
          <c:idx val="3"/>
          <c:order val="3"/>
          <c:tx>
            <c:strRef>
              <c:f>'running daily'!$K$24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daily'!$L$24:$R$24</c:f>
              <c:numCache>
                <c:formatCode>0</c:formatCode>
                <c:ptCount val="7"/>
                <c:pt idx="0">
                  <c:v>15.25423728813387</c:v>
                </c:pt>
                <c:pt idx="1">
                  <c:v>94.805194805189487</c:v>
                </c:pt>
                <c:pt idx="2">
                  <c:v>96.078431372549545</c:v>
                </c:pt>
                <c:pt idx="4">
                  <c:v>22.666666666666163</c:v>
                </c:pt>
                <c:pt idx="5">
                  <c:v>-89.743589743591485</c:v>
                </c:pt>
                <c:pt idx="6">
                  <c:v>27.812188077789518</c:v>
                </c:pt>
              </c:numCache>
            </c:numRef>
          </c:val>
        </c:ser>
        <c:ser>
          <c:idx val="4"/>
          <c:order val="4"/>
          <c:tx>
            <c:strRef>
              <c:f>'running daily'!$K$25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daily'!$L$25:$R$25</c:f>
              <c:numCache>
                <c:formatCode>0</c:formatCode>
                <c:ptCount val="7"/>
                <c:pt idx="0">
                  <c:v>-45.882352941176705</c:v>
                </c:pt>
                <c:pt idx="1">
                  <c:v>100</c:v>
                </c:pt>
                <c:pt idx="2">
                  <c:v>97.975708502026023</c:v>
                </c:pt>
                <c:pt idx="3">
                  <c:v>-22.666666666666163</c:v>
                </c:pt>
                <c:pt idx="5">
                  <c:v>-53.277310924371072</c:v>
                </c:pt>
                <c:pt idx="6">
                  <c:v>15.229875593962413</c:v>
                </c:pt>
              </c:numCache>
            </c:numRef>
          </c:val>
        </c:ser>
        <c:ser>
          <c:idx val="5"/>
          <c:order val="5"/>
          <c:tx>
            <c:strRef>
              <c:f>'running daily'!$K$26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daily'!$L$26:$R$26</c:f>
              <c:numCache>
                <c:formatCode>0</c:formatCode>
                <c:ptCount val="7"/>
                <c:pt idx="0">
                  <c:v>68.421052631580181</c:v>
                </c:pt>
                <c:pt idx="1">
                  <c:v>93.023255813954208</c:v>
                </c:pt>
                <c:pt idx="2">
                  <c:v>98.214285714285921</c:v>
                </c:pt>
                <c:pt idx="3">
                  <c:v>89.743589743591485</c:v>
                </c:pt>
                <c:pt idx="4">
                  <c:v>53.277310924371072</c:v>
                </c:pt>
                <c:pt idx="6">
                  <c:v>80.535898965556569</c:v>
                </c:pt>
              </c:numCache>
            </c:numRef>
          </c:val>
        </c:ser>
        <c:ser>
          <c:idx val="6"/>
          <c:order val="6"/>
          <c:tx>
            <c:strRef>
              <c:f>'running daily'!$K$27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daily'!$L$20:$R$20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daily'!$L$27:$R$27</c:f>
              <c:numCache>
                <c:formatCode>0</c:formatCode>
                <c:ptCount val="7"/>
                <c:pt idx="0">
                  <c:v>30.139658218327845</c:v>
                </c:pt>
                <c:pt idx="1">
                  <c:v>-78.822832980971285</c:v>
                </c:pt>
                <c:pt idx="2">
                  <c:v>-74.894787874665056</c:v>
                </c:pt>
                <c:pt idx="3">
                  <c:v>27.812188077789518</c:v>
                </c:pt>
                <c:pt idx="4">
                  <c:v>15.229875593962413</c:v>
                </c:pt>
                <c:pt idx="5">
                  <c:v>80.535898965556569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124608"/>
        <c:axId val="193126400"/>
      </c:barChart>
      <c:catAx>
        <c:axId val="19312460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126400"/>
        <c:crosses val="autoZero"/>
        <c:auto val="1"/>
        <c:lblAlgn val="ctr"/>
        <c:lblOffset val="100"/>
        <c:noMultiLvlLbl val="0"/>
      </c:catAx>
      <c:valAx>
        <c:axId val="193126400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124608"/>
        <c:crosses val="autoZero"/>
        <c:crossBetween val="between"/>
        <c:majorUnit val="20"/>
      </c:valAx>
    </c:plotArea>
    <c:legend>
      <c:legendPos val="r"/>
      <c:layout>
        <c:manualLayout>
          <c:xMode val="edge"/>
          <c:yMode val="edge"/>
          <c:x val="0.88600549629728165"/>
          <c:y val="0.20698969515038179"/>
          <c:w val="9.607866417180369E-2"/>
          <c:h val="0.42109246074779588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000000000000004" r="0.7000000000000004" t="0.78740157499999996" header="0.30000000000000021" footer="0.30000000000000021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weekly'!$K$4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weekly'!$L$4:$R$4</c:f>
              <c:numCache>
                <c:formatCode>0</c:formatCode>
                <c:ptCount val="7"/>
                <c:pt idx="1">
                  <c:v>9.6774193548308531</c:v>
                </c:pt>
                <c:pt idx="2">
                  <c:v>-74.285714285711208</c:v>
                </c:pt>
                <c:pt idx="3">
                  <c:v>-82.278481012657409</c:v>
                </c:pt>
                <c:pt idx="4">
                  <c:v>-48.288973384033085</c:v>
                </c:pt>
                <c:pt idx="5">
                  <c:v>-90.825688073395426</c:v>
                </c:pt>
                <c:pt idx="6">
                  <c:v>-57.200287480193253</c:v>
                </c:pt>
              </c:numCache>
            </c:numRef>
          </c:val>
        </c:ser>
        <c:ser>
          <c:idx val="1"/>
          <c:order val="1"/>
          <c:tx>
            <c:strRef>
              <c:f>'running weekly'!$K$5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weekly'!$L$5:$R$5</c:f>
              <c:numCache>
                <c:formatCode>General</c:formatCode>
                <c:ptCount val="7"/>
                <c:pt idx="0" formatCode="0">
                  <c:v>-9.6774193548308531</c:v>
                </c:pt>
                <c:pt idx="2" formatCode="0">
                  <c:v>-80.48780487804548</c:v>
                </c:pt>
                <c:pt idx="3" formatCode="0">
                  <c:v>-83.999999999998437</c:v>
                </c:pt>
                <c:pt idx="4" formatCode="0">
                  <c:v>-73.117033603704769</c:v>
                </c:pt>
                <c:pt idx="5" formatCode="0">
                  <c:v>-95.918367346939206</c:v>
                </c:pt>
                <c:pt idx="6" formatCode="0">
                  <c:v>-68.640125036703751</c:v>
                </c:pt>
              </c:numCache>
            </c:numRef>
          </c:val>
        </c:ser>
        <c:ser>
          <c:idx val="2"/>
          <c:order val="2"/>
          <c:tx>
            <c:strRef>
              <c:f>'running weekly'!$K$6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weekly'!$L$6:$R$6</c:f>
              <c:numCache>
                <c:formatCode>0</c:formatCode>
                <c:ptCount val="7"/>
                <c:pt idx="0">
                  <c:v>74.285714285711208</c:v>
                </c:pt>
                <c:pt idx="1">
                  <c:v>80.48780487804548</c:v>
                </c:pt>
                <c:pt idx="3">
                  <c:v>-58.51851851851864</c:v>
                </c:pt>
                <c:pt idx="4">
                  <c:v>8.6261980830632048</c:v>
                </c:pt>
                <c:pt idx="5">
                  <c:v>-54.594594594594696</c:v>
                </c:pt>
                <c:pt idx="6">
                  <c:v>10.057320826741313</c:v>
                </c:pt>
              </c:numCache>
            </c:numRef>
          </c:val>
        </c:ser>
        <c:ser>
          <c:idx val="3"/>
          <c:order val="3"/>
          <c:tx>
            <c:strRef>
              <c:f>'running weekly'!$K$7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weekly'!$L$7:$R$7</c:f>
              <c:numCache>
                <c:formatCode>0</c:formatCode>
                <c:ptCount val="7"/>
                <c:pt idx="0">
                  <c:v>82.278481012657409</c:v>
                </c:pt>
                <c:pt idx="1">
                  <c:v>83.999999999998437</c:v>
                </c:pt>
                <c:pt idx="2">
                  <c:v>58.51851851851864</c:v>
                </c:pt>
                <c:pt idx="4">
                  <c:v>72.634643377003641</c:v>
                </c:pt>
                <c:pt idx="5">
                  <c:v>-42.424242424243445</c:v>
                </c:pt>
                <c:pt idx="6">
                  <c:v>51.001480096786928</c:v>
                </c:pt>
              </c:numCache>
            </c:numRef>
          </c:val>
        </c:ser>
        <c:ser>
          <c:idx val="4"/>
          <c:order val="4"/>
          <c:tx>
            <c:strRef>
              <c:f>'running weekly'!$K$8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weekly'!$L$8:$R$8</c:f>
              <c:numCache>
                <c:formatCode>0</c:formatCode>
                <c:ptCount val="7"/>
                <c:pt idx="0">
                  <c:v>48.288973384033085</c:v>
                </c:pt>
                <c:pt idx="1">
                  <c:v>73.117033603704769</c:v>
                </c:pt>
                <c:pt idx="2">
                  <c:v>-8.6261980830632048</c:v>
                </c:pt>
                <c:pt idx="3">
                  <c:v>-72.634643377003641</c:v>
                </c:pt>
                <c:pt idx="5">
                  <c:v>-84.144960362402117</c:v>
                </c:pt>
                <c:pt idx="6">
                  <c:v>-8.799958966946221</c:v>
                </c:pt>
              </c:numCache>
            </c:numRef>
          </c:val>
        </c:ser>
        <c:ser>
          <c:idx val="5"/>
          <c:order val="5"/>
          <c:tx>
            <c:strRef>
              <c:f>'running weekly'!$K$9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weekly'!$L$9:$R$9</c:f>
              <c:numCache>
                <c:formatCode>0</c:formatCode>
                <c:ptCount val="7"/>
                <c:pt idx="0">
                  <c:v>90.825688073395426</c:v>
                </c:pt>
                <c:pt idx="1">
                  <c:v>95.918367346939206</c:v>
                </c:pt>
                <c:pt idx="2">
                  <c:v>54.594594594594696</c:v>
                </c:pt>
                <c:pt idx="3">
                  <c:v>42.424242424243445</c:v>
                </c:pt>
                <c:pt idx="4">
                  <c:v>84.144960362402117</c:v>
                </c:pt>
                <c:pt idx="6">
                  <c:v>73.581570560314987</c:v>
                </c:pt>
              </c:numCache>
            </c:numRef>
          </c:val>
        </c:ser>
        <c:ser>
          <c:idx val="6"/>
          <c:order val="6"/>
          <c:tx>
            <c:strRef>
              <c:f>'running weekly'!$K$10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weekly'!$L$3:$R$3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weekly'!$L$10:$R$10</c:f>
              <c:numCache>
                <c:formatCode>0</c:formatCode>
                <c:ptCount val="7"/>
                <c:pt idx="0">
                  <c:v>-57.200287480193253</c:v>
                </c:pt>
                <c:pt idx="1">
                  <c:v>-68.640125036703751</c:v>
                </c:pt>
                <c:pt idx="2">
                  <c:v>10.057320826741313</c:v>
                </c:pt>
                <c:pt idx="3">
                  <c:v>51.001480096786928</c:v>
                </c:pt>
                <c:pt idx="4">
                  <c:v>-8.799958966946221</c:v>
                </c:pt>
                <c:pt idx="5">
                  <c:v>73.581570560314987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225856"/>
        <c:axId val="193227392"/>
      </c:barChart>
      <c:catAx>
        <c:axId val="19322585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227392"/>
        <c:crosses val="autoZero"/>
        <c:auto val="1"/>
        <c:lblAlgn val="ctr"/>
        <c:lblOffset val="100"/>
        <c:noMultiLvlLbl val="0"/>
      </c:catAx>
      <c:valAx>
        <c:axId val="193227392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225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weekly'!$K$21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weekly'!$L$21:$R$21</c:f>
              <c:numCache>
                <c:formatCode>0</c:formatCode>
                <c:ptCount val="7"/>
                <c:pt idx="1">
                  <c:v>75.280898876405089</c:v>
                </c:pt>
                <c:pt idx="2">
                  <c:v>87.499999999999062</c:v>
                </c:pt>
                <c:pt idx="3">
                  <c:v>-47.272727272726534</c:v>
                </c:pt>
                <c:pt idx="4">
                  <c:v>67.248459958932088</c:v>
                </c:pt>
                <c:pt idx="5">
                  <c:v>29.729729729728756</c:v>
                </c:pt>
                <c:pt idx="6">
                  <c:v>42.497272258467689</c:v>
                </c:pt>
              </c:numCache>
            </c:numRef>
          </c:val>
        </c:ser>
        <c:ser>
          <c:idx val="1"/>
          <c:order val="1"/>
          <c:tx>
            <c:strRef>
              <c:f>'running weekly'!$K$22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weekly'!$L$22:$R$22</c:f>
              <c:numCache>
                <c:formatCode>General</c:formatCode>
                <c:ptCount val="7"/>
                <c:pt idx="0" formatCode="0">
                  <c:v>-75.280898876405089</c:v>
                </c:pt>
                <c:pt idx="2" formatCode="0">
                  <c:v>-28.813559322030645</c:v>
                </c:pt>
                <c:pt idx="3" formatCode="0">
                  <c:v>-89.247311827955883</c:v>
                </c:pt>
                <c:pt idx="4" formatCode="0">
                  <c:v>26.677852348991753</c:v>
                </c:pt>
                <c:pt idx="5" formatCode="0">
                  <c:v>-62.068965517241907</c:v>
                </c:pt>
                <c:pt idx="6" formatCode="0">
                  <c:v>-45.746576638928346</c:v>
                </c:pt>
              </c:numCache>
            </c:numRef>
          </c:val>
        </c:ser>
        <c:ser>
          <c:idx val="2"/>
          <c:order val="2"/>
          <c:tx>
            <c:strRef>
              <c:f>'running weekly'!$K$23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weekly'!$L$23:$R$23</c:f>
              <c:numCache>
                <c:formatCode>0</c:formatCode>
                <c:ptCount val="7"/>
                <c:pt idx="0">
                  <c:v>-87.499999999999062</c:v>
                </c:pt>
                <c:pt idx="1">
                  <c:v>28.813559322030645</c:v>
                </c:pt>
                <c:pt idx="3">
                  <c:v>-89.52879581151943</c:v>
                </c:pt>
                <c:pt idx="4">
                  <c:v>50.571131879542875</c:v>
                </c:pt>
                <c:pt idx="5">
                  <c:v>-70.802919708029265</c:v>
                </c:pt>
                <c:pt idx="6">
                  <c:v>-33.689404863594845</c:v>
                </c:pt>
              </c:numCache>
            </c:numRef>
          </c:val>
        </c:ser>
        <c:ser>
          <c:idx val="3"/>
          <c:order val="3"/>
          <c:tx>
            <c:strRef>
              <c:f>'running weekly'!$K$24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weekly'!$L$24:$R$24</c:f>
              <c:numCache>
                <c:formatCode>0</c:formatCode>
                <c:ptCount val="7"/>
                <c:pt idx="0">
                  <c:v>47.272727272726534</c:v>
                </c:pt>
                <c:pt idx="1">
                  <c:v>89.247311827955883</c:v>
                </c:pt>
                <c:pt idx="2">
                  <c:v>89.52879581151943</c:v>
                </c:pt>
                <c:pt idx="4">
                  <c:v>89.712186160442329</c:v>
                </c:pt>
                <c:pt idx="5">
                  <c:v>52.808988764045843</c:v>
                </c:pt>
                <c:pt idx="6">
                  <c:v>73.714001967338021</c:v>
                </c:pt>
              </c:numCache>
            </c:numRef>
          </c:val>
        </c:ser>
        <c:ser>
          <c:idx val="4"/>
          <c:order val="4"/>
          <c:tx>
            <c:strRef>
              <c:f>'running weekly'!$K$25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weekly'!$L$25:$R$25</c:f>
              <c:numCache>
                <c:formatCode>0</c:formatCode>
                <c:ptCount val="7"/>
                <c:pt idx="0">
                  <c:v>-67.248459958932088</c:v>
                </c:pt>
                <c:pt idx="1">
                  <c:v>-26.677852348991753</c:v>
                </c:pt>
                <c:pt idx="2">
                  <c:v>-50.571131879542875</c:v>
                </c:pt>
                <c:pt idx="3">
                  <c:v>-89.712186160442329</c:v>
                </c:pt>
                <c:pt idx="5">
                  <c:v>-67.071057192374639</c:v>
                </c:pt>
                <c:pt idx="6">
                  <c:v>-60.256137508056739</c:v>
                </c:pt>
              </c:numCache>
            </c:numRef>
          </c:val>
        </c:ser>
        <c:ser>
          <c:idx val="5"/>
          <c:order val="5"/>
          <c:tx>
            <c:strRef>
              <c:f>'running weekly'!$K$26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weekly'!$L$26:$R$26</c:f>
              <c:numCache>
                <c:formatCode>0</c:formatCode>
                <c:ptCount val="7"/>
                <c:pt idx="0">
                  <c:v>-29.729729729728756</c:v>
                </c:pt>
                <c:pt idx="1">
                  <c:v>62.068965517241907</c:v>
                </c:pt>
                <c:pt idx="2">
                  <c:v>70.802919708029265</c:v>
                </c:pt>
                <c:pt idx="3">
                  <c:v>-52.808988764045843</c:v>
                </c:pt>
                <c:pt idx="4">
                  <c:v>67.071057192374639</c:v>
                </c:pt>
                <c:pt idx="6">
                  <c:v>23.480844784774241</c:v>
                </c:pt>
              </c:numCache>
            </c:numRef>
          </c:val>
        </c:ser>
        <c:ser>
          <c:idx val="6"/>
          <c:order val="6"/>
          <c:tx>
            <c:strRef>
              <c:f>'running weekly'!$K$27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weekly'!$L$20:$R$20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weekly'!$L$27:$R$27</c:f>
              <c:numCache>
                <c:formatCode>0</c:formatCode>
                <c:ptCount val="7"/>
                <c:pt idx="0">
                  <c:v>42.497272258467689</c:v>
                </c:pt>
                <c:pt idx="1">
                  <c:v>-45.746576638928346</c:v>
                </c:pt>
                <c:pt idx="2">
                  <c:v>-33.689404863594845</c:v>
                </c:pt>
                <c:pt idx="3">
                  <c:v>73.714001967338021</c:v>
                </c:pt>
                <c:pt idx="4">
                  <c:v>-60.256137508056739</c:v>
                </c:pt>
                <c:pt idx="5">
                  <c:v>23.480844784774241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260928"/>
        <c:axId val="193262720"/>
      </c:barChart>
      <c:catAx>
        <c:axId val="19326092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262720"/>
        <c:crosses val="autoZero"/>
        <c:auto val="1"/>
        <c:lblAlgn val="ctr"/>
        <c:lblOffset val="100"/>
        <c:noMultiLvlLbl val="0"/>
      </c:catAx>
      <c:valAx>
        <c:axId val="193262720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260928"/>
        <c:crosses val="autoZero"/>
        <c:crossBetween val="between"/>
        <c:majorUnit val="2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4" r="0.7000000000000004" t="0.78740157499999996" header="0.30000000000000021" footer="0.30000000000000021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monthly'!$K$4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monthly'!$L$4:$R$4</c:f>
              <c:numCache>
                <c:formatCode>0</c:formatCode>
                <c:ptCount val="7"/>
                <c:pt idx="1">
                  <c:v>80.821917808218473</c:v>
                </c:pt>
                <c:pt idx="2">
                  <c:v>65.921787709497295</c:v>
                </c:pt>
                <c:pt idx="3">
                  <c:v>-56.521739130434852</c:v>
                </c:pt>
                <c:pt idx="4">
                  <c:v>71.769815418023896</c:v>
                </c:pt>
                <c:pt idx="5">
                  <c:v>-50.724637681160957</c:v>
                </c:pt>
                <c:pt idx="6">
                  <c:v>22.25342882482877</c:v>
                </c:pt>
              </c:numCache>
            </c:numRef>
          </c:val>
        </c:ser>
        <c:ser>
          <c:idx val="1"/>
          <c:order val="1"/>
          <c:tx>
            <c:strRef>
              <c:f>'running monthly'!$K$5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monthly'!$L$5:$R$5</c:f>
              <c:numCache>
                <c:formatCode>General</c:formatCode>
                <c:ptCount val="7"/>
                <c:pt idx="0" formatCode="0">
                  <c:v>-80.821917808218473</c:v>
                </c:pt>
                <c:pt idx="2" formatCode="0">
                  <c:v>-56.666666666665932</c:v>
                </c:pt>
                <c:pt idx="3" formatCode="0">
                  <c:v>-94.764397905758557</c:v>
                </c:pt>
                <c:pt idx="4" formatCode="0">
                  <c:v>3.9548022598873827</c:v>
                </c:pt>
                <c:pt idx="5" formatCode="0">
                  <c:v>-98.416886543535796</c:v>
                </c:pt>
                <c:pt idx="6" formatCode="0">
                  <c:v>-65.343013332858277</c:v>
                </c:pt>
              </c:numCache>
            </c:numRef>
          </c:val>
        </c:ser>
        <c:ser>
          <c:idx val="2"/>
          <c:order val="2"/>
          <c:tx>
            <c:strRef>
              <c:f>'running monthly'!$K$6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monthly'!$L$6:$R$6</c:f>
              <c:numCache>
                <c:formatCode>0</c:formatCode>
                <c:ptCount val="7"/>
                <c:pt idx="0">
                  <c:v>-65.921787709497295</c:v>
                </c:pt>
                <c:pt idx="1">
                  <c:v>56.666666666665932</c:v>
                </c:pt>
                <c:pt idx="3">
                  <c:v>-87.799564270152771</c:v>
                </c:pt>
                <c:pt idx="4">
                  <c:v>15.555555555556627</c:v>
                </c:pt>
                <c:pt idx="5">
                  <c:v>-82.572614107883908</c:v>
                </c:pt>
                <c:pt idx="6">
                  <c:v>-32.814348773062285</c:v>
                </c:pt>
              </c:numCache>
            </c:numRef>
          </c:val>
        </c:ser>
        <c:ser>
          <c:idx val="3"/>
          <c:order val="3"/>
          <c:tx>
            <c:strRef>
              <c:f>'running monthly'!$K$7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monthly'!$L$7:$R$7</c:f>
              <c:numCache>
                <c:formatCode>0</c:formatCode>
                <c:ptCount val="7"/>
                <c:pt idx="0">
                  <c:v>56.521739130434852</c:v>
                </c:pt>
                <c:pt idx="1">
                  <c:v>94.764397905758557</c:v>
                </c:pt>
                <c:pt idx="2">
                  <c:v>87.799564270152771</c:v>
                </c:pt>
                <c:pt idx="4">
                  <c:v>94.184967522425367</c:v>
                </c:pt>
                <c:pt idx="5">
                  <c:v>13.846153846152427</c:v>
                </c:pt>
                <c:pt idx="6">
                  <c:v>69.423364534984799</c:v>
                </c:pt>
              </c:numCache>
            </c:numRef>
          </c:val>
        </c:ser>
        <c:ser>
          <c:idx val="4"/>
          <c:order val="4"/>
          <c:tx>
            <c:strRef>
              <c:f>'running monthly'!$K$8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monthly'!$L$8:$R$8</c:f>
              <c:numCache>
                <c:formatCode>0</c:formatCode>
                <c:ptCount val="7"/>
                <c:pt idx="0">
                  <c:v>-71.769815418023896</c:v>
                </c:pt>
                <c:pt idx="1">
                  <c:v>-3.9548022598873827</c:v>
                </c:pt>
                <c:pt idx="2">
                  <c:v>-15.555555555556627</c:v>
                </c:pt>
                <c:pt idx="3">
                  <c:v>-94.184967522425367</c:v>
                </c:pt>
                <c:pt idx="5">
                  <c:v>-94.764397905759637</c:v>
                </c:pt>
                <c:pt idx="6">
                  <c:v>-56.045907732330576</c:v>
                </c:pt>
              </c:numCache>
            </c:numRef>
          </c:val>
        </c:ser>
        <c:ser>
          <c:idx val="5"/>
          <c:order val="5"/>
          <c:tx>
            <c:strRef>
              <c:f>'running monthly'!$K$9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monthly'!$L$9:$R$9</c:f>
              <c:numCache>
                <c:formatCode>0</c:formatCode>
                <c:ptCount val="7"/>
                <c:pt idx="0">
                  <c:v>50.724637681160957</c:v>
                </c:pt>
                <c:pt idx="1">
                  <c:v>98.416886543535796</c:v>
                </c:pt>
                <c:pt idx="2">
                  <c:v>82.572614107883908</c:v>
                </c:pt>
                <c:pt idx="3">
                  <c:v>-13.846153846152427</c:v>
                </c:pt>
                <c:pt idx="4">
                  <c:v>94.764397905759637</c:v>
                </c:pt>
                <c:pt idx="6">
                  <c:v>62.526476478437573</c:v>
                </c:pt>
              </c:numCache>
            </c:numRef>
          </c:val>
        </c:ser>
        <c:ser>
          <c:idx val="6"/>
          <c:order val="6"/>
          <c:tx>
            <c:strRef>
              <c:f>'running monthly'!$K$10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monthly'!$L$3:$R$3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monthly'!$L$10:$R$10</c:f>
              <c:numCache>
                <c:formatCode>0</c:formatCode>
                <c:ptCount val="7"/>
                <c:pt idx="0">
                  <c:v>22.25342882482877</c:v>
                </c:pt>
                <c:pt idx="1">
                  <c:v>-65.343013332858277</c:v>
                </c:pt>
                <c:pt idx="2">
                  <c:v>-32.814348773062285</c:v>
                </c:pt>
                <c:pt idx="3">
                  <c:v>69.423364534984799</c:v>
                </c:pt>
                <c:pt idx="4">
                  <c:v>-56.045907732330576</c:v>
                </c:pt>
                <c:pt idx="5">
                  <c:v>62.526476478437573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476864"/>
        <c:axId val="193478656"/>
      </c:barChart>
      <c:catAx>
        <c:axId val="1934768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478656"/>
        <c:crosses val="autoZero"/>
        <c:auto val="1"/>
        <c:lblAlgn val="ctr"/>
        <c:lblOffset val="100"/>
        <c:noMultiLvlLbl val="0"/>
      </c:catAx>
      <c:valAx>
        <c:axId val="193478656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476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'running monthly'!$K$21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monthly'!$L$21:$R$21</c:f>
              <c:numCache>
                <c:formatCode>0</c:formatCode>
                <c:ptCount val="7"/>
                <c:pt idx="1">
                  <c:v>86.227544910179773</c:v>
                </c:pt>
                <c:pt idx="2">
                  <c:v>84.477611940298928</c:v>
                </c:pt>
                <c:pt idx="3">
                  <c:v>87.610619469026048</c:v>
                </c:pt>
                <c:pt idx="4">
                  <c:v>71.244422409519828</c:v>
                </c:pt>
                <c:pt idx="5">
                  <c:v>83.8709677419359</c:v>
                </c:pt>
                <c:pt idx="6">
                  <c:v>82.686233294192093</c:v>
                </c:pt>
              </c:numCache>
            </c:numRef>
          </c:val>
        </c:ser>
        <c:ser>
          <c:idx val="1"/>
          <c:order val="1"/>
          <c:tx>
            <c:strRef>
              <c:f>'running monthly'!$K$22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monthly'!$L$22:$R$22</c:f>
              <c:numCache>
                <c:formatCode>General</c:formatCode>
                <c:ptCount val="7"/>
                <c:pt idx="0" formatCode="0">
                  <c:v>-86.227544910179773</c:v>
                </c:pt>
                <c:pt idx="2" formatCode="0">
                  <c:v>-22.388059701493255</c:v>
                </c:pt>
                <c:pt idx="3" formatCode="0">
                  <c:v>2.2332506203466096</c:v>
                </c:pt>
                <c:pt idx="4" formatCode="0">
                  <c:v>-14.010989010989375</c:v>
                </c:pt>
                <c:pt idx="5" formatCode="0">
                  <c:v>58.974358974357962</c:v>
                </c:pt>
                <c:pt idx="6" formatCode="0">
                  <c:v>-12.283796805591567</c:v>
                </c:pt>
              </c:numCache>
            </c:numRef>
          </c:val>
        </c:ser>
        <c:ser>
          <c:idx val="2"/>
          <c:order val="2"/>
          <c:tx>
            <c:strRef>
              <c:f>'running monthly'!$K$23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monthly'!$L$23:$R$23</c:f>
              <c:numCache>
                <c:formatCode>0</c:formatCode>
                <c:ptCount val="7"/>
                <c:pt idx="0">
                  <c:v>-84.477611940298928</c:v>
                </c:pt>
                <c:pt idx="1">
                  <c:v>22.388059701493255</c:v>
                </c:pt>
                <c:pt idx="3">
                  <c:v>-5.7356608478801858</c:v>
                </c:pt>
                <c:pt idx="4">
                  <c:v>-31.885631559899313</c:v>
                </c:pt>
                <c:pt idx="5">
                  <c:v>39.35483870967721</c:v>
                </c:pt>
                <c:pt idx="6">
                  <c:v>-12.071201187381593</c:v>
                </c:pt>
              </c:numCache>
            </c:numRef>
          </c:val>
        </c:ser>
        <c:ser>
          <c:idx val="3"/>
          <c:order val="3"/>
          <c:tx>
            <c:strRef>
              <c:f>'running monthly'!$K$24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monthly'!$L$24:$R$24</c:f>
              <c:numCache>
                <c:formatCode>0</c:formatCode>
                <c:ptCount val="7"/>
                <c:pt idx="0">
                  <c:v>-87.610619469026048</c:v>
                </c:pt>
                <c:pt idx="1">
                  <c:v>-2.2332506203466096</c:v>
                </c:pt>
                <c:pt idx="2">
                  <c:v>5.7356608478801858</c:v>
                </c:pt>
                <c:pt idx="4">
                  <c:v>8.041627246925998</c:v>
                </c:pt>
                <c:pt idx="5">
                  <c:v>55.294117647060403</c:v>
                </c:pt>
                <c:pt idx="6">
                  <c:v>-4.1544928695012144</c:v>
                </c:pt>
              </c:numCache>
            </c:numRef>
          </c:val>
        </c:ser>
        <c:ser>
          <c:idx val="4"/>
          <c:order val="4"/>
          <c:tx>
            <c:strRef>
              <c:f>'running monthly'!$K$25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monthly'!$L$25:$R$25</c:f>
              <c:numCache>
                <c:formatCode>0</c:formatCode>
                <c:ptCount val="7"/>
                <c:pt idx="0">
                  <c:v>-71.244422409519828</c:v>
                </c:pt>
                <c:pt idx="1">
                  <c:v>14.010989010989375</c:v>
                </c:pt>
                <c:pt idx="2">
                  <c:v>31.885631559899313</c:v>
                </c:pt>
                <c:pt idx="3">
                  <c:v>-8.041627246925998</c:v>
                </c:pt>
                <c:pt idx="5">
                  <c:v>71.268334771354901</c:v>
                </c:pt>
                <c:pt idx="6">
                  <c:v>7.5757811371595523</c:v>
                </c:pt>
              </c:numCache>
            </c:numRef>
          </c:val>
        </c:ser>
        <c:ser>
          <c:idx val="5"/>
          <c:order val="5"/>
          <c:tx>
            <c:strRef>
              <c:f>'running monthly'!$K$26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monthly'!$L$26:$R$26</c:f>
              <c:numCache>
                <c:formatCode>0</c:formatCode>
                <c:ptCount val="7"/>
                <c:pt idx="0">
                  <c:v>-83.8709677419359</c:v>
                </c:pt>
                <c:pt idx="1">
                  <c:v>-58.974358974357962</c:v>
                </c:pt>
                <c:pt idx="2">
                  <c:v>-39.35483870967721</c:v>
                </c:pt>
                <c:pt idx="3">
                  <c:v>-55.294117647060403</c:v>
                </c:pt>
                <c:pt idx="4">
                  <c:v>-71.268334771354901</c:v>
                </c:pt>
                <c:pt idx="6">
                  <c:v>-61.75252356887728</c:v>
                </c:pt>
              </c:numCache>
            </c:numRef>
          </c:val>
        </c:ser>
        <c:ser>
          <c:idx val="6"/>
          <c:order val="6"/>
          <c:tx>
            <c:strRef>
              <c:f>'running monthly'!$K$27</c:f>
              <c:strCache>
                <c:ptCount val="1"/>
                <c:pt idx="0">
                  <c:v>Summe</c:v>
                </c:pt>
              </c:strCache>
            </c:strRef>
          </c:tx>
          <c:invertIfNegative val="0"/>
          <c:cat>
            <c:strRef>
              <c:f>'running monthly'!$L$20:$R$20</c:f>
              <c:strCache>
                <c:ptCount val="7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  <c:pt idx="6">
                  <c:v>Summe</c:v>
                </c:pt>
              </c:strCache>
            </c:strRef>
          </c:cat>
          <c:val>
            <c:numRef>
              <c:f>'running monthly'!$L$27:$R$27</c:f>
              <c:numCache>
                <c:formatCode>0</c:formatCode>
                <c:ptCount val="7"/>
                <c:pt idx="0">
                  <c:v>82.686233294192093</c:v>
                </c:pt>
                <c:pt idx="1">
                  <c:v>-12.283796805591567</c:v>
                </c:pt>
                <c:pt idx="2">
                  <c:v>-12.071201187381593</c:v>
                </c:pt>
                <c:pt idx="3">
                  <c:v>-4.1544928695012144</c:v>
                </c:pt>
                <c:pt idx="4">
                  <c:v>7.5757811371595523</c:v>
                </c:pt>
                <c:pt idx="5">
                  <c:v>-61.75252356887728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16288"/>
        <c:axId val="193517824"/>
      </c:barChart>
      <c:catAx>
        <c:axId val="19351628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517824"/>
        <c:crosses val="autoZero"/>
        <c:auto val="1"/>
        <c:lblAlgn val="ctr"/>
        <c:lblOffset val="100"/>
        <c:noMultiLvlLbl val="0"/>
      </c:catAx>
      <c:valAx>
        <c:axId val="193517824"/>
        <c:scaling>
          <c:orientation val="minMax"/>
          <c:max val="100"/>
          <c:min val="-1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516288"/>
        <c:crosses val="autoZero"/>
        <c:crossBetween val="between"/>
        <c:majorUnit val="2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4" r="0.7000000000000004" t="0.78740157499999996" header="0.30000000000000021" footer="0.30000000000000021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aggregated!$A$2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aggregated!$B$1:$G$1</c:f>
              <c:strCache>
                <c:ptCount val="6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  <c:pt idx="5">
                  <c:v>RT daily</c:v>
                </c:pt>
              </c:strCache>
            </c:strRef>
          </c:cat>
          <c:val>
            <c:numRef>
              <c:f>aggregated!$B$2:$G$2</c:f>
              <c:numCache>
                <c:formatCode>0</c:formatCode>
                <c:ptCount val="6"/>
                <c:pt idx="0">
                  <c:v>23.766081871345939</c:v>
                </c:pt>
                <c:pt idx="1">
                  <c:v>23.766081871345939</c:v>
                </c:pt>
                <c:pt idx="2">
                  <c:v>-66.423087588152285</c:v>
                </c:pt>
                <c:pt idx="3">
                  <c:v>-57.200287480193253</c:v>
                </c:pt>
                <c:pt idx="4">
                  <c:v>22.25342882482877</c:v>
                </c:pt>
                <c:pt idx="5">
                  <c:v>-65.77451020010794</c:v>
                </c:pt>
              </c:numCache>
            </c:numRef>
          </c:val>
        </c:ser>
        <c:ser>
          <c:idx val="1"/>
          <c:order val="1"/>
          <c:tx>
            <c:strRef>
              <c:f>aggregated!$A$3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aggregated!$B$1:$G$1</c:f>
              <c:strCache>
                <c:ptCount val="6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  <c:pt idx="5">
                  <c:v>RT daily</c:v>
                </c:pt>
              </c:strCache>
            </c:strRef>
          </c:cat>
          <c:val>
            <c:numRef>
              <c:f>aggregated!$B$3:$G$3</c:f>
              <c:numCache>
                <c:formatCode>0</c:formatCode>
                <c:ptCount val="6"/>
                <c:pt idx="0">
                  <c:v>-21.385620915025346</c:v>
                </c:pt>
                <c:pt idx="1">
                  <c:v>-21.385620915025346</c:v>
                </c:pt>
                <c:pt idx="2">
                  <c:v>-40.720424761277343</c:v>
                </c:pt>
                <c:pt idx="3">
                  <c:v>-68.640125036703751</c:v>
                </c:pt>
                <c:pt idx="4">
                  <c:v>-65.343013332858277</c:v>
                </c:pt>
                <c:pt idx="5">
                  <c:v>-46.482797665770946</c:v>
                </c:pt>
              </c:numCache>
            </c:numRef>
          </c:val>
        </c:ser>
        <c:ser>
          <c:idx val="2"/>
          <c:order val="2"/>
          <c:tx>
            <c:strRef>
              <c:f>aggregated!$A$4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aggregated!$B$1:$G$1</c:f>
              <c:strCache>
                <c:ptCount val="6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  <c:pt idx="5">
                  <c:v>RT daily</c:v>
                </c:pt>
              </c:strCache>
            </c:strRef>
          </c:cat>
          <c:val>
            <c:numRef>
              <c:f>aggregated!$B$4:$G$4</c:f>
              <c:numCache>
                <c:formatCode>0</c:formatCode>
                <c:ptCount val="6"/>
                <c:pt idx="0">
                  <c:v>-53.546897546894719</c:v>
                </c:pt>
                <c:pt idx="1">
                  <c:v>-53.546897546894719</c:v>
                </c:pt>
                <c:pt idx="2">
                  <c:v>40.167354214412555</c:v>
                </c:pt>
                <c:pt idx="3">
                  <c:v>10.057320826741313</c:v>
                </c:pt>
                <c:pt idx="4">
                  <c:v>-32.814348773062285</c:v>
                </c:pt>
                <c:pt idx="5">
                  <c:v>42.696008819960255</c:v>
                </c:pt>
              </c:numCache>
            </c:numRef>
          </c:val>
        </c:ser>
        <c:ser>
          <c:idx val="3"/>
          <c:order val="3"/>
          <c:tx>
            <c:strRef>
              <c:f>aggregated!$A$5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aggregated!$B$1:$G$1</c:f>
              <c:strCache>
                <c:ptCount val="6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  <c:pt idx="5">
                  <c:v>RT daily</c:v>
                </c:pt>
              </c:strCache>
            </c:strRef>
          </c:cat>
          <c:val>
            <c:numRef>
              <c:f>aggregated!$B$5:$G$5</c:f>
              <c:numCache>
                <c:formatCode>0</c:formatCode>
                <c:ptCount val="6"/>
                <c:pt idx="0">
                  <c:v>27.295230788908157</c:v>
                </c:pt>
                <c:pt idx="1">
                  <c:v>27.295230788908157</c:v>
                </c:pt>
                <c:pt idx="2">
                  <c:v>31.61324558583965</c:v>
                </c:pt>
                <c:pt idx="3">
                  <c:v>51.001480096786928</c:v>
                </c:pt>
                <c:pt idx="4">
                  <c:v>69.423364534984799</c:v>
                </c:pt>
                <c:pt idx="5">
                  <c:v>30.364058484085284</c:v>
                </c:pt>
              </c:numCache>
            </c:numRef>
          </c:val>
        </c:ser>
        <c:ser>
          <c:idx val="4"/>
          <c:order val="4"/>
          <c:tx>
            <c:strRef>
              <c:f>aggregated!$A$6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aggregated!$B$1:$G$1</c:f>
              <c:strCache>
                <c:ptCount val="6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  <c:pt idx="5">
                  <c:v>RT daily</c:v>
                </c:pt>
              </c:strCache>
            </c:strRef>
          </c:cat>
          <c:val>
            <c:numRef>
              <c:f>aggregated!$B$6:$G$6</c:f>
              <c:numCache>
                <c:formatCode>0</c:formatCode>
                <c:ptCount val="6"/>
                <c:pt idx="0">
                  <c:v>-52.863287879998268</c:v>
                </c:pt>
                <c:pt idx="1">
                  <c:v>-52.863287879998268</c:v>
                </c:pt>
                <c:pt idx="2">
                  <c:v>-17.764397124812167</c:v>
                </c:pt>
                <c:pt idx="3">
                  <c:v>-8.799958966946221</c:v>
                </c:pt>
                <c:pt idx="4">
                  <c:v>-56.045907732330576</c:v>
                </c:pt>
                <c:pt idx="5">
                  <c:v>-13.8159395243706</c:v>
                </c:pt>
              </c:numCache>
            </c:numRef>
          </c:val>
        </c:ser>
        <c:ser>
          <c:idx val="5"/>
          <c:order val="5"/>
          <c:tx>
            <c:strRef>
              <c:f>aggregated!$A$7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aggregated!$B$1:$G$1</c:f>
              <c:strCache>
                <c:ptCount val="6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  <c:pt idx="5">
                  <c:v>RT daily</c:v>
                </c:pt>
              </c:strCache>
            </c:strRef>
          </c:cat>
          <c:val>
            <c:numRef>
              <c:f>aggregated!$B$7:$G$7</c:f>
              <c:numCache>
                <c:formatCode>0</c:formatCode>
                <c:ptCount val="6"/>
                <c:pt idx="0">
                  <c:v>76.734493681664233</c:v>
                </c:pt>
                <c:pt idx="1">
                  <c:v>76.734493681664233</c:v>
                </c:pt>
                <c:pt idx="2">
                  <c:v>53.127309673989565</c:v>
                </c:pt>
                <c:pt idx="3">
                  <c:v>73.581570560314987</c:v>
                </c:pt>
                <c:pt idx="4">
                  <c:v>62.526476478437573</c:v>
                </c:pt>
                <c:pt idx="5">
                  <c:v>53.013180086203946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658240"/>
        <c:axId val="193660032"/>
      </c:barChart>
      <c:catAx>
        <c:axId val="19365824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660032"/>
        <c:crosses val="autoZero"/>
        <c:auto val="1"/>
        <c:lblAlgn val="ctr"/>
        <c:lblOffset val="100"/>
        <c:noMultiLvlLbl val="0"/>
      </c:catAx>
      <c:valAx>
        <c:axId val="193660032"/>
        <c:scaling>
          <c:orientation val="minMax"/>
          <c:max val="100"/>
          <c:min val="-10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93658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aggregated!$B$1</c:f>
              <c:strCache>
                <c:ptCount val="1"/>
                <c:pt idx="0">
                  <c:v>1h</c:v>
                </c:pt>
              </c:strCache>
            </c:strRef>
          </c:tx>
          <c:invertIfNegative val="0"/>
          <c:cat>
            <c:strRef>
              <c:f>aggregated!$A$2:$A$7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aggregated!$B$2:$B$7</c:f>
              <c:numCache>
                <c:formatCode>0</c:formatCode>
                <c:ptCount val="6"/>
                <c:pt idx="0">
                  <c:v>23.766081871345939</c:v>
                </c:pt>
                <c:pt idx="1">
                  <c:v>-21.385620915025346</c:v>
                </c:pt>
                <c:pt idx="2">
                  <c:v>-53.546897546894719</c:v>
                </c:pt>
                <c:pt idx="3">
                  <c:v>27.295230788908157</c:v>
                </c:pt>
                <c:pt idx="4">
                  <c:v>-52.863287879998268</c:v>
                </c:pt>
                <c:pt idx="5">
                  <c:v>76.734493681664233</c:v>
                </c:pt>
              </c:numCache>
            </c:numRef>
          </c:val>
        </c:ser>
        <c:ser>
          <c:idx val="1"/>
          <c:order val="1"/>
          <c:tx>
            <c:strRef>
              <c:f>aggregated!$C$1</c:f>
              <c:strCache>
                <c:ptCount val="1"/>
                <c:pt idx="0">
                  <c:v>4h</c:v>
                </c:pt>
              </c:strCache>
            </c:strRef>
          </c:tx>
          <c:invertIfNegative val="0"/>
          <c:cat>
            <c:strRef>
              <c:f>aggregated!$A$2:$A$7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aggregated!$C$2:$C$7</c:f>
              <c:numCache>
                <c:formatCode>0</c:formatCode>
                <c:ptCount val="6"/>
                <c:pt idx="0">
                  <c:v>23.766081871345939</c:v>
                </c:pt>
                <c:pt idx="1">
                  <c:v>-21.385620915025346</c:v>
                </c:pt>
                <c:pt idx="2">
                  <c:v>-53.546897546894719</c:v>
                </c:pt>
                <c:pt idx="3">
                  <c:v>27.295230788908157</c:v>
                </c:pt>
                <c:pt idx="4">
                  <c:v>-52.863287879998268</c:v>
                </c:pt>
                <c:pt idx="5">
                  <c:v>76.734493681664233</c:v>
                </c:pt>
              </c:numCache>
            </c:numRef>
          </c:val>
        </c:ser>
        <c:ser>
          <c:idx val="2"/>
          <c:order val="2"/>
          <c:tx>
            <c:strRef>
              <c:f>aggregated!$D$1</c:f>
              <c:strCache>
                <c:ptCount val="1"/>
                <c:pt idx="0">
                  <c:v>daily</c:v>
                </c:pt>
              </c:strCache>
            </c:strRef>
          </c:tx>
          <c:invertIfNegative val="0"/>
          <c:cat>
            <c:strRef>
              <c:f>aggregated!$A$2:$A$7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aggregated!$D$2:$D$7</c:f>
              <c:numCache>
                <c:formatCode>0</c:formatCode>
                <c:ptCount val="6"/>
                <c:pt idx="0">
                  <c:v>-66.423087588152285</c:v>
                </c:pt>
                <c:pt idx="1">
                  <c:v>-40.720424761277343</c:v>
                </c:pt>
                <c:pt idx="2">
                  <c:v>40.167354214412555</c:v>
                </c:pt>
                <c:pt idx="3">
                  <c:v>31.61324558583965</c:v>
                </c:pt>
                <c:pt idx="4">
                  <c:v>-17.764397124812167</c:v>
                </c:pt>
                <c:pt idx="5">
                  <c:v>53.127309673989565</c:v>
                </c:pt>
              </c:numCache>
            </c:numRef>
          </c:val>
        </c:ser>
        <c:ser>
          <c:idx val="3"/>
          <c:order val="3"/>
          <c:tx>
            <c:strRef>
              <c:f>aggregated!$E$1</c:f>
              <c:strCache>
                <c:ptCount val="1"/>
                <c:pt idx="0">
                  <c:v>weekly</c:v>
                </c:pt>
              </c:strCache>
            </c:strRef>
          </c:tx>
          <c:invertIfNegative val="0"/>
          <c:cat>
            <c:strRef>
              <c:f>aggregated!$A$2:$A$7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aggregated!$E$2:$E$7</c:f>
              <c:numCache>
                <c:formatCode>0</c:formatCode>
                <c:ptCount val="6"/>
                <c:pt idx="0">
                  <c:v>-57.200287480193253</c:v>
                </c:pt>
                <c:pt idx="1">
                  <c:v>-68.640125036703751</c:v>
                </c:pt>
                <c:pt idx="2">
                  <c:v>10.057320826741313</c:v>
                </c:pt>
                <c:pt idx="3">
                  <c:v>51.001480096786928</c:v>
                </c:pt>
                <c:pt idx="4">
                  <c:v>-8.799958966946221</c:v>
                </c:pt>
                <c:pt idx="5">
                  <c:v>73.581570560314987</c:v>
                </c:pt>
              </c:numCache>
            </c:numRef>
          </c:val>
        </c:ser>
        <c:ser>
          <c:idx val="4"/>
          <c:order val="4"/>
          <c:tx>
            <c:strRef>
              <c:f>aggregated!$F$1</c:f>
              <c:strCache>
                <c:ptCount val="1"/>
                <c:pt idx="0">
                  <c:v>monthly</c:v>
                </c:pt>
              </c:strCache>
            </c:strRef>
          </c:tx>
          <c:invertIfNegative val="0"/>
          <c:cat>
            <c:strRef>
              <c:f>aggregated!$A$2:$A$7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aggregated!$F$2:$F$7</c:f>
              <c:numCache>
                <c:formatCode>0</c:formatCode>
                <c:ptCount val="6"/>
                <c:pt idx="0">
                  <c:v>22.25342882482877</c:v>
                </c:pt>
                <c:pt idx="1">
                  <c:v>-65.343013332858277</c:v>
                </c:pt>
                <c:pt idx="2">
                  <c:v>-32.814348773062285</c:v>
                </c:pt>
                <c:pt idx="3">
                  <c:v>69.423364534984799</c:v>
                </c:pt>
                <c:pt idx="4">
                  <c:v>-56.045907732330576</c:v>
                </c:pt>
                <c:pt idx="5">
                  <c:v>62.526476478437573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675648"/>
        <c:axId val="193677184"/>
      </c:barChart>
      <c:catAx>
        <c:axId val="19367564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677184"/>
        <c:crosses val="autoZero"/>
        <c:auto val="1"/>
        <c:lblAlgn val="ctr"/>
        <c:lblOffset val="100"/>
        <c:noMultiLvlLbl val="0"/>
      </c:catAx>
      <c:valAx>
        <c:axId val="193677184"/>
        <c:scaling>
          <c:orientation val="minMax"/>
          <c:max val="100"/>
          <c:min val="-10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93675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aggregated!$A$12</c:f>
              <c:strCache>
                <c:ptCount val="1"/>
                <c:pt idx="0">
                  <c:v>USD</c:v>
                </c:pt>
              </c:strCache>
            </c:strRef>
          </c:tx>
          <c:invertIfNegative val="0"/>
          <c:cat>
            <c:strRef>
              <c:f>aggregated!$B$11:$G$11</c:f>
              <c:strCache>
                <c:ptCount val="5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</c:strCache>
            </c:strRef>
          </c:cat>
          <c:val>
            <c:numRef>
              <c:f>aggregated!$B$12:$G$12</c:f>
              <c:numCache>
                <c:formatCode>0</c:formatCode>
                <c:ptCount val="6"/>
                <c:pt idx="0">
                  <c:v>-51.349361621956518</c:v>
                </c:pt>
                <c:pt idx="1">
                  <c:v>-49.734554770232052</c:v>
                </c:pt>
                <c:pt idx="2">
                  <c:v>30.139658218327845</c:v>
                </c:pt>
                <c:pt idx="3">
                  <c:v>42.497272258467689</c:v>
                </c:pt>
                <c:pt idx="4">
                  <c:v>82.686233294192093</c:v>
                </c:pt>
              </c:numCache>
            </c:numRef>
          </c:val>
        </c:ser>
        <c:ser>
          <c:idx val="1"/>
          <c:order val="1"/>
          <c:tx>
            <c:strRef>
              <c:f>aggregated!$A$13</c:f>
              <c:strCache>
                <c:ptCount val="1"/>
                <c:pt idx="0">
                  <c:v>EUR</c:v>
                </c:pt>
              </c:strCache>
            </c:strRef>
          </c:tx>
          <c:invertIfNegative val="0"/>
          <c:cat>
            <c:strRef>
              <c:f>aggregated!$B$11:$G$11</c:f>
              <c:strCache>
                <c:ptCount val="5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</c:strCache>
            </c:strRef>
          </c:cat>
          <c:val>
            <c:numRef>
              <c:f>aggregated!$B$13:$G$13</c:f>
              <c:numCache>
                <c:formatCode>0</c:formatCode>
                <c:ptCount val="6"/>
                <c:pt idx="0">
                  <c:v>47.54427845758503</c:v>
                </c:pt>
                <c:pt idx="1">
                  <c:v>3.3370992089561304</c:v>
                </c:pt>
                <c:pt idx="2">
                  <c:v>-78.822832980971285</c:v>
                </c:pt>
                <c:pt idx="3">
                  <c:v>-45.746576638928346</c:v>
                </c:pt>
                <c:pt idx="4">
                  <c:v>-12.283796805591567</c:v>
                </c:pt>
              </c:numCache>
            </c:numRef>
          </c:val>
        </c:ser>
        <c:ser>
          <c:idx val="2"/>
          <c:order val="2"/>
          <c:tx>
            <c:strRef>
              <c:f>aggregated!$A$14</c:f>
              <c:strCache>
                <c:ptCount val="1"/>
                <c:pt idx="0">
                  <c:v>GBP</c:v>
                </c:pt>
              </c:strCache>
            </c:strRef>
          </c:tx>
          <c:invertIfNegative val="0"/>
          <c:cat>
            <c:strRef>
              <c:f>aggregated!$B$11:$G$11</c:f>
              <c:strCache>
                <c:ptCount val="5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</c:strCache>
            </c:strRef>
          </c:cat>
          <c:val>
            <c:numRef>
              <c:f>aggregated!$B$14:$G$14</c:f>
              <c:numCache>
                <c:formatCode>0</c:formatCode>
                <c:ptCount val="6"/>
                <c:pt idx="0">
                  <c:v>1.190842634163646</c:v>
                </c:pt>
                <c:pt idx="1">
                  <c:v>40.665771352728946</c:v>
                </c:pt>
                <c:pt idx="2">
                  <c:v>-74.894787874665056</c:v>
                </c:pt>
                <c:pt idx="3">
                  <c:v>-33.689404863594845</c:v>
                </c:pt>
                <c:pt idx="4">
                  <c:v>-12.071201187381593</c:v>
                </c:pt>
              </c:numCache>
            </c:numRef>
          </c:val>
        </c:ser>
        <c:ser>
          <c:idx val="3"/>
          <c:order val="3"/>
          <c:tx>
            <c:strRef>
              <c:f>aggregated!$A$15</c:f>
              <c:strCache>
                <c:ptCount val="1"/>
                <c:pt idx="0">
                  <c:v>AUD</c:v>
                </c:pt>
              </c:strCache>
            </c:strRef>
          </c:tx>
          <c:invertIfNegative val="0"/>
          <c:cat>
            <c:strRef>
              <c:f>aggregated!$B$11:$G$11</c:f>
              <c:strCache>
                <c:ptCount val="5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</c:strCache>
            </c:strRef>
          </c:cat>
          <c:val>
            <c:numRef>
              <c:f>aggregated!$B$15:$G$15</c:f>
              <c:numCache>
                <c:formatCode>0</c:formatCode>
                <c:ptCount val="6"/>
                <c:pt idx="0">
                  <c:v>-58.197358197360664</c:v>
                </c:pt>
                <c:pt idx="1">
                  <c:v>-5.0207300261777181</c:v>
                </c:pt>
                <c:pt idx="2">
                  <c:v>27.812188077789518</c:v>
                </c:pt>
                <c:pt idx="3">
                  <c:v>73.714001967338021</c:v>
                </c:pt>
                <c:pt idx="4">
                  <c:v>-4.1544928695012144</c:v>
                </c:pt>
              </c:numCache>
            </c:numRef>
          </c:val>
        </c:ser>
        <c:ser>
          <c:idx val="4"/>
          <c:order val="4"/>
          <c:tx>
            <c:strRef>
              <c:f>aggregated!$A$16</c:f>
              <c:strCache>
                <c:ptCount val="1"/>
                <c:pt idx="0">
                  <c:v>JPY</c:v>
                </c:pt>
              </c:strCache>
            </c:strRef>
          </c:tx>
          <c:invertIfNegative val="0"/>
          <c:cat>
            <c:strRef>
              <c:f>aggregated!$B$11:$G$11</c:f>
              <c:strCache>
                <c:ptCount val="5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</c:strCache>
            </c:strRef>
          </c:cat>
          <c:val>
            <c:numRef>
              <c:f>aggregated!$B$16:$G$16</c:f>
              <c:numCache>
                <c:formatCode>0</c:formatCode>
                <c:ptCount val="6"/>
                <c:pt idx="0">
                  <c:v>41.400647106085941</c:v>
                </c:pt>
                <c:pt idx="1">
                  <c:v>54.550946817284853</c:v>
                </c:pt>
                <c:pt idx="2">
                  <c:v>15.229875593962413</c:v>
                </c:pt>
                <c:pt idx="3">
                  <c:v>-60.256137508056739</c:v>
                </c:pt>
                <c:pt idx="4">
                  <c:v>7.5757811371595523</c:v>
                </c:pt>
              </c:numCache>
            </c:numRef>
          </c:val>
        </c:ser>
        <c:ser>
          <c:idx val="5"/>
          <c:order val="5"/>
          <c:tx>
            <c:strRef>
              <c:f>aggregated!$A$17</c:f>
              <c:strCache>
                <c:ptCount val="1"/>
                <c:pt idx="0">
                  <c:v>CAD</c:v>
                </c:pt>
              </c:strCache>
            </c:strRef>
          </c:tx>
          <c:invertIfNegative val="0"/>
          <c:cat>
            <c:strRef>
              <c:f>aggregated!$B$11:$G$11</c:f>
              <c:strCache>
                <c:ptCount val="5"/>
                <c:pt idx="0">
                  <c:v>1h</c:v>
                </c:pt>
                <c:pt idx="1">
                  <c:v>4h</c:v>
                </c:pt>
                <c:pt idx="2">
                  <c:v>daily</c:v>
                </c:pt>
                <c:pt idx="3">
                  <c:v>weekly</c:v>
                </c:pt>
                <c:pt idx="4">
                  <c:v>monthly</c:v>
                </c:pt>
              </c:strCache>
            </c:strRef>
          </c:cat>
          <c:val>
            <c:numRef>
              <c:f>aggregated!$B$17:$G$17</c:f>
              <c:numCache>
                <c:formatCode>0</c:formatCode>
                <c:ptCount val="6"/>
                <c:pt idx="0">
                  <c:v>19.410951621482553</c:v>
                </c:pt>
                <c:pt idx="1">
                  <c:v>-43.798532582560156</c:v>
                </c:pt>
                <c:pt idx="2">
                  <c:v>80.535898965556569</c:v>
                </c:pt>
                <c:pt idx="3">
                  <c:v>23.480844784774241</c:v>
                </c:pt>
                <c:pt idx="4">
                  <c:v>-61.75252356887728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718144"/>
        <c:axId val="193719680"/>
      </c:barChart>
      <c:catAx>
        <c:axId val="19371814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719680"/>
        <c:crosses val="autoZero"/>
        <c:auto val="1"/>
        <c:lblAlgn val="ctr"/>
        <c:lblOffset val="100"/>
        <c:noMultiLvlLbl val="0"/>
      </c:catAx>
      <c:valAx>
        <c:axId val="19371968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93718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4" r="0.7000000000000004" t="0.78740157499999996" header="0.30000000000000021" footer="0.30000000000000021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aggregated!$B$11</c:f>
              <c:strCache>
                <c:ptCount val="1"/>
                <c:pt idx="0">
                  <c:v>1h</c:v>
                </c:pt>
              </c:strCache>
            </c:strRef>
          </c:tx>
          <c:invertIfNegative val="0"/>
          <c:cat>
            <c:strRef>
              <c:f>aggregated!$A$12:$A$17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aggregated!$B$12:$B$17</c:f>
              <c:numCache>
                <c:formatCode>0</c:formatCode>
                <c:ptCount val="6"/>
                <c:pt idx="0">
                  <c:v>-51.349361621956518</c:v>
                </c:pt>
                <c:pt idx="1">
                  <c:v>47.54427845758503</c:v>
                </c:pt>
                <c:pt idx="2">
                  <c:v>1.190842634163646</c:v>
                </c:pt>
                <c:pt idx="3">
                  <c:v>-58.197358197360664</c:v>
                </c:pt>
                <c:pt idx="4">
                  <c:v>41.400647106085941</c:v>
                </c:pt>
                <c:pt idx="5">
                  <c:v>19.410951621482553</c:v>
                </c:pt>
              </c:numCache>
            </c:numRef>
          </c:val>
        </c:ser>
        <c:ser>
          <c:idx val="1"/>
          <c:order val="1"/>
          <c:tx>
            <c:strRef>
              <c:f>aggregated!$C$11</c:f>
              <c:strCache>
                <c:ptCount val="1"/>
                <c:pt idx="0">
                  <c:v>4h</c:v>
                </c:pt>
              </c:strCache>
            </c:strRef>
          </c:tx>
          <c:invertIfNegative val="0"/>
          <c:cat>
            <c:strRef>
              <c:f>aggregated!$A$12:$A$17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aggregated!$C$12:$C$17</c:f>
              <c:numCache>
                <c:formatCode>0</c:formatCode>
                <c:ptCount val="6"/>
                <c:pt idx="0">
                  <c:v>-49.734554770232052</c:v>
                </c:pt>
                <c:pt idx="1">
                  <c:v>3.3370992089561304</c:v>
                </c:pt>
                <c:pt idx="2">
                  <c:v>40.665771352728946</c:v>
                </c:pt>
                <c:pt idx="3">
                  <c:v>-5.0207300261777181</c:v>
                </c:pt>
                <c:pt idx="4">
                  <c:v>54.550946817284853</c:v>
                </c:pt>
                <c:pt idx="5">
                  <c:v>-43.798532582560156</c:v>
                </c:pt>
              </c:numCache>
            </c:numRef>
          </c:val>
        </c:ser>
        <c:ser>
          <c:idx val="2"/>
          <c:order val="2"/>
          <c:tx>
            <c:strRef>
              <c:f>aggregated!$D$11</c:f>
              <c:strCache>
                <c:ptCount val="1"/>
                <c:pt idx="0">
                  <c:v>daily</c:v>
                </c:pt>
              </c:strCache>
            </c:strRef>
          </c:tx>
          <c:invertIfNegative val="0"/>
          <c:cat>
            <c:strRef>
              <c:f>aggregated!$A$12:$A$17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aggregated!$D$12:$D$17</c:f>
              <c:numCache>
                <c:formatCode>0</c:formatCode>
                <c:ptCount val="6"/>
                <c:pt idx="0">
                  <c:v>30.139658218327845</c:v>
                </c:pt>
                <c:pt idx="1">
                  <c:v>-78.822832980971285</c:v>
                </c:pt>
                <c:pt idx="2">
                  <c:v>-74.894787874665056</c:v>
                </c:pt>
                <c:pt idx="3">
                  <c:v>27.812188077789518</c:v>
                </c:pt>
                <c:pt idx="4">
                  <c:v>15.229875593962413</c:v>
                </c:pt>
                <c:pt idx="5">
                  <c:v>80.535898965556569</c:v>
                </c:pt>
              </c:numCache>
            </c:numRef>
          </c:val>
        </c:ser>
        <c:ser>
          <c:idx val="3"/>
          <c:order val="3"/>
          <c:tx>
            <c:strRef>
              <c:f>aggregated!$E$11</c:f>
              <c:strCache>
                <c:ptCount val="1"/>
                <c:pt idx="0">
                  <c:v>weekly</c:v>
                </c:pt>
              </c:strCache>
            </c:strRef>
          </c:tx>
          <c:invertIfNegative val="0"/>
          <c:cat>
            <c:strRef>
              <c:f>aggregated!$A$12:$A$17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aggregated!$E$12:$E$17</c:f>
              <c:numCache>
                <c:formatCode>0</c:formatCode>
                <c:ptCount val="6"/>
                <c:pt idx="0">
                  <c:v>42.497272258467689</c:v>
                </c:pt>
                <c:pt idx="1">
                  <c:v>-45.746576638928346</c:v>
                </c:pt>
                <c:pt idx="2">
                  <c:v>-33.689404863594845</c:v>
                </c:pt>
                <c:pt idx="3">
                  <c:v>73.714001967338021</c:v>
                </c:pt>
                <c:pt idx="4">
                  <c:v>-60.256137508056739</c:v>
                </c:pt>
                <c:pt idx="5">
                  <c:v>23.480844784774241</c:v>
                </c:pt>
              </c:numCache>
            </c:numRef>
          </c:val>
        </c:ser>
        <c:ser>
          <c:idx val="4"/>
          <c:order val="4"/>
          <c:tx>
            <c:strRef>
              <c:f>aggregated!$F$11</c:f>
              <c:strCache>
                <c:ptCount val="1"/>
                <c:pt idx="0">
                  <c:v>monthly</c:v>
                </c:pt>
              </c:strCache>
            </c:strRef>
          </c:tx>
          <c:invertIfNegative val="0"/>
          <c:cat>
            <c:strRef>
              <c:f>aggregated!$A$12:$A$17</c:f>
              <c:strCache>
                <c:ptCount val="6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AUD</c:v>
                </c:pt>
                <c:pt idx="4">
                  <c:v>JPY</c:v>
                </c:pt>
                <c:pt idx="5">
                  <c:v>CAD</c:v>
                </c:pt>
              </c:strCache>
            </c:strRef>
          </c:cat>
          <c:val>
            <c:numRef>
              <c:f>aggregated!$F$12:$F$17</c:f>
              <c:numCache>
                <c:formatCode>0</c:formatCode>
                <c:ptCount val="6"/>
                <c:pt idx="0">
                  <c:v>82.686233294192093</c:v>
                </c:pt>
                <c:pt idx="1">
                  <c:v>-12.283796805591567</c:v>
                </c:pt>
                <c:pt idx="2">
                  <c:v>-12.071201187381593</c:v>
                </c:pt>
                <c:pt idx="3">
                  <c:v>-4.1544928695012144</c:v>
                </c:pt>
                <c:pt idx="4">
                  <c:v>7.5757811371595523</c:v>
                </c:pt>
                <c:pt idx="5">
                  <c:v>-61.75252356887728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809024"/>
        <c:axId val="193819008"/>
      </c:barChart>
      <c:catAx>
        <c:axId val="19380902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93819008"/>
        <c:crosses val="autoZero"/>
        <c:auto val="1"/>
        <c:lblAlgn val="ctr"/>
        <c:lblOffset val="100"/>
        <c:noMultiLvlLbl val="0"/>
      </c:catAx>
      <c:valAx>
        <c:axId val="193819008"/>
        <c:scaling>
          <c:orientation val="minMax"/>
          <c:max val="100"/>
          <c:min val="-10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938090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4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</xdr:colOff>
      <xdr:row>11</xdr:row>
      <xdr:rowOff>7620</xdr:rowOff>
    </xdr:from>
    <xdr:to>
      <xdr:col>18</xdr:col>
      <xdr:colOff>15240</xdr:colOff>
      <xdr:row>28</xdr:row>
      <xdr:rowOff>45720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36</xdr:row>
      <xdr:rowOff>160020</xdr:rowOff>
    </xdr:from>
    <xdr:to>
      <xdr:col>9</xdr:col>
      <xdr:colOff>0</xdr:colOff>
      <xdr:row>54</xdr:row>
      <xdr:rowOff>15240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36</xdr:row>
      <xdr:rowOff>175260</xdr:rowOff>
    </xdr:from>
    <xdr:to>
      <xdr:col>18</xdr:col>
      <xdr:colOff>0</xdr:colOff>
      <xdr:row>54</xdr:row>
      <xdr:rowOff>7620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0.87726</cdr:x>
      <cdr:y>0.03406</cdr:y>
    </cdr:from>
    <cdr:to>
      <cdr:x>0.99158</cdr:x>
      <cdr:y>0.16589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5341092" y="111860"/>
          <a:ext cx="696024" cy="432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0.87846</cdr:x>
      <cdr:y>0.0292</cdr:y>
    </cdr:from>
    <cdr:to>
      <cdr:x>0.99158</cdr:x>
      <cdr:y>0.2094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5348398" y="95899"/>
          <a:ext cx="688718" cy="5918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1h actual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0.8738</cdr:x>
      <cdr:y>0.03902</cdr:y>
    </cdr:from>
    <cdr:to>
      <cdr:x>0.99279</cdr:x>
      <cdr:y>0.12439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539740" y="121920"/>
          <a:ext cx="75438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1h past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37</xdr:row>
      <xdr:rowOff>15240</xdr:rowOff>
    </xdr:from>
    <xdr:to>
      <xdr:col>9</xdr:col>
      <xdr:colOff>0</xdr:colOff>
      <xdr:row>58</xdr:row>
      <xdr:rowOff>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</xdr:colOff>
      <xdr:row>37</xdr:row>
      <xdr:rowOff>7620</xdr:rowOff>
    </xdr:from>
    <xdr:to>
      <xdr:col>17</xdr:col>
      <xdr:colOff>784860</xdr:colOff>
      <xdr:row>57</xdr:row>
      <xdr:rowOff>175260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0.00386</cdr:x>
      <cdr:y>0.00634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0.87952</cdr:x>
      <cdr:y>0.03762</cdr:y>
    </cdr:from>
    <cdr:to>
      <cdr:x>0.99398</cdr:x>
      <cdr:y>0.19455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5348150" y="149925"/>
          <a:ext cx="696004" cy="6254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4h actual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0.8759</cdr:x>
      <cdr:y>0.03187</cdr:y>
    </cdr:from>
    <cdr:to>
      <cdr:x>0.99518</cdr:x>
      <cdr:y>0.13546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539740" y="121920"/>
          <a:ext cx="754380" cy="3962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4h past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37</xdr:row>
      <xdr:rowOff>0</xdr:rowOff>
    </xdr:from>
    <xdr:to>
      <xdr:col>8</xdr:col>
      <xdr:colOff>777240</xdr:colOff>
      <xdr:row>58</xdr:row>
      <xdr:rowOff>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15240</xdr:colOff>
      <xdr:row>37</xdr:row>
      <xdr:rowOff>15240</xdr:rowOff>
    </xdr:from>
    <xdr:to>
      <xdr:col>17</xdr:col>
      <xdr:colOff>784860</xdr:colOff>
      <xdr:row>57</xdr:row>
      <xdr:rowOff>175260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0.88554</cdr:x>
      <cdr:y>0.05952</cdr:y>
    </cdr:from>
    <cdr:to>
      <cdr:x>0.99277</cdr:x>
      <cdr:y>0.125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600700" y="228600"/>
          <a:ext cx="678180" cy="2514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0.85783</cdr:x>
      <cdr:y>0.02976</cdr:y>
    </cdr:from>
    <cdr:to>
      <cdr:x>1</cdr:x>
      <cdr:y>0.10516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5554980" y="114300"/>
          <a:ext cx="899160" cy="2895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100"/>
            <a:t>daily actual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0.87937</cdr:x>
      <cdr:y>0.02595</cdr:y>
    </cdr:from>
    <cdr:to>
      <cdr:x>0.99638</cdr:x>
      <cdr:y>0.1833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350588" y="103022"/>
          <a:ext cx="711956" cy="6246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daily past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37</xdr:row>
      <xdr:rowOff>15240</xdr:rowOff>
    </xdr:from>
    <xdr:to>
      <xdr:col>9</xdr:col>
      <xdr:colOff>0</xdr:colOff>
      <xdr:row>58</xdr:row>
      <xdr:rowOff>15240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</xdr:colOff>
      <xdr:row>37</xdr:row>
      <xdr:rowOff>15240</xdr:rowOff>
    </xdr:from>
    <xdr:to>
      <xdr:col>17</xdr:col>
      <xdr:colOff>784860</xdr:colOff>
      <xdr:row>58</xdr:row>
      <xdr:rowOff>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0.83514</cdr:x>
      <cdr:y>0.03373</cdr:y>
    </cdr:from>
    <cdr:to>
      <cdr:x>0.99519</cdr:x>
      <cdr:y>0.17952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084650" y="134937"/>
          <a:ext cx="974445" cy="5832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de-DE" sz="1100"/>
            <a:t> weekly actual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0.85904</cdr:x>
      <cdr:y>0.03187</cdr:y>
    </cdr:from>
    <cdr:to>
      <cdr:x>0.99639</cdr:x>
      <cdr:y>0.20411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233435" y="127009"/>
          <a:ext cx="836762" cy="686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100"/>
            <a:t>weekly past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37</xdr:row>
      <xdr:rowOff>22860</xdr:rowOff>
    </xdr:from>
    <xdr:to>
      <xdr:col>8</xdr:col>
      <xdr:colOff>784860</xdr:colOff>
      <xdr:row>58</xdr:row>
      <xdr:rowOff>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</xdr:colOff>
      <xdr:row>37</xdr:row>
      <xdr:rowOff>15240</xdr:rowOff>
    </xdr:from>
    <xdr:to>
      <xdr:col>18</xdr:col>
      <xdr:colOff>0</xdr:colOff>
      <xdr:row>58</xdr:row>
      <xdr:rowOff>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0.83173</cdr:x>
      <cdr:y>0.03353</cdr:y>
    </cdr:from>
    <cdr:to>
      <cdr:x>0.99519</cdr:x>
      <cdr:y>0.21695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070226" y="133370"/>
          <a:ext cx="996452" cy="7295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de-DE" sz="1100"/>
            <a:t>monthly actual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0.84597</cdr:x>
      <cdr:y>0.03386</cdr:y>
    </cdr:from>
    <cdr:to>
      <cdr:x>0.99519</cdr:x>
      <cdr:y>0.19216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150587" y="134940"/>
          <a:ext cx="908508" cy="6308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100"/>
            <a:t>monthly past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20</xdr:row>
      <xdr:rowOff>7620</xdr:rowOff>
    </xdr:from>
    <xdr:to>
      <xdr:col>7</xdr:col>
      <xdr:colOff>777240</xdr:colOff>
      <xdr:row>36</xdr:row>
      <xdr:rowOff>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</xdr:colOff>
      <xdr:row>20</xdr:row>
      <xdr:rowOff>15240</xdr:rowOff>
    </xdr:from>
    <xdr:to>
      <xdr:col>16</xdr:col>
      <xdr:colOff>777240</xdr:colOff>
      <xdr:row>36</xdr:row>
      <xdr:rowOff>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</xdr:colOff>
      <xdr:row>37</xdr:row>
      <xdr:rowOff>15240</xdr:rowOff>
    </xdr:from>
    <xdr:to>
      <xdr:col>8</xdr:col>
      <xdr:colOff>0</xdr:colOff>
      <xdr:row>53</xdr:row>
      <xdr:rowOff>0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37</xdr:row>
      <xdr:rowOff>0</xdr:rowOff>
    </xdr:from>
    <xdr:to>
      <xdr:col>16</xdr:col>
      <xdr:colOff>769620</xdr:colOff>
      <xdr:row>53</xdr:row>
      <xdr:rowOff>22860</xdr:rowOff>
    </xdr:to>
    <xdr:graphicFrame macro="">
      <xdr:nvGraphicFramePr>
        <xdr:cNvPr id="8" name="Diagramm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0.8948</cdr:x>
      <cdr:y>0.02611</cdr:y>
    </cdr:from>
    <cdr:to>
      <cdr:x>0.99516</cdr:x>
      <cdr:y>0.13577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638800" y="76200"/>
          <a:ext cx="632460" cy="3200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actual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0.87093</cdr:x>
      <cdr:y>0.03927</cdr:y>
    </cdr:from>
    <cdr:to>
      <cdr:x>0.99156</cdr:x>
      <cdr:y>0.13613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501640" y="114300"/>
          <a:ext cx="762000" cy="2819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actual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0.89505</cdr:x>
      <cdr:y>0.03141</cdr:y>
    </cdr:from>
    <cdr:to>
      <cdr:x>0.99638</cdr:x>
      <cdr:y>0.12827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654040" y="91440"/>
          <a:ext cx="640080" cy="2819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past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0.87093</cdr:x>
      <cdr:y>0.03927</cdr:y>
    </cdr:from>
    <cdr:to>
      <cdr:x>0.99156</cdr:x>
      <cdr:y>0.13613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5501640" y="114300"/>
          <a:ext cx="762000" cy="2819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/>
            <a:t>past</a:t>
          </a:r>
        </a:p>
      </cdr:txBody>
    </cdr:sp>
  </cdr:relSizeAnchor>
</c:userShape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101777</val>
          </value>
        </values>
      </ddeItem>
      <ddeItem name="AUDJPY" advise="1">
        <values>
          <value>
            <val>97047</val>
          </value>
        </values>
      </ddeItem>
      <ddeItem name="AUDUSD" advise="1">
        <values>
          <value t="str">
            <val>0.93427</val>
          </value>
        </values>
      </ddeItem>
      <ddeItem name="CADJPY" advise="1">
        <values>
          <value>
            <val>95340</val>
          </value>
        </values>
      </ddeItem>
      <ddeItem name="EURAUD" advise="1">
        <values>
          <value>
            <val>141043</val>
          </value>
        </values>
      </ddeItem>
      <ddeItem name="EURCAD" advise="1">
        <values>
          <value>
            <val>143569</val>
          </value>
        </values>
      </ddeItem>
      <ddeItem name="EURGBP" advise="1">
        <values>
          <value t="str">
            <val>0.79400</val>
          </value>
        </values>
      </ddeItem>
      <ddeItem name="EURJPY" advise="1">
        <values>
          <value>
            <val>136896</val>
          </value>
        </values>
      </ddeItem>
      <ddeItem name="EURUSD" advise="1">
        <values>
          <value>
            <val>131786</val>
          </value>
        </values>
      </ddeItem>
      <ddeItem name="GBPAUD" advise="1">
        <values>
          <value>
            <val>177603</val>
          </value>
        </values>
      </ddeItem>
      <ddeItem name="GBPCAD" advise="1">
        <values>
          <value>
            <val>180788</val>
          </value>
        </values>
      </ddeItem>
      <ddeItem name="GBPJPY" advise="1">
        <values>
          <value>
            <val>172387</val>
          </value>
        </values>
      </ddeItem>
      <ddeItem name="GBPUSD" advise="1">
        <values>
          <value>
            <val>165956</val>
          </value>
        </values>
      </ddeItem>
      <ddeItem name="StdDocumentName" ole="1" advise="1"/>
      <ddeItem name="USDCAD" advise="1">
        <values>
          <value>
            <val>108928</val>
          </value>
        </values>
      </ddeItem>
      <ddeItem name="USDJPY" advise="1">
        <values>
          <value>
            <val>103869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102037</val>
          </value>
        </values>
      </ddeItem>
      <ddeItem name="AUDJPY" advise="1">
        <values>
          <value>
            <val>97149</val>
          </value>
        </values>
      </ddeItem>
      <ddeItem name="AUDUSD" advise="1">
        <values>
          <value t="str">
            <val>0.93503</val>
          </value>
        </values>
      </ddeItem>
      <ddeItem name="CADJPY" advise="1">
        <values>
          <value>
            <val>95416</val>
          </value>
        </values>
      </ddeItem>
      <ddeItem name="EURAUD" advise="1">
        <values>
          <value>
            <val>141555</val>
          </value>
        </values>
      </ddeItem>
      <ddeItem name="EURCAD" advise="1">
        <values>
          <value>
            <val>144270</val>
          </value>
        </values>
      </ddeItem>
      <ddeItem name="EURGBP" advise="1">
        <values>
          <value t="str">
            <val>0.79621</val>
          </value>
        </values>
      </ddeItem>
      <ddeItem name="EURJPY" advise="1">
        <values>
          <value>
            <val>137138</val>
          </value>
        </values>
      </ddeItem>
      <ddeItem name="EURUSD" advise="1">
        <values>
          <value>
            <val>131878</val>
          </value>
        </values>
      </ddeItem>
      <ddeItem name="GBPAUD" advise="1">
        <values>
          <value>
            <val>177805</val>
          </value>
        </values>
      </ddeItem>
      <ddeItem name="GBPCAD" advise="1">
        <values>
          <value>
            <val>181237</val>
          </value>
        </values>
      </ddeItem>
      <ddeItem name="GBPJPY" advise="1">
        <values>
          <value>
            <val>172511</val>
          </value>
        </values>
      </ddeItem>
      <ddeItem name="GBPUSD" advise="1">
        <values>
          <value>
            <val>166043</val>
          </value>
        </values>
      </ddeItem>
      <ddeItem name="StdDocumentName" ole="1" advise="1"/>
      <ddeItem name="USDCAD" advise="1">
        <values>
          <value>
            <val>109547</val>
          </value>
        </values>
      </ddeItem>
      <ddeItem name="USDJPY" advise="1">
        <values>
          <value>
            <val>104151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101593</val>
          </value>
        </values>
      </ddeItem>
      <ddeItem name="AUDJPY" advise="1">
        <values>
          <value>
            <val>96769</val>
          </value>
        </values>
      </ddeItem>
      <ddeItem name="AUDUSD" advise="1">
        <values>
          <value t="str">
            <val>0.92988</val>
          </value>
        </values>
      </ddeItem>
      <ddeItem name="CADJPY" advise="1">
        <values>
          <value>
            <val>94969</val>
          </value>
        </values>
      </ddeItem>
      <ddeItem name="EURAUD" advise="1">
        <values>
          <value>
            <val>140946</val>
          </value>
        </values>
      </ddeItem>
      <ddeItem name="EURCAD" advise="1">
        <values>
          <value>
            <val>143544</val>
          </value>
        </values>
      </ddeItem>
      <ddeItem name="EURGBP" advise="1">
        <values>
          <value t="str">
            <val>0.79374</val>
          </value>
        </values>
      </ddeItem>
      <ddeItem name="EURJPY" advise="1">
        <values>
          <value>
            <val>136796</val>
          </value>
        </values>
      </ddeItem>
      <ddeItem name="EURUSD" advise="1">
        <values>
          <value>
            <val>131515</val>
          </value>
        </values>
      </ddeItem>
      <ddeItem name="GBPAUD" advise="1">
        <values>
          <value>
            <val>177324</val>
          </value>
        </values>
      </ddeItem>
      <ddeItem name="GBPCAD" advise="1">
        <values>
          <value>
            <val>180360</val>
          </value>
        </values>
      </ddeItem>
      <ddeItem name="GBPJPY" advise="1">
        <values>
          <value>
            <val>172049</val>
          </value>
        </values>
      </ddeItem>
      <ddeItem name="GBPUSD" advise="1">
        <values>
          <value>
            <val>165358</val>
          </value>
        </values>
      </ddeItem>
      <ddeItem name="StdDocumentName" ole="1" advise="1"/>
      <ddeItem name="USDCAD" advise="1">
        <values>
          <value>
            <val>108883</val>
          </value>
        </values>
      </ddeItem>
      <ddeItem name="USDJPY" advise="1">
        <values>
          <value>
            <val>103770</val>
          </value>
        </values>
      </ddeItem>
    </ddeItems>
  </ddeLink>
</externalLink>
</file>

<file path=xl/queryTables/queryTable1.xml><?xml version="1.0" encoding="utf-8"?>
<queryTable xmlns="http://schemas.openxmlformats.org/spreadsheetml/2006/main" name="Infinitus Currency Strength" refreshOnLoad="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finitus Currency Strength past period" refreshOnLoad="1" removeDataOnSave="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workbookViewId="0">
      <selection activeCell="E25" sqref="E25"/>
    </sheetView>
  </sheetViews>
  <sheetFormatPr baseColWidth="10" defaultRowHeight="15" x14ac:dyDescent="0.25"/>
  <cols>
    <col min="10" max="10" width="5.28515625" customWidth="1"/>
  </cols>
  <sheetData>
    <row r="1" spans="1:19" x14ac:dyDescent="0.25">
      <c r="A1" s="1" t="s">
        <v>0</v>
      </c>
      <c r="B1" s="1"/>
    </row>
    <row r="2" spans="1:19" ht="15.75" thickBot="1" x14ac:dyDescent="0.3"/>
    <row r="3" spans="1:19" ht="15.75" thickBot="1" x14ac:dyDescent="0.3">
      <c r="A3" s="4"/>
      <c r="B3" s="38" t="s">
        <v>61</v>
      </c>
      <c r="C3" s="39" t="s">
        <v>5</v>
      </c>
      <c r="D3" s="39" t="s">
        <v>6</v>
      </c>
      <c r="E3" s="39" t="s">
        <v>7</v>
      </c>
      <c r="F3" s="39" t="s">
        <v>8</v>
      </c>
      <c r="G3" s="39" t="s">
        <v>15</v>
      </c>
      <c r="H3" s="39" t="s">
        <v>16</v>
      </c>
      <c r="I3" s="40" t="s">
        <v>22</v>
      </c>
      <c r="K3" s="4" t="s">
        <v>63</v>
      </c>
      <c r="L3" s="3" t="s">
        <v>17</v>
      </c>
      <c r="M3" s="3" t="s">
        <v>18</v>
      </c>
      <c r="N3" s="3" t="s">
        <v>20</v>
      </c>
      <c r="O3" s="3" t="s">
        <v>19</v>
      </c>
      <c r="P3" s="3" t="s">
        <v>21</v>
      </c>
      <c r="Q3" s="3" t="s">
        <v>29</v>
      </c>
      <c r="R3" s="3" t="s">
        <v>23</v>
      </c>
      <c r="S3" s="15"/>
    </row>
    <row r="4" spans="1:19" x14ac:dyDescent="0.25">
      <c r="A4" s="28" t="s">
        <v>1</v>
      </c>
      <c r="B4" s="28"/>
      <c r="C4" s="21">
        <f>[1]!EURUSD/100000</f>
        <v>1.31786</v>
      </c>
      <c r="D4" s="17">
        <f>[2]!EURUSD/100000</f>
        <v>1.3187800000000001</v>
      </c>
      <c r="E4" s="17">
        <f>[3]!EURUSD/100000</f>
        <v>1.31515</v>
      </c>
      <c r="F4" s="17">
        <f>(D4+E4)/2</f>
        <v>1.3169650000000002</v>
      </c>
      <c r="G4" s="22" t="str">
        <f>IF(C4&gt;F4,"YES","NO")</f>
        <v>YES</v>
      </c>
      <c r="H4" s="9">
        <f>IF(G4="YES",100/(D4-F4)*(C4-F4),100/(F4-E4)*(F4-C4)*-1)</f>
        <v>49.311294765835669</v>
      </c>
      <c r="I4" s="23">
        <f>H4*-1</f>
        <v>-49.311294765835669</v>
      </c>
      <c r="J4" s="2"/>
      <c r="K4" s="15" t="s">
        <v>17</v>
      </c>
      <c r="L4" s="14"/>
      <c r="M4" s="7">
        <f>I4</f>
        <v>-49.311294765835669</v>
      </c>
      <c r="N4" s="7">
        <f>I5</f>
        <v>-74.598540145981147</v>
      </c>
      <c r="O4" s="7">
        <f>I6</f>
        <v>-70.485436893204479</v>
      </c>
      <c r="P4" s="7">
        <f>H7</f>
        <v>-48.031496062990186</v>
      </c>
      <c r="Q4" s="7">
        <f>H8</f>
        <v>-86.445783132528234</v>
      </c>
      <c r="R4" s="7">
        <f t="shared" ref="R4:R9" si="0">SUM(L4:Q4)/5</f>
        <v>-65.77451020010794</v>
      </c>
      <c r="S4" s="15" t="s">
        <v>17</v>
      </c>
    </row>
    <row r="5" spans="1:19" x14ac:dyDescent="0.25">
      <c r="A5" s="28" t="s">
        <v>2</v>
      </c>
      <c r="B5" s="28"/>
      <c r="C5" s="21">
        <f>[1]!GBPUSD/100000</f>
        <v>1.6595599999999999</v>
      </c>
      <c r="D5" s="17">
        <f>[2]!GBPUSD/100000</f>
        <v>1.6604300000000001</v>
      </c>
      <c r="E5" s="17">
        <f>[3]!GBPUSD/100000</f>
        <v>1.65358</v>
      </c>
      <c r="F5" s="17">
        <f t="shared" ref="F5:F16" si="1">(D5+E5)/2</f>
        <v>1.6570050000000001</v>
      </c>
      <c r="G5" s="22" t="str">
        <f t="shared" ref="G5:G16" si="2">IF(C5&gt;F5,"YES","NO")</f>
        <v>YES</v>
      </c>
      <c r="H5" s="9">
        <f t="shared" ref="H5:H16" si="3">IF(G5="YES",100/(D5-F5)*(C5-F5),100/(F5-E5)*(F5-C5)*-1)</f>
        <v>74.598540145981147</v>
      </c>
      <c r="I5" s="23">
        <f t="shared" ref="I5:I16" si="4">H5*-1</f>
        <v>-74.598540145981147</v>
      </c>
      <c r="J5" s="2"/>
      <c r="K5" s="5" t="s">
        <v>18</v>
      </c>
      <c r="L5" s="9">
        <f>H4</f>
        <v>49.311294765835669</v>
      </c>
      <c r="M5" s="8"/>
      <c r="N5" s="9">
        <f>H9</f>
        <v>-78.947368421049319</v>
      </c>
      <c r="O5" s="9">
        <f>H10</f>
        <v>-68.144499178977057</v>
      </c>
      <c r="P5" s="9">
        <f>H11</f>
        <v>-41.520467836257986</v>
      </c>
      <c r="Q5" s="9">
        <f>H12</f>
        <v>-93.112947658406057</v>
      </c>
      <c r="R5" s="9">
        <f t="shared" si="0"/>
        <v>-46.482797665770946</v>
      </c>
      <c r="S5" s="5" t="s">
        <v>18</v>
      </c>
    </row>
    <row r="6" spans="1:19" x14ac:dyDescent="0.25">
      <c r="A6" s="28" t="s">
        <v>3</v>
      </c>
      <c r="B6" s="28"/>
      <c r="C6" s="21">
        <f>REPLACE([1]!AUDUSD,2,1,",")*1</f>
        <v>0.93427000000000004</v>
      </c>
      <c r="D6" s="17">
        <f>REPLACE([2]!AUDUSD,2,1,",")*1</f>
        <v>0.93503000000000003</v>
      </c>
      <c r="E6" s="17">
        <f>REPLACE([3]!AUDUSD,2,1,",")*1</f>
        <v>0.92988000000000004</v>
      </c>
      <c r="F6" s="17">
        <f t="shared" si="1"/>
        <v>0.93245500000000003</v>
      </c>
      <c r="G6" s="22" t="str">
        <f t="shared" si="2"/>
        <v>YES</v>
      </c>
      <c r="H6" s="9">
        <f t="shared" si="3"/>
        <v>70.485436893204479</v>
      </c>
      <c r="I6" s="23">
        <f t="shared" si="4"/>
        <v>-70.485436893204479</v>
      </c>
      <c r="J6" s="2"/>
      <c r="K6" s="5" t="s">
        <v>20</v>
      </c>
      <c r="L6" s="9">
        <f>H5</f>
        <v>74.598540145981147</v>
      </c>
      <c r="M6" s="9">
        <f>I9</f>
        <v>78.947368421049319</v>
      </c>
      <c r="N6" s="8"/>
      <c r="O6" s="9">
        <f>H13</f>
        <v>16.008316008319387</v>
      </c>
      <c r="P6" s="9">
        <f>H14</f>
        <v>46.32034632034712</v>
      </c>
      <c r="Q6" s="9">
        <f>H15</f>
        <v>-2.3945267958956684</v>
      </c>
      <c r="R6" s="9">
        <f t="shared" si="0"/>
        <v>42.696008819960255</v>
      </c>
      <c r="S6" s="5" t="s">
        <v>20</v>
      </c>
    </row>
    <row r="7" spans="1:19" x14ac:dyDescent="0.25">
      <c r="A7" s="28" t="s">
        <v>4</v>
      </c>
      <c r="B7" s="28"/>
      <c r="C7" s="21">
        <f>[1]!USDJPY/1000</f>
        <v>103.869</v>
      </c>
      <c r="D7" s="17">
        <f>[2]!USDJPY/1000</f>
        <v>104.151</v>
      </c>
      <c r="E7" s="17">
        <f>[3]!USDJPY/1000</f>
        <v>103.77</v>
      </c>
      <c r="F7" s="17">
        <f t="shared" si="1"/>
        <v>103.9605</v>
      </c>
      <c r="G7" s="22" t="str">
        <f t="shared" si="2"/>
        <v>NO</v>
      </c>
      <c r="H7" s="9">
        <f t="shared" si="3"/>
        <v>-48.031496062990186</v>
      </c>
      <c r="I7" s="23">
        <f t="shared" si="4"/>
        <v>48.031496062990186</v>
      </c>
      <c r="J7" s="2"/>
      <c r="K7" s="5" t="s">
        <v>19</v>
      </c>
      <c r="L7" s="9">
        <f>H6</f>
        <v>70.485436893204479</v>
      </c>
      <c r="M7" s="9">
        <f>I10</f>
        <v>68.144499178977057</v>
      </c>
      <c r="N7" s="9">
        <f>I13</f>
        <v>-16.008316008319387</v>
      </c>
      <c r="O7" s="8"/>
      <c r="P7" s="9">
        <f>H16</f>
        <v>46.315789473681534</v>
      </c>
      <c r="Q7" s="9">
        <f>H17</f>
        <v>-17.117117117117235</v>
      </c>
      <c r="R7" s="9">
        <f t="shared" si="0"/>
        <v>30.364058484085284</v>
      </c>
      <c r="S7" s="5" t="s">
        <v>19</v>
      </c>
    </row>
    <row r="8" spans="1:19" x14ac:dyDescent="0.25">
      <c r="A8" s="28" t="s">
        <v>24</v>
      </c>
      <c r="B8" s="28"/>
      <c r="C8" s="21">
        <f>[1]!USDCAD/100000</f>
        <v>1.08928</v>
      </c>
      <c r="D8" s="17">
        <f>[2]!USDCAD/100000</f>
        <v>1.0954699999999999</v>
      </c>
      <c r="E8" s="17">
        <f>[3]!USDCAD/100000</f>
        <v>1.08883</v>
      </c>
      <c r="F8" s="17">
        <f>(D8+E8)/2</f>
        <v>1.09215</v>
      </c>
      <c r="G8" s="22" t="str">
        <f t="shared" ref="G8" si="5">IF(C8&gt;F8,"YES","NO")</f>
        <v>NO</v>
      </c>
      <c r="H8" s="9">
        <f t="shared" ref="H8" si="6">IF(G8="YES",100/(D8-F8)*(C8-F8),100/(F8-E8)*(F8-C8)*-1)</f>
        <v>-86.445783132528234</v>
      </c>
      <c r="I8" s="23">
        <f t="shared" ref="I8" si="7">H8*-1</f>
        <v>86.445783132528234</v>
      </c>
      <c r="J8" s="2"/>
      <c r="K8" s="5" t="s">
        <v>21</v>
      </c>
      <c r="L8" s="9">
        <f>I7</f>
        <v>48.031496062990186</v>
      </c>
      <c r="M8" s="9">
        <f>I11</f>
        <v>41.520467836257986</v>
      </c>
      <c r="N8" s="9">
        <f>I14</f>
        <v>-46.32034632034712</v>
      </c>
      <c r="O8" s="9">
        <f>I16</f>
        <v>-46.315789473681534</v>
      </c>
      <c r="P8" s="8"/>
      <c r="Q8" s="9">
        <f>I18</f>
        <v>-65.995525727072504</v>
      </c>
      <c r="R8" s="9">
        <f t="shared" si="0"/>
        <v>-13.8159395243706</v>
      </c>
      <c r="S8" s="5" t="s">
        <v>21</v>
      </c>
    </row>
    <row r="9" spans="1:19" ht="15.75" thickBot="1" x14ac:dyDescent="0.3">
      <c r="A9" s="28" t="s">
        <v>9</v>
      </c>
      <c r="B9" s="28"/>
      <c r="C9" s="21">
        <f>REPLACE([1]!EURGBP,2,1,",")*1</f>
        <v>0.79400000000000004</v>
      </c>
      <c r="D9" s="17">
        <f>REPLACE([2]!EURGBP,2,1,",")*1</f>
        <v>0.79620999999999997</v>
      </c>
      <c r="E9" s="17">
        <f>REPLACE([3]!EURGBP,2,1,",")*1</f>
        <v>0.79374</v>
      </c>
      <c r="F9" s="17">
        <f t="shared" si="1"/>
        <v>0.79497499999999999</v>
      </c>
      <c r="G9" s="22" t="str">
        <f t="shared" si="2"/>
        <v>NO</v>
      </c>
      <c r="H9" s="9">
        <f t="shared" si="3"/>
        <v>-78.947368421049319</v>
      </c>
      <c r="I9" s="23">
        <f t="shared" si="4"/>
        <v>78.947368421049319</v>
      </c>
      <c r="J9" s="2"/>
      <c r="K9" s="13" t="s">
        <v>29</v>
      </c>
      <c r="L9" s="9">
        <f>I8</f>
        <v>86.445783132528234</v>
      </c>
      <c r="M9" s="9">
        <f>I12</f>
        <v>93.112947658406057</v>
      </c>
      <c r="N9" s="9">
        <f>I15</f>
        <v>2.3945267958956684</v>
      </c>
      <c r="O9" s="9">
        <f>I17</f>
        <v>17.117117117117235</v>
      </c>
      <c r="P9" s="9">
        <f>H18</f>
        <v>65.995525727072504</v>
      </c>
      <c r="Q9" s="9"/>
      <c r="R9" s="16">
        <f t="shared" si="0"/>
        <v>53.013180086203946</v>
      </c>
      <c r="S9" s="6" t="s">
        <v>29</v>
      </c>
    </row>
    <row r="10" spans="1:19" ht="15.75" thickBot="1" x14ac:dyDescent="0.3">
      <c r="A10" s="28" t="s">
        <v>10</v>
      </c>
      <c r="B10" s="28"/>
      <c r="C10" s="21">
        <f>[1]!EURAUD/100000</f>
        <v>1.4104300000000001</v>
      </c>
      <c r="D10" s="17">
        <f>[2]!EURAUD/100000</f>
        <v>1.4155500000000001</v>
      </c>
      <c r="E10" s="17">
        <f>[3]!EURAUD/100000</f>
        <v>1.4094599999999999</v>
      </c>
      <c r="F10" s="17">
        <f t="shared" si="1"/>
        <v>1.4125049999999999</v>
      </c>
      <c r="G10" s="22" t="str">
        <f t="shared" si="2"/>
        <v>NO</v>
      </c>
      <c r="H10" s="9">
        <f t="shared" si="3"/>
        <v>-68.144499178977057</v>
      </c>
      <c r="I10" s="23">
        <f t="shared" si="4"/>
        <v>68.144499178977057</v>
      </c>
      <c r="J10" s="2"/>
      <c r="K10" s="13" t="s">
        <v>23</v>
      </c>
      <c r="L10" s="11">
        <f>R4</f>
        <v>-65.77451020010794</v>
      </c>
      <c r="M10" s="11">
        <f>R5</f>
        <v>-46.482797665770946</v>
      </c>
      <c r="N10" s="11">
        <f>R6</f>
        <v>42.696008819960255</v>
      </c>
      <c r="O10" s="11">
        <f>R7</f>
        <v>30.364058484085284</v>
      </c>
      <c r="P10" s="11">
        <f>R8</f>
        <v>-13.8159395243706</v>
      </c>
      <c r="Q10" s="11">
        <f>R9</f>
        <v>53.013180086203946</v>
      </c>
      <c r="R10" s="12"/>
      <c r="S10" s="4" t="s">
        <v>23</v>
      </c>
    </row>
    <row r="11" spans="1:19" x14ac:dyDescent="0.25">
      <c r="A11" s="28" t="s">
        <v>11</v>
      </c>
      <c r="B11" s="28"/>
      <c r="C11" s="21">
        <f>[1]!EURJPY/1000</f>
        <v>136.89599999999999</v>
      </c>
      <c r="D11" s="17">
        <f>[2]!EURJPY/1000</f>
        <v>137.13800000000001</v>
      </c>
      <c r="E11" s="17">
        <f>[3]!EURJPY/1000</f>
        <v>136.79599999999999</v>
      </c>
      <c r="F11" s="17">
        <f t="shared" si="1"/>
        <v>136.96699999999998</v>
      </c>
      <c r="G11" s="22" t="str">
        <f t="shared" si="2"/>
        <v>NO</v>
      </c>
      <c r="H11" s="9">
        <f t="shared" si="3"/>
        <v>-41.520467836257986</v>
      </c>
      <c r="I11" s="23">
        <f t="shared" si="4"/>
        <v>41.520467836257986</v>
      </c>
      <c r="J11" s="2"/>
    </row>
    <row r="12" spans="1:19" x14ac:dyDescent="0.25">
      <c r="A12" s="28" t="s">
        <v>25</v>
      </c>
      <c r="B12" s="28"/>
      <c r="C12" s="21">
        <f>[1]!EURCAD/100000</f>
        <v>1.4356899999999999</v>
      </c>
      <c r="D12" s="17">
        <f>[2]!EURCAD/100000</f>
        <v>1.4427000000000001</v>
      </c>
      <c r="E12" s="17">
        <f>[3]!EURCAD/100000</f>
        <v>1.43544</v>
      </c>
      <c r="F12" s="17">
        <f t="shared" ref="F12" si="8">(D12+E12)/2</f>
        <v>1.4390700000000001</v>
      </c>
      <c r="G12" s="22" t="str">
        <f t="shared" ref="G12" si="9">IF(C12&gt;F12,"YES","NO")</f>
        <v>NO</v>
      </c>
      <c r="H12" s="9">
        <f t="shared" ref="H12" si="10">IF(G12="YES",100/(D12-F12)*(C12-F12),100/(F12-E12)*(F12-C12)*-1)</f>
        <v>-93.112947658406057</v>
      </c>
      <c r="I12" s="23">
        <f t="shared" ref="I12" si="11">H12*-1</f>
        <v>93.112947658406057</v>
      </c>
      <c r="J12" s="2"/>
    </row>
    <row r="13" spans="1:19" x14ac:dyDescent="0.25">
      <c r="A13" s="28" t="s">
        <v>12</v>
      </c>
      <c r="B13" s="28"/>
      <c r="C13" s="21">
        <f>[1]!GBPAUD/100000</f>
        <v>1.77603</v>
      </c>
      <c r="D13" s="17">
        <f>[2]!GBPAUD/100000</f>
        <v>1.7780499999999999</v>
      </c>
      <c r="E13" s="17">
        <f>[3]!GBPAUD/100000</f>
        <v>1.7732399999999999</v>
      </c>
      <c r="F13" s="17">
        <f t="shared" si="1"/>
        <v>1.7756449999999999</v>
      </c>
      <c r="G13" s="22" t="str">
        <f t="shared" si="2"/>
        <v>YES</v>
      </c>
      <c r="H13" s="9">
        <f t="shared" si="3"/>
        <v>16.008316008319387</v>
      </c>
      <c r="I13" s="23">
        <f t="shared" si="4"/>
        <v>-16.008316008319387</v>
      </c>
      <c r="J13" s="2"/>
    </row>
    <row r="14" spans="1:19" x14ac:dyDescent="0.25">
      <c r="A14" s="28" t="s">
        <v>13</v>
      </c>
      <c r="B14" s="28"/>
      <c r="C14" s="21">
        <f>[1]!GBPJPY/1000</f>
        <v>172.387</v>
      </c>
      <c r="D14" s="17">
        <f>[2]!GBPJPY/1000</f>
        <v>172.511</v>
      </c>
      <c r="E14" s="17">
        <f>[3]!GBPJPY/1000</f>
        <v>172.04900000000001</v>
      </c>
      <c r="F14" s="17">
        <f t="shared" si="1"/>
        <v>172.28</v>
      </c>
      <c r="G14" s="22" t="str">
        <f t="shared" si="2"/>
        <v>YES</v>
      </c>
      <c r="H14" s="9">
        <f t="shared" si="3"/>
        <v>46.32034632034712</v>
      </c>
      <c r="I14" s="23">
        <f t="shared" si="4"/>
        <v>-46.32034632034712</v>
      </c>
      <c r="J14" s="2"/>
    </row>
    <row r="15" spans="1:19" x14ac:dyDescent="0.25">
      <c r="A15" s="28" t="s">
        <v>26</v>
      </c>
      <c r="B15" s="28"/>
      <c r="C15" s="21">
        <f>[1]!GBPCAD/100000</f>
        <v>1.8078799999999999</v>
      </c>
      <c r="D15" s="17">
        <f>[2]!GBPCAD/100000</f>
        <v>1.81237</v>
      </c>
      <c r="E15" s="17">
        <f>[3]!GBPCAD/100000</f>
        <v>1.8036000000000001</v>
      </c>
      <c r="F15" s="17">
        <f t="shared" ref="F15" si="12">(D15+E15)/2</f>
        <v>1.807985</v>
      </c>
      <c r="G15" s="22" t="str">
        <f t="shared" ref="G15" si="13">IF(C15&gt;F15,"YES","NO")</f>
        <v>NO</v>
      </c>
      <c r="H15" s="9">
        <f t="shared" ref="H15" si="14">IF(G15="YES",100/(D15-F15)*(C15-F15),100/(F15-E15)*(F15-C15)*-1)</f>
        <v>-2.3945267958956684</v>
      </c>
      <c r="I15" s="23">
        <f t="shared" ref="I15" si="15">H15*-1</f>
        <v>2.3945267958956684</v>
      </c>
      <c r="J15" s="2"/>
    </row>
    <row r="16" spans="1:19" x14ac:dyDescent="0.25">
      <c r="A16" s="28" t="s">
        <v>14</v>
      </c>
      <c r="B16" s="28"/>
      <c r="C16" s="21">
        <f>[1]!AUDJPY/1000</f>
        <v>97.046999999999997</v>
      </c>
      <c r="D16" s="17">
        <f>[2]!AUDJPY/1000</f>
        <v>97.149000000000001</v>
      </c>
      <c r="E16" s="17">
        <f>[3]!AUDJPY/1000</f>
        <v>96.769000000000005</v>
      </c>
      <c r="F16" s="17">
        <f t="shared" si="1"/>
        <v>96.959000000000003</v>
      </c>
      <c r="G16" s="22" t="str">
        <f t="shared" si="2"/>
        <v>YES</v>
      </c>
      <c r="H16" s="9">
        <f t="shared" si="3"/>
        <v>46.315789473681534</v>
      </c>
      <c r="I16" s="23">
        <f t="shared" si="4"/>
        <v>-46.315789473681534</v>
      </c>
      <c r="J16" s="2"/>
    </row>
    <row r="17" spans="1:9" x14ac:dyDescent="0.25">
      <c r="A17" s="28" t="s">
        <v>28</v>
      </c>
      <c r="B17" s="28"/>
      <c r="C17" s="21">
        <f>REPLACE([1]!AUDCAD,2,1,",")*1</f>
        <v>1.1777</v>
      </c>
      <c r="D17" s="17">
        <f>REPLACE([2]!AUDCAD,2,1,",")*1</f>
        <v>1.2037</v>
      </c>
      <c r="E17" s="17">
        <f>REPLACE([3]!AUDCAD,2,1,",")*1</f>
        <v>1.1593</v>
      </c>
      <c r="F17" s="17">
        <f>(D17+E17)/2</f>
        <v>1.1815</v>
      </c>
      <c r="G17" s="22" t="str">
        <f t="shared" ref="G17:G18" si="16">IF(C17&gt;F17,"YES","NO")</f>
        <v>NO</v>
      </c>
      <c r="H17" s="9">
        <f t="shared" ref="H17:H18" si="17">IF(G17="YES",100/(D17-F17)*(C17-F17),100/(F17-E17)*(F17-C17)*-1)</f>
        <v>-17.117117117117235</v>
      </c>
      <c r="I17" s="23">
        <f t="shared" ref="I17:I18" si="18">H17*-1</f>
        <v>17.117117117117235</v>
      </c>
    </row>
    <row r="18" spans="1:9" ht="15.75" thickBot="1" x14ac:dyDescent="0.3">
      <c r="A18" s="29" t="s">
        <v>27</v>
      </c>
      <c r="B18" s="29"/>
      <c r="C18" s="24">
        <f>[1]!CADJPY/1000</f>
        <v>95.34</v>
      </c>
      <c r="D18" s="25">
        <f>[2]!CADJPY/1000</f>
        <v>95.415999999999997</v>
      </c>
      <c r="E18" s="25">
        <f>[3]!CADJPY/1000</f>
        <v>94.968999999999994</v>
      </c>
      <c r="F18" s="25">
        <f t="shared" ref="F18" si="19">(D18+E18)/2</f>
        <v>95.192499999999995</v>
      </c>
      <c r="G18" s="26" t="str">
        <f t="shared" si="16"/>
        <v>YES</v>
      </c>
      <c r="H18" s="10">
        <f t="shared" si="17"/>
        <v>65.995525727072504</v>
      </c>
      <c r="I18" s="27">
        <f t="shared" si="18"/>
        <v>-65.995525727072504</v>
      </c>
    </row>
    <row r="20" spans="1:9" x14ac:dyDescent="0.25">
      <c r="B20" t="s">
        <v>62</v>
      </c>
    </row>
  </sheetData>
  <conditionalFormatting sqref="L4:R8 R9">
    <cfRule type="cellIs" dxfId="71" priority="6" stopIfTrue="1" operator="lessThan">
      <formula>0</formula>
    </cfRule>
    <cfRule type="cellIs" dxfId="70" priority="7" stopIfTrue="1" operator="greaterThan">
      <formula>0</formula>
    </cfRule>
  </conditionalFormatting>
  <conditionalFormatting sqref="L9:Q9">
    <cfRule type="cellIs" dxfId="69" priority="3" stopIfTrue="1" operator="lessThan">
      <formula>0</formula>
    </cfRule>
    <cfRule type="cellIs" dxfId="68" priority="4" stopIfTrue="1" operator="greaterThan">
      <formula>0</formula>
    </cfRule>
  </conditionalFormatting>
  <conditionalFormatting sqref="L10:R10">
    <cfRule type="cellIs" dxfId="67" priority="1" operator="lessThan">
      <formula>0</formula>
    </cfRule>
    <cfRule type="cellIs" dxfId="66" priority="2" operator="greaterThan">
      <formula>0</formula>
    </cfRule>
  </conditionalFormatting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19" workbookViewId="0">
      <selection activeCell="K31" sqref="K31"/>
    </sheetView>
  </sheetViews>
  <sheetFormatPr baseColWidth="10" defaultRowHeight="15" x14ac:dyDescent="0.25"/>
  <cols>
    <col min="10" max="10" width="3.5703125" customWidth="1"/>
  </cols>
  <sheetData>
    <row r="1" spans="1:19" x14ac:dyDescent="0.25">
      <c r="A1" s="1" t="s">
        <v>0</v>
      </c>
      <c r="B1" s="1"/>
    </row>
    <row r="2" spans="1:19" ht="15.75" thickBot="1" x14ac:dyDescent="0.3"/>
    <row r="3" spans="1:19" ht="15.75" thickBot="1" x14ac:dyDescent="0.3">
      <c r="A3" s="4" t="s">
        <v>63</v>
      </c>
      <c r="B3" s="38" t="s">
        <v>61</v>
      </c>
      <c r="C3" s="39" t="s">
        <v>5</v>
      </c>
      <c r="D3" s="39" t="s">
        <v>6</v>
      </c>
      <c r="E3" s="39" t="s">
        <v>7</v>
      </c>
      <c r="F3" s="39" t="s">
        <v>8</v>
      </c>
      <c r="G3" s="39" t="s">
        <v>15</v>
      </c>
      <c r="H3" s="39" t="s">
        <v>16</v>
      </c>
      <c r="I3" s="40" t="s">
        <v>22</v>
      </c>
      <c r="K3" s="4" t="s">
        <v>63</v>
      </c>
      <c r="L3" s="3" t="s">
        <v>17</v>
      </c>
      <c r="M3" s="3" t="s">
        <v>18</v>
      </c>
      <c r="N3" s="3" t="s">
        <v>20</v>
      </c>
      <c r="O3" s="3" t="s">
        <v>19</v>
      </c>
      <c r="P3" s="3" t="s">
        <v>21</v>
      </c>
      <c r="Q3" s="3" t="s">
        <v>29</v>
      </c>
      <c r="R3" s="3" t="s">
        <v>23</v>
      </c>
      <c r="S3" s="15"/>
    </row>
    <row r="4" spans="1:19" x14ac:dyDescent="0.25">
      <c r="A4" s="28" t="s">
        <v>1</v>
      </c>
      <c r="B4" s="41">
        <f>Data!$T$2</f>
        <v>1.3186</v>
      </c>
      <c r="C4" s="18">
        <f>Data!$O$2</f>
        <v>1.3180000000000001</v>
      </c>
      <c r="D4" s="18">
        <f>Data!$N$2</f>
        <v>1.3186</v>
      </c>
      <c r="E4" s="18">
        <f>Data!$M$2</f>
        <v>1.3176000000000001</v>
      </c>
      <c r="F4" s="18">
        <f>(D4+E4)/2</f>
        <v>1.3181</v>
      </c>
      <c r="G4" s="19" t="str">
        <f>IF(C4&gt;F4,"YES","NO")</f>
        <v>NO</v>
      </c>
      <c r="H4" s="7">
        <f>IF(G4="YES",100/(D4-F4)*(C4-F4),100/(F4-E4)*(F4-C4)*-1)</f>
        <v>-20</v>
      </c>
      <c r="I4" s="20">
        <f>H4*-1</f>
        <v>20</v>
      </c>
      <c r="J4" s="2"/>
      <c r="K4" s="15" t="s">
        <v>17</v>
      </c>
      <c r="L4" s="14"/>
      <c r="M4" s="7">
        <f>I4</f>
        <v>20</v>
      </c>
      <c r="N4" s="7">
        <f>I5</f>
        <v>77.777777777783257</v>
      </c>
      <c r="O4" s="7">
        <f>I6</f>
        <v>0</v>
      </c>
      <c r="P4" s="7">
        <f>H7</f>
        <v>81.052631578946432</v>
      </c>
      <c r="Q4" s="7">
        <f>H8</f>
        <v>-60</v>
      </c>
      <c r="R4" s="7">
        <f t="shared" ref="R4:R9" si="0">SUM(L4:Q4)/5</f>
        <v>23.766081871345939</v>
      </c>
      <c r="S4" s="15" t="s">
        <v>17</v>
      </c>
    </row>
    <row r="5" spans="1:19" x14ac:dyDescent="0.25">
      <c r="A5" s="28" t="s">
        <v>2</v>
      </c>
      <c r="B5" s="42">
        <f>Data!$T$24</f>
        <v>1.6598999999999999</v>
      </c>
      <c r="C5" s="17">
        <f>Data!$O$24</f>
        <v>1.6595</v>
      </c>
      <c r="D5" s="17">
        <f>Data!$N$24</f>
        <v>1.6603000000000001</v>
      </c>
      <c r="E5" s="8">
        <f>Data!$M$24</f>
        <v>1.6594</v>
      </c>
      <c r="F5" s="17">
        <f t="shared" ref="F5:F18" si="1">(D5+E5)/2</f>
        <v>1.65985</v>
      </c>
      <c r="G5" s="22" t="str">
        <f t="shared" ref="G5:G18" si="2">IF(C5&gt;F5,"YES","NO")</f>
        <v>NO</v>
      </c>
      <c r="H5" s="9">
        <f t="shared" ref="H5:H18" si="3">IF(G5="YES",100/(D5-F5)*(C5-F5),100/(F5-E5)*(F5-C5)*-1)</f>
        <v>-77.777777777783257</v>
      </c>
      <c r="I5" s="23">
        <f t="shared" ref="I5:I18" si="4">H5*-1</f>
        <v>77.777777777783257</v>
      </c>
      <c r="J5" s="2"/>
      <c r="K5" s="5" t="s">
        <v>18</v>
      </c>
      <c r="L5" s="9">
        <f>H4</f>
        <v>-20</v>
      </c>
      <c r="M5" s="8"/>
      <c r="N5" s="9">
        <f>H9</f>
        <v>33.333333333333336</v>
      </c>
      <c r="O5" s="9">
        <f>H10</f>
        <v>-55.555555555566521</v>
      </c>
      <c r="P5" s="9">
        <f>H11</f>
        <v>23.529411764755054</v>
      </c>
      <c r="Q5" s="9">
        <f>H12</f>
        <v>-88.235294117648593</v>
      </c>
      <c r="R5" s="9">
        <f t="shared" si="0"/>
        <v>-21.385620915025346</v>
      </c>
      <c r="S5" s="5" t="s">
        <v>18</v>
      </c>
    </row>
    <row r="6" spans="1:19" x14ac:dyDescent="0.25">
      <c r="A6" s="28" t="s">
        <v>3</v>
      </c>
      <c r="B6" s="42">
        <f>Data!$T$26</f>
        <v>0.93440000000000001</v>
      </c>
      <c r="C6" s="17">
        <f>Data!$O$26</f>
        <v>0.93430000000000002</v>
      </c>
      <c r="D6" s="17">
        <f>Data!$N$26</f>
        <v>0.9345</v>
      </c>
      <c r="E6" s="17">
        <f>Data!$M$26</f>
        <v>0.93410000000000004</v>
      </c>
      <c r="F6" s="17">
        <f t="shared" si="1"/>
        <v>0.93430000000000002</v>
      </c>
      <c r="G6" s="22" t="str">
        <f t="shared" si="2"/>
        <v>NO</v>
      </c>
      <c r="H6" s="9">
        <f t="shared" si="3"/>
        <v>0</v>
      </c>
      <c r="I6" s="23">
        <f t="shared" si="4"/>
        <v>0</v>
      </c>
      <c r="J6" s="2"/>
      <c r="K6" s="5" t="s">
        <v>20</v>
      </c>
      <c r="L6" s="9">
        <f>H5</f>
        <v>-77.777777777783257</v>
      </c>
      <c r="M6" s="9">
        <f>I9</f>
        <v>-33.333333333333336</v>
      </c>
      <c r="N6" s="8"/>
      <c r="O6" s="9">
        <f>H13</f>
        <v>-80</v>
      </c>
      <c r="P6" s="9">
        <f>H14</f>
        <v>14.28571428573577</v>
      </c>
      <c r="Q6" s="9">
        <f>H15</f>
        <v>-90.909090909092754</v>
      </c>
      <c r="R6" s="9">
        <f t="shared" si="0"/>
        <v>-53.546897546894719</v>
      </c>
      <c r="S6" s="5" t="s">
        <v>20</v>
      </c>
    </row>
    <row r="7" spans="1:19" x14ac:dyDescent="0.25">
      <c r="A7" s="28" t="s">
        <v>4</v>
      </c>
      <c r="B7" s="42">
        <f>Data!T28</f>
        <v>103.789</v>
      </c>
      <c r="C7" s="17">
        <f>Data!$O$28</f>
        <v>103.874</v>
      </c>
      <c r="D7" s="17">
        <f>Data!$N$28</f>
        <v>103.883</v>
      </c>
      <c r="E7" s="17">
        <f>Data!$M$28</f>
        <v>103.788</v>
      </c>
      <c r="F7" s="17">
        <f t="shared" si="1"/>
        <v>103.8355</v>
      </c>
      <c r="G7" s="22" t="str">
        <f t="shared" si="2"/>
        <v>YES</v>
      </c>
      <c r="H7" s="9">
        <f t="shared" si="3"/>
        <v>81.052631578946432</v>
      </c>
      <c r="I7" s="23">
        <f t="shared" si="4"/>
        <v>-81.052631578946432</v>
      </c>
      <c r="J7" s="2"/>
      <c r="K7" s="5" t="s">
        <v>19</v>
      </c>
      <c r="L7" s="9">
        <f>H6</f>
        <v>0</v>
      </c>
      <c r="M7" s="9">
        <f>I10</f>
        <v>55.555555555566521</v>
      </c>
      <c r="N7" s="9">
        <f>I13</f>
        <v>80</v>
      </c>
      <c r="O7" s="8"/>
      <c r="P7" s="9">
        <f>H16</f>
        <v>64.556962025330577</v>
      </c>
      <c r="Q7" s="9">
        <f>H17</f>
        <v>-63.6363636363563</v>
      </c>
      <c r="R7" s="9">
        <f t="shared" si="0"/>
        <v>27.295230788908157</v>
      </c>
      <c r="S7" s="5" t="s">
        <v>19</v>
      </c>
    </row>
    <row r="8" spans="1:19" x14ac:dyDescent="0.25">
      <c r="A8" s="28" t="s">
        <v>24</v>
      </c>
      <c r="B8" s="42">
        <f>Data!$T$30</f>
        <v>1.0899000000000001</v>
      </c>
      <c r="C8" s="17">
        <f>Data!$O$30</f>
        <v>1.0892999999999999</v>
      </c>
      <c r="D8" s="17">
        <f>Data!$N$30</f>
        <v>1.0901000000000001</v>
      </c>
      <c r="E8" s="17">
        <f>Data!$M$30</f>
        <v>1.0891</v>
      </c>
      <c r="F8" s="17">
        <f t="shared" si="1"/>
        <v>1.0895999999999999</v>
      </c>
      <c r="G8" s="22" t="str">
        <f t="shared" si="2"/>
        <v>NO</v>
      </c>
      <c r="H8" s="9">
        <f t="shared" si="3"/>
        <v>-60</v>
      </c>
      <c r="I8" s="23">
        <f t="shared" si="4"/>
        <v>60</v>
      </c>
      <c r="J8" s="2"/>
      <c r="K8" s="5" t="s">
        <v>21</v>
      </c>
      <c r="L8" s="9">
        <f>I7</f>
        <v>-81.052631578946432</v>
      </c>
      <c r="M8" s="9">
        <f>I11</f>
        <v>-23.529411764755054</v>
      </c>
      <c r="N8" s="9">
        <f>I14</f>
        <v>-14.28571428573577</v>
      </c>
      <c r="O8" s="9">
        <f>I16</f>
        <v>-64.556962025330577</v>
      </c>
      <c r="P8" s="8"/>
      <c r="Q8" s="9">
        <f>I18</f>
        <v>-80.891719745223497</v>
      </c>
      <c r="R8" s="9">
        <f t="shared" si="0"/>
        <v>-52.863287879998268</v>
      </c>
      <c r="S8" s="5" t="s">
        <v>21</v>
      </c>
    </row>
    <row r="9" spans="1:19" ht="15.75" thickBot="1" x14ac:dyDescent="0.3">
      <c r="A9" s="28" t="s">
        <v>9</v>
      </c>
      <c r="B9" s="42">
        <f>Data!$T$4</f>
        <v>0.79430000000000001</v>
      </c>
      <c r="C9" s="17">
        <f>Data!$O$4</f>
        <v>0.79410000000000003</v>
      </c>
      <c r="D9" s="17">
        <f>Data!$N$4</f>
        <v>0.79430000000000001</v>
      </c>
      <c r="E9" s="17">
        <f>Data!$M$4</f>
        <v>0.79369999999999996</v>
      </c>
      <c r="F9" s="17">
        <f t="shared" si="1"/>
        <v>0.79400000000000004</v>
      </c>
      <c r="G9" s="22" t="str">
        <f t="shared" si="2"/>
        <v>YES</v>
      </c>
      <c r="H9" s="9">
        <f t="shared" si="3"/>
        <v>33.333333333333336</v>
      </c>
      <c r="I9" s="23">
        <f t="shared" si="4"/>
        <v>-33.333333333333336</v>
      </c>
      <c r="J9" s="2"/>
      <c r="K9" s="13" t="s">
        <v>29</v>
      </c>
      <c r="L9" s="9">
        <f>I8</f>
        <v>60</v>
      </c>
      <c r="M9" s="9">
        <f>I12</f>
        <v>88.235294117648593</v>
      </c>
      <c r="N9" s="9">
        <f>I15</f>
        <v>90.909090909092754</v>
      </c>
      <c r="O9" s="9">
        <f>I17</f>
        <v>63.6363636363563</v>
      </c>
      <c r="P9" s="9">
        <f>H18</f>
        <v>80.891719745223497</v>
      </c>
      <c r="Q9" s="9"/>
      <c r="R9" s="16">
        <f t="shared" si="0"/>
        <v>76.734493681664233</v>
      </c>
      <c r="S9" s="6" t="s">
        <v>29</v>
      </c>
    </row>
    <row r="10" spans="1:19" ht="15.75" thickBot="1" x14ac:dyDescent="0.3">
      <c r="A10" s="28" t="s">
        <v>10</v>
      </c>
      <c r="B10" s="42">
        <f>Data!$T$6</f>
        <v>1.4109</v>
      </c>
      <c r="C10" s="17">
        <f>Data!$O$6</f>
        <v>1.4105000000000001</v>
      </c>
      <c r="D10" s="17">
        <f>Data!$N$6</f>
        <v>1.4112</v>
      </c>
      <c r="E10" s="17">
        <f>Data!$M$6</f>
        <v>1.4103000000000001</v>
      </c>
      <c r="F10" s="17">
        <f t="shared" si="1"/>
        <v>1.4107500000000002</v>
      </c>
      <c r="G10" s="22" t="str">
        <f t="shared" si="2"/>
        <v>NO</v>
      </c>
      <c r="H10" s="9">
        <f t="shared" si="3"/>
        <v>-55.555555555566521</v>
      </c>
      <c r="I10" s="23">
        <f t="shared" si="4"/>
        <v>55.555555555566521</v>
      </c>
      <c r="J10" s="2"/>
      <c r="K10" s="13" t="s">
        <v>23</v>
      </c>
      <c r="L10" s="11">
        <f>R4</f>
        <v>23.766081871345939</v>
      </c>
      <c r="M10" s="11">
        <f>R5</f>
        <v>-21.385620915025346</v>
      </c>
      <c r="N10" s="11">
        <f>R6</f>
        <v>-53.546897546894719</v>
      </c>
      <c r="O10" s="11">
        <f>R7</f>
        <v>27.295230788908157</v>
      </c>
      <c r="P10" s="11">
        <f>R8</f>
        <v>-52.863287879998268</v>
      </c>
      <c r="Q10" s="11">
        <f>R9</f>
        <v>76.734493681664233</v>
      </c>
      <c r="R10" s="12"/>
      <c r="S10" s="4" t="s">
        <v>23</v>
      </c>
    </row>
    <row r="11" spans="1:19" x14ac:dyDescent="0.25">
      <c r="A11" s="28" t="s">
        <v>11</v>
      </c>
      <c r="B11" s="42">
        <f>Data!$T$8</f>
        <v>136.86600000000001</v>
      </c>
      <c r="C11" s="17">
        <f>Data!$O$8</f>
        <v>136.91200000000001</v>
      </c>
      <c r="D11" s="17">
        <f>Data!$N$8</f>
        <v>136.95099999999999</v>
      </c>
      <c r="E11" s="17">
        <f>Data!$M$8</f>
        <v>136.84899999999999</v>
      </c>
      <c r="F11" s="17">
        <f t="shared" si="1"/>
        <v>136.89999999999998</v>
      </c>
      <c r="G11" s="22" t="str">
        <f t="shared" si="2"/>
        <v>YES</v>
      </c>
      <c r="H11" s="9">
        <f t="shared" si="3"/>
        <v>23.529411764755054</v>
      </c>
      <c r="I11" s="23">
        <f t="shared" si="4"/>
        <v>-23.529411764755054</v>
      </c>
      <c r="J11" s="2"/>
    </row>
    <row r="12" spans="1:19" x14ac:dyDescent="0.25">
      <c r="A12" s="28" t="s">
        <v>25</v>
      </c>
      <c r="B12" s="42">
        <f>Data!$T$10</f>
        <v>1.4373</v>
      </c>
      <c r="C12" s="17">
        <f>Data!$O$10</f>
        <v>1.4357</v>
      </c>
      <c r="D12" s="17">
        <f>Data!$N$10</f>
        <v>1.4373</v>
      </c>
      <c r="E12" s="17">
        <f>Data!$M$10</f>
        <v>1.4356</v>
      </c>
      <c r="F12" s="17">
        <f t="shared" si="1"/>
        <v>1.43645</v>
      </c>
      <c r="G12" s="22" t="str">
        <f t="shared" si="2"/>
        <v>NO</v>
      </c>
      <c r="H12" s="9">
        <f t="shared" si="3"/>
        <v>-88.235294117648593</v>
      </c>
      <c r="I12" s="23">
        <f t="shared" si="4"/>
        <v>88.235294117648593</v>
      </c>
      <c r="J12" s="2"/>
    </row>
    <row r="13" spans="1:19" x14ac:dyDescent="0.25">
      <c r="A13" s="28" t="s">
        <v>12</v>
      </c>
      <c r="B13" s="42">
        <f>Data!$T$18</f>
        <v>1.7761</v>
      </c>
      <c r="C13" s="17">
        <f>Data!$O$18</f>
        <v>1.776</v>
      </c>
      <c r="D13" s="17">
        <f>Data!$N$18</f>
        <v>1.7768999999999999</v>
      </c>
      <c r="E13" s="17">
        <f>Data!$M$18</f>
        <v>1.7759</v>
      </c>
      <c r="F13" s="17">
        <f t="shared" si="1"/>
        <v>1.7764</v>
      </c>
      <c r="G13" s="22" t="str">
        <f t="shared" si="2"/>
        <v>NO</v>
      </c>
      <c r="H13" s="9">
        <f t="shared" si="3"/>
        <v>-80</v>
      </c>
      <c r="I13" s="23">
        <f t="shared" si="4"/>
        <v>80</v>
      </c>
      <c r="J13" s="2"/>
    </row>
    <row r="14" spans="1:19" x14ac:dyDescent="0.25">
      <c r="A14" s="28" t="s">
        <v>13</v>
      </c>
      <c r="B14" s="42">
        <f>Data!$T$20</f>
        <v>172.28700000000001</v>
      </c>
      <c r="C14" s="17">
        <f>Data!$O$20</f>
        <v>172.38900000000001</v>
      </c>
      <c r="D14" s="17">
        <f>Data!$N$20</f>
        <v>172.47</v>
      </c>
      <c r="E14" s="17">
        <f>Data!$M$20</f>
        <v>172.28100000000001</v>
      </c>
      <c r="F14" s="17">
        <f t="shared" si="1"/>
        <v>172.37549999999999</v>
      </c>
      <c r="G14" s="22" t="str">
        <f t="shared" si="2"/>
        <v>YES</v>
      </c>
      <c r="H14" s="9">
        <f t="shared" si="3"/>
        <v>14.28571428573577</v>
      </c>
      <c r="I14" s="23">
        <f t="shared" si="4"/>
        <v>-14.28571428573577</v>
      </c>
      <c r="J14" s="2"/>
    </row>
    <row r="15" spans="1:19" x14ac:dyDescent="0.25">
      <c r="A15" s="28" t="s">
        <v>26</v>
      </c>
      <c r="B15" s="42">
        <f>Data!$T$22</f>
        <v>1.8093999999999999</v>
      </c>
      <c r="C15" s="17">
        <f>Data!$O$22</f>
        <v>1.8078000000000001</v>
      </c>
      <c r="D15" s="17">
        <f>Data!$N$22</f>
        <v>1.8099000000000001</v>
      </c>
      <c r="E15" s="17">
        <f>Data!$M$22</f>
        <v>1.8077000000000001</v>
      </c>
      <c r="F15" s="17">
        <f t="shared" si="1"/>
        <v>1.8088000000000002</v>
      </c>
      <c r="G15" s="22" t="str">
        <f t="shared" si="2"/>
        <v>NO</v>
      </c>
      <c r="H15" s="9">
        <f t="shared" si="3"/>
        <v>-90.909090909092754</v>
      </c>
      <c r="I15" s="23">
        <f t="shared" si="4"/>
        <v>90.909090909092754</v>
      </c>
      <c r="J15" s="2"/>
    </row>
    <row r="16" spans="1:19" x14ac:dyDescent="0.25">
      <c r="A16" s="28" t="s">
        <v>14</v>
      </c>
      <c r="B16" s="42">
        <f>Data!$T$14</f>
        <v>96.99</v>
      </c>
      <c r="C16" s="17">
        <f>Data!$O$14</f>
        <v>97.055000000000007</v>
      </c>
      <c r="D16" s="17">
        <f>Data!$N$14</f>
        <v>97.069000000000003</v>
      </c>
      <c r="E16" s="17">
        <f>Data!$M$14</f>
        <v>96.99</v>
      </c>
      <c r="F16" s="17">
        <f t="shared" si="1"/>
        <v>97.029499999999999</v>
      </c>
      <c r="G16" s="22" t="str">
        <f t="shared" si="2"/>
        <v>YES</v>
      </c>
      <c r="H16" s="9">
        <f t="shared" si="3"/>
        <v>64.556962025330577</v>
      </c>
      <c r="I16" s="23">
        <f t="shared" si="4"/>
        <v>-64.556962025330577</v>
      </c>
      <c r="J16" s="2"/>
    </row>
    <row r="17" spans="1:19" x14ac:dyDescent="0.25">
      <c r="A17" s="28" t="s">
        <v>28</v>
      </c>
      <c r="B17" s="42">
        <f>Data!$T$12</f>
        <v>1.0185999999999999</v>
      </c>
      <c r="C17" s="17">
        <f>Data!$O$12</f>
        <v>1.0178</v>
      </c>
      <c r="D17" s="17">
        <f>Data!$N$12</f>
        <v>1.0186999999999999</v>
      </c>
      <c r="E17" s="17">
        <f>Data!$M$12</f>
        <v>1.0176000000000001</v>
      </c>
      <c r="F17" s="17">
        <f t="shared" si="1"/>
        <v>1.0181499999999999</v>
      </c>
      <c r="G17" s="22" t="str">
        <f t="shared" si="2"/>
        <v>NO</v>
      </c>
      <c r="H17" s="9">
        <f t="shared" si="3"/>
        <v>-63.6363636363563</v>
      </c>
      <c r="I17" s="23">
        <f t="shared" si="4"/>
        <v>63.6363636363563</v>
      </c>
    </row>
    <row r="18" spans="1:19" ht="15.75" thickBot="1" x14ac:dyDescent="0.3">
      <c r="A18" s="29" t="s">
        <v>27</v>
      </c>
      <c r="B18" s="43">
        <f>Data!$T$16</f>
        <v>95.21</v>
      </c>
      <c r="C18" s="25">
        <f>Data!$O$16</f>
        <v>95.346000000000004</v>
      </c>
      <c r="D18" s="25">
        <f>Data!$N$16</f>
        <v>95.361000000000004</v>
      </c>
      <c r="E18" s="25">
        <f>Data!$M$16</f>
        <v>95.203999999999994</v>
      </c>
      <c r="F18" s="25">
        <f t="shared" si="1"/>
        <v>95.282499999999999</v>
      </c>
      <c r="G18" s="26" t="str">
        <f t="shared" si="2"/>
        <v>YES</v>
      </c>
      <c r="H18" s="10">
        <f t="shared" si="3"/>
        <v>80.891719745223497</v>
      </c>
      <c r="I18" s="27">
        <f t="shared" si="4"/>
        <v>-80.891719745223497</v>
      </c>
    </row>
    <row r="19" spans="1:19" ht="15.75" thickBot="1" x14ac:dyDescent="0.3"/>
    <row r="20" spans="1:19" ht="15.75" thickBot="1" x14ac:dyDescent="0.3">
      <c r="A20" s="4" t="s">
        <v>64</v>
      </c>
      <c r="B20" s="38" t="s">
        <v>61</v>
      </c>
      <c r="C20" s="39" t="s">
        <v>5</v>
      </c>
      <c r="D20" s="39" t="s">
        <v>6</v>
      </c>
      <c r="E20" s="39" t="s">
        <v>7</v>
      </c>
      <c r="F20" s="39" t="s">
        <v>8</v>
      </c>
      <c r="G20" s="39" t="s">
        <v>15</v>
      </c>
      <c r="H20" s="39" t="s">
        <v>16</v>
      </c>
      <c r="I20" s="40" t="s">
        <v>22</v>
      </c>
      <c r="K20" s="4" t="s">
        <v>64</v>
      </c>
      <c r="L20" s="3" t="s">
        <v>17</v>
      </c>
      <c r="M20" s="3" t="s">
        <v>18</v>
      </c>
      <c r="N20" s="3" t="s">
        <v>20</v>
      </c>
      <c r="O20" s="3" t="s">
        <v>19</v>
      </c>
      <c r="P20" s="3" t="s">
        <v>21</v>
      </c>
      <c r="Q20" s="3" t="s">
        <v>29</v>
      </c>
      <c r="R20" s="3" t="s">
        <v>23</v>
      </c>
      <c r="S20" s="15"/>
    </row>
    <row r="21" spans="1:19" x14ac:dyDescent="0.25">
      <c r="A21" s="28" t="s">
        <v>1</v>
      </c>
      <c r="B21" s="41">
        <f>Datap!$T$2</f>
        <v>1.3183</v>
      </c>
      <c r="C21" s="18">
        <f>Datap!$O$2</f>
        <v>1.3186</v>
      </c>
      <c r="D21" s="18">
        <f>Datap!$N$2</f>
        <v>1.3186</v>
      </c>
      <c r="E21" s="18">
        <f>Datap!$M$2</f>
        <v>1.3176000000000001</v>
      </c>
      <c r="F21" s="18">
        <f>(D21+E21)/2</f>
        <v>1.3181</v>
      </c>
      <c r="G21" s="19" t="str">
        <f>IF(C21&gt;F21,"YES","NO")</f>
        <v>YES</v>
      </c>
      <c r="H21" s="7">
        <f>IF(G21="YES",100/(D21-F21)*(C21-F21),100/(F21-E21)*(F21-C21)*-1)</f>
        <v>100</v>
      </c>
      <c r="I21" s="20">
        <f>H21*-1</f>
        <v>-100</v>
      </c>
      <c r="K21" s="15" t="s">
        <v>17</v>
      </c>
      <c r="L21" s="14"/>
      <c r="M21" s="7">
        <f>I21</f>
        <v>-100</v>
      </c>
      <c r="N21" s="7">
        <f>I22</f>
        <v>-41.176470588216851</v>
      </c>
      <c r="O21" s="7">
        <f>I23</f>
        <v>9.0909090909072567</v>
      </c>
      <c r="P21" s="7">
        <f>H24</f>
        <v>-69.105691056906437</v>
      </c>
      <c r="Q21" s="7">
        <f>H25</f>
        <v>-55.555555555566521</v>
      </c>
      <c r="R21" s="7">
        <f t="shared" ref="R21:R26" si="5">SUM(L21:Q21)/5</f>
        <v>-51.349361621956518</v>
      </c>
      <c r="S21" s="15" t="s">
        <v>17</v>
      </c>
    </row>
    <row r="22" spans="1:19" x14ac:dyDescent="0.25">
      <c r="A22" s="28" t="s">
        <v>2</v>
      </c>
      <c r="B22" s="42">
        <f>Datap!$T$24</f>
        <v>1.6591</v>
      </c>
      <c r="C22" s="17">
        <f>Datap!$O$24</f>
        <v>1.6598999999999999</v>
      </c>
      <c r="D22" s="17">
        <f>Datap!$N$24</f>
        <v>1.6604000000000001</v>
      </c>
      <c r="E22" s="17">
        <f>Datap!$M$24</f>
        <v>1.6587000000000001</v>
      </c>
      <c r="F22" s="17">
        <f t="shared" ref="F22:F35" si="6">(D22+E22)/2</f>
        <v>1.6595500000000001</v>
      </c>
      <c r="G22" s="22" t="str">
        <f t="shared" ref="G22:G35" si="7">IF(C22&gt;F22,"YES","NO")</f>
        <v>YES</v>
      </c>
      <c r="H22" s="9">
        <f t="shared" ref="H22:H35" si="8">IF(G22="YES",100/(D22-F22)*(C22-F22),100/(F22-E22)*(F22-C22)*-1)</f>
        <v>41.176470588216851</v>
      </c>
      <c r="I22" s="23">
        <f t="shared" ref="I22:I35" si="9">H22*-1</f>
        <v>-41.176470588216851</v>
      </c>
      <c r="K22" s="5" t="s">
        <v>18</v>
      </c>
      <c r="L22" s="9">
        <f>H21</f>
        <v>100</v>
      </c>
      <c r="M22" s="8"/>
      <c r="N22" s="9">
        <f>H26</f>
        <v>42.85714285716098</v>
      </c>
      <c r="O22" s="9">
        <f>H27</f>
        <v>86.666666666668633</v>
      </c>
      <c r="P22" s="9">
        <f>H28</f>
        <v>-19.0751445086464</v>
      </c>
      <c r="Q22" s="9">
        <f>H29</f>
        <v>27.272727272741953</v>
      </c>
      <c r="R22" s="9">
        <f t="shared" si="5"/>
        <v>47.54427845758503</v>
      </c>
      <c r="S22" s="5" t="s">
        <v>18</v>
      </c>
    </row>
    <row r="23" spans="1:19" x14ac:dyDescent="0.25">
      <c r="A23" s="28" t="s">
        <v>3</v>
      </c>
      <c r="B23" s="42">
        <f>Datap!$T$26</f>
        <v>0.93430000000000002</v>
      </c>
      <c r="C23" s="17">
        <f>Datap!$O$26</f>
        <v>0.93440000000000001</v>
      </c>
      <c r="D23" s="17">
        <f>Datap!$N$26</f>
        <v>0.93500000000000005</v>
      </c>
      <c r="E23" s="17">
        <f>Datap!$M$26</f>
        <v>0.93389999999999995</v>
      </c>
      <c r="F23" s="17">
        <f t="shared" si="6"/>
        <v>0.93445</v>
      </c>
      <c r="G23" s="22" t="str">
        <f t="shared" si="7"/>
        <v>NO</v>
      </c>
      <c r="H23" s="9">
        <f t="shared" si="8"/>
        <v>-9.0909090909072567</v>
      </c>
      <c r="I23" s="23">
        <f t="shared" si="9"/>
        <v>9.0909090909072567</v>
      </c>
      <c r="K23" s="5" t="s">
        <v>20</v>
      </c>
      <c r="L23" s="9">
        <f>H22</f>
        <v>41.176470588216851</v>
      </c>
      <c r="M23" s="9">
        <f>I26</f>
        <v>-42.85714285716098</v>
      </c>
      <c r="N23" s="8"/>
      <c r="O23" s="9">
        <f>H30</f>
        <v>54.545454545454547</v>
      </c>
      <c r="P23" s="9">
        <f>H31</f>
        <v>-40.243902439011705</v>
      </c>
      <c r="Q23" s="9">
        <f>H32</f>
        <v>-6.6666666666804826</v>
      </c>
      <c r="R23" s="9">
        <f t="shared" si="5"/>
        <v>1.190842634163646</v>
      </c>
      <c r="S23" s="5" t="s">
        <v>20</v>
      </c>
    </row>
    <row r="24" spans="1:19" x14ac:dyDescent="0.25">
      <c r="A24" s="28" t="s">
        <v>4</v>
      </c>
      <c r="B24" s="42">
        <f>Datap!T28</f>
        <v>103.89</v>
      </c>
      <c r="C24" s="17">
        <f>Datap!$O$28</f>
        <v>103.789</v>
      </c>
      <c r="D24" s="17">
        <f>Datap!$N$28</f>
        <v>103.893</v>
      </c>
      <c r="E24" s="17">
        <f>Datap!$M$28</f>
        <v>103.77</v>
      </c>
      <c r="F24" s="17">
        <f t="shared" si="6"/>
        <v>103.83150000000001</v>
      </c>
      <c r="G24" s="22" t="str">
        <f t="shared" si="7"/>
        <v>NO</v>
      </c>
      <c r="H24" s="9">
        <f t="shared" si="8"/>
        <v>-69.105691056906437</v>
      </c>
      <c r="I24" s="23">
        <f t="shared" si="9"/>
        <v>69.105691056906437</v>
      </c>
      <c r="K24" s="5" t="s">
        <v>19</v>
      </c>
      <c r="L24" s="9">
        <f>H23</f>
        <v>-9.0909090909072567</v>
      </c>
      <c r="M24" s="9">
        <f>I27</f>
        <v>-86.666666666668633</v>
      </c>
      <c r="N24" s="9">
        <f>I30</f>
        <v>-54.545454545454547</v>
      </c>
      <c r="O24" s="8"/>
      <c r="P24" s="9">
        <f>H33</f>
        <v>-60.683760683764007</v>
      </c>
      <c r="Q24" s="9">
        <f>H34</f>
        <v>-80.000000000008882</v>
      </c>
      <c r="R24" s="9">
        <f t="shared" si="5"/>
        <v>-58.197358197360664</v>
      </c>
      <c r="S24" s="5" t="s">
        <v>19</v>
      </c>
    </row>
    <row r="25" spans="1:19" x14ac:dyDescent="0.25">
      <c r="A25" s="28" t="s">
        <v>24</v>
      </c>
      <c r="B25" s="42">
        <f>Datap!$T$30</f>
        <v>1.0904</v>
      </c>
      <c r="C25" s="17">
        <f>Datap!$O$30</f>
        <v>1.0900000000000001</v>
      </c>
      <c r="D25" s="17">
        <f>Datap!$N$30</f>
        <v>1.0907</v>
      </c>
      <c r="E25" s="17">
        <f>Datap!$M$30</f>
        <v>1.0898000000000001</v>
      </c>
      <c r="F25" s="17">
        <f t="shared" si="6"/>
        <v>1.0902500000000002</v>
      </c>
      <c r="G25" s="22" t="str">
        <f t="shared" si="7"/>
        <v>NO</v>
      </c>
      <c r="H25" s="9">
        <f t="shared" si="8"/>
        <v>-55.555555555566521</v>
      </c>
      <c r="I25" s="23">
        <f t="shared" si="9"/>
        <v>55.555555555566521</v>
      </c>
      <c r="K25" s="5" t="s">
        <v>21</v>
      </c>
      <c r="L25" s="9">
        <f>I24</f>
        <v>69.105691056906437</v>
      </c>
      <c r="M25" s="9">
        <f>I28</f>
        <v>19.0751445086464</v>
      </c>
      <c r="N25" s="9">
        <f>I31</f>
        <v>40.243902439011705</v>
      </c>
      <c r="O25" s="9">
        <f>I33</f>
        <v>60.683760683764007</v>
      </c>
      <c r="P25" s="8"/>
      <c r="Q25" s="9">
        <f>I35</f>
        <v>17.894736842101171</v>
      </c>
      <c r="R25" s="9">
        <f t="shared" si="5"/>
        <v>41.400647106085941</v>
      </c>
      <c r="S25" s="5" t="s">
        <v>21</v>
      </c>
    </row>
    <row r="26" spans="1:19" ht="15.75" thickBot="1" x14ac:dyDescent="0.3">
      <c r="A26" s="28" t="s">
        <v>9</v>
      </c>
      <c r="B26" s="42">
        <f>Datap!$T$4</f>
        <v>0.79449999999999998</v>
      </c>
      <c r="C26" s="17">
        <f>Datap!$O$4</f>
        <v>0.79430000000000001</v>
      </c>
      <c r="D26" s="17">
        <f>Datap!$N$4</f>
        <v>0.79449999999999998</v>
      </c>
      <c r="E26" s="17">
        <f>Datap!$M$4</f>
        <v>0.79379999999999995</v>
      </c>
      <c r="F26" s="17">
        <f t="shared" si="6"/>
        <v>0.79414999999999991</v>
      </c>
      <c r="G26" s="22" t="str">
        <f t="shared" si="7"/>
        <v>YES</v>
      </c>
      <c r="H26" s="9">
        <f t="shared" si="8"/>
        <v>42.85714285716098</v>
      </c>
      <c r="I26" s="23">
        <f t="shared" si="9"/>
        <v>-42.85714285716098</v>
      </c>
      <c r="K26" s="13" t="s">
        <v>29</v>
      </c>
      <c r="L26" s="9">
        <f>I25</f>
        <v>55.555555555566521</v>
      </c>
      <c r="M26" s="9">
        <f>I29</f>
        <v>-27.272727272741953</v>
      </c>
      <c r="N26" s="9">
        <f>I32</f>
        <v>6.6666666666804826</v>
      </c>
      <c r="O26" s="9">
        <f>I34</f>
        <v>80.000000000008882</v>
      </c>
      <c r="P26" s="9">
        <f>H35</f>
        <v>-17.894736842101171</v>
      </c>
      <c r="Q26" s="9"/>
      <c r="R26" s="16">
        <f t="shared" si="5"/>
        <v>19.410951621482553</v>
      </c>
      <c r="S26" s="6" t="s">
        <v>29</v>
      </c>
    </row>
    <row r="27" spans="1:19" ht="15.75" thickBot="1" x14ac:dyDescent="0.3">
      <c r="A27" s="28" t="s">
        <v>10</v>
      </c>
      <c r="B27" s="42">
        <f>Datap!$T$6</f>
        <v>1.4513</v>
      </c>
      <c r="C27" s="17">
        <f>Datap!$O$6</f>
        <v>1.4109</v>
      </c>
      <c r="D27" s="17">
        <f>Datap!$N$6</f>
        <v>1.411</v>
      </c>
      <c r="E27" s="17">
        <f>Datap!$M$6</f>
        <v>1.4095</v>
      </c>
      <c r="F27" s="17">
        <f t="shared" si="6"/>
        <v>1.41025</v>
      </c>
      <c r="G27" s="22" t="str">
        <f t="shared" si="7"/>
        <v>YES</v>
      </c>
      <c r="H27" s="9">
        <f t="shared" si="8"/>
        <v>86.666666666668633</v>
      </c>
      <c r="I27" s="23">
        <f t="shared" si="9"/>
        <v>-86.666666666668633</v>
      </c>
      <c r="K27" s="13" t="s">
        <v>23</v>
      </c>
      <c r="L27" s="11">
        <f>R21</f>
        <v>-51.349361621956518</v>
      </c>
      <c r="M27" s="11">
        <f>R22</f>
        <v>47.54427845758503</v>
      </c>
      <c r="N27" s="11">
        <f>R23</f>
        <v>1.190842634163646</v>
      </c>
      <c r="O27" s="11">
        <f>R24</f>
        <v>-58.197358197360664</v>
      </c>
      <c r="P27" s="11">
        <f>R25</f>
        <v>41.400647106085941</v>
      </c>
      <c r="Q27" s="11">
        <f>R26</f>
        <v>19.410951621482553</v>
      </c>
      <c r="R27" s="12"/>
      <c r="S27" s="4" t="s">
        <v>23</v>
      </c>
    </row>
    <row r="28" spans="1:19" x14ac:dyDescent="0.25">
      <c r="A28" s="28" t="s">
        <v>11</v>
      </c>
      <c r="B28" s="42">
        <f>Datap!$T$8</f>
        <v>138.71</v>
      </c>
      <c r="C28" s="17">
        <f>Datap!$O$8</f>
        <v>136.86600000000001</v>
      </c>
      <c r="D28" s="17">
        <f>Datap!$N$8</f>
        <v>136.96899999999999</v>
      </c>
      <c r="E28" s="17">
        <f>Datap!$M$8</f>
        <v>136.79599999999999</v>
      </c>
      <c r="F28" s="17">
        <f t="shared" si="6"/>
        <v>136.88249999999999</v>
      </c>
      <c r="G28" s="22" t="str">
        <f t="shared" si="7"/>
        <v>NO</v>
      </c>
      <c r="H28" s="9">
        <f t="shared" si="8"/>
        <v>-19.0751445086464</v>
      </c>
      <c r="I28" s="23">
        <f t="shared" si="9"/>
        <v>19.0751445086464</v>
      </c>
    </row>
    <row r="29" spans="1:19" x14ac:dyDescent="0.25">
      <c r="A29" s="28" t="s">
        <v>25</v>
      </c>
      <c r="B29" s="42">
        <f>Datap!$T$10</f>
        <v>1.4608000000000001</v>
      </c>
      <c r="C29" s="17">
        <f>Datap!$O$10</f>
        <v>1.4373</v>
      </c>
      <c r="D29" s="17">
        <f>Datap!$N$10</f>
        <v>1.4377</v>
      </c>
      <c r="E29" s="17">
        <f>Datap!$M$10</f>
        <v>1.4366000000000001</v>
      </c>
      <c r="F29" s="17">
        <f t="shared" si="6"/>
        <v>1.4371499999999999</v>
      </c>
      <c r="G29" s="22" t="str">
        <f t="shared" si="7"/>
        <v>YES</v>
      </c>
      <c r="H29" s="9">
        <f t="shared" si="8"/>
        <v>27.272727272741953</v>
      </c>
      <c r="I29" s="23">
        <f t="shared" si="9"/>
        <v>-27.272727272741953</v>
      </c>
    </row>
    <row r="30" spans="1:19" x14ac:dyDescent="0.25">
      <c r="A30" s="28" t="s">
        <v>12</v>
      </c>
      <c r="B30" s="42">
        <f>Datap!$T$18</f>
        <v>1.7756000000000001</v>
      </c>
      <c r="C30" s="17">
        <f>Datap!$O$18</f>
        <v>1.7761</v>
      </c>
      <c r="D30" s="17">
        <f>Datap!$N$18</f>
        <v>1.7766</v>
      </c>
      <c r="E30" s="17">
        <f>Datap!$M$18</f>
        <v>1.7744</v>
      </c>
      <c r="F30" s="17">
        <f t="shared" si="6"/>
        <v>1.7755000000000001</v>
      </c>
      <c r="G30" s="22" t="str">
        <f t="shared" si="7"/>
        <v>YES</v>
      </c>
      <c r="H30" s="9">
        <f t="shared" si="8"/>
        <v>54.545454545454547</v>
      </c>
      <c r="I30" s="23">
        <f t="shared" si="9"/>
        <v>-54.545454545454547</v>
      </c>
    </row>
    <row r="31" spans="1:19" x14ac:dyDescent="0.25">
      <c r="A31" s="28" t="s">
        <v>13</v>
      </c>
      <c r="B31" s="42">
        <f>Datap!$T$20</f>
        <v>172.376</v>
      </c>
      <c r="C31" s="17">
        <f>Datap!$O$20</f>
        <v>172.28700000000001</v>
      </c>
      <c r="D31" s="17">
        <f>Datap!$N$20</f>
        <v>172.40199999999999</v>
      </c>
      <c r="E31" s="17">
        <f>Datap!$M$20</f>
        <v>172.238</v>
      </c>
      <c r="F31" s="17">
        <f t="shared" si="6"/>
        <v>172.32</v>
      </c>
      <c r="G31" s="22" t="str">
        <f t="shared" si="7"/>
        <v>NO</v>
      </c>
      <c r="H31" s="9">
        <f t="shared" si="8"/>
        <v>-40.243902439011705</v>
      </c>
      <c r="I31" s="23">
        <f t="shared" si="9"/>
        <v>40.243902439011705</v>
      </c>
    </row>
    <row r="32" spans="1:19" x14ac:dyDescent="0.25">
      <c r="A32" s="28" t="s">
        <v>26</v>
      </c>
      <c r="B32" s="42">
        <f>Datap!$T$22</f>
        <v>1.8093999999999999</v>
      </c>
      <c r="C32" s="17">
        <f>Datap!$O$22</f>
        <v>1.8093999999999999</v>
      </c>
      <c r="D32" s="17">
        <f>Datap!$N$22</f>
        <v>1.8102</v>
      </c>
      <c r="E32" s="17">
        <f>Datap!$M$22</f>
        <v>1.8087</v>
      </c>
      <c r="F32" s="17">
        <f t="shared" si="6"/>
        <v>1.80945</v>
      </c>
      <c r="G32" s="22" t="str">
        <f t="shared" si="7"/>
        <v>NO</v>
      </c>
      <c r="H32" s="9">
        <f t="shared" si="8"/>
        <v>-6.6666666666804826</v>
      </c>
      <c r="I32" s="23">
        <f t="shared" si="9"/>
        <v>6.6666666666804826</v>
      </c>
    </row>
    <row r="33" spans="1:9" x14ac:dyDescent="0.25">
      <c r="A33" s="28" t="s">
        <v>14</v>
      </c>
      <c r="B33" s="42">
        <f>Datap!$T$14</f>
        <v>97.066000000000003</v>
      </c>
      <c r="C33" s="17">
        <f>Datap!$O$14</f>
        <v>96.99</v>
      </c>
      <c r="D33" s="17">
        <f>Datap!$N$14</f>
        <v>97.084000000000003</v>
      </c>
      <c r="E33" s="17">
        <f>Datap!$M$14</f>
        <v>96.966999999999999</v>
      </c>
      <c r="F33" s="17">
        <f t="shared" si="6"/>
        <v>97.025499999999994</v>
      </c>
      <c r="G33" s="22" t="str">
        <f t="shared" si="7"/>
        <v>NO</v>
      </c>
      <c r="H33" s="9">
        <f t="shared" si="8"/>
        <v>-60.683760683764007</v>
      </c>
      <c r="I33" s="23">
        <f t="shared" si="9"/>
        <v>60.683760683764007</v>
      </c>
    </row>
    <row r="34" spans="1:9" x14ac:dyDescent="0.25">
      <c r="A34" s="28" t="s">
        <v>28</v>
      </c>
      <c r="B34" s="42">
        <f>Datap!$T$12</f>
        <v>1.0187999999999999</v>
      </c>
      <c r="C34" s="17">
        <f>Datap!$O$12</f>
        <v>1.0185999999999999</v>
      </c>
      <c r="D34" s="17">
        <f>Datap!$N$12</f>
        <v>1.0195000000000001</v>
      </c>
      <c r="E34" s="17">
        <f>Datap!$M$12</f>
        <v>1.0185</v>
      </c>
      <c r="F34" s="17">
        <f t="shared" si="6"/>
        <v>1.0190000000000001</v>
      </c>
      <c r="G34" s="22" t="str">
        <f t="shared" si="7"/>
        <v>NO</v>
      </c>
      <c r="H34" s="9">
        <f t="shared" si="8"/>
        <v>-80.000000000008882</v>
      </c>
      <c r="I34" s="23">
        <f t="shared" si="9"/>
        <v>80.000000000008882</v>
      </c>
    </row>
    <row r="35" spans="1:9" ht="15.75" thickBot="1" x14ac:dyDescent="0.3">
      <c r="A35" s="29" t="s">
        <v>27</v>
      </c>
      <c r="B35" s="43">
        <f>Datap!$T$16</f>
        <v>95.256</v>
      </c>
      <c r="C35" s="25">
        <f>Datap!$O$16</f>
        <v>95.207999999999998</v>
      </c>
      <c r="D35" s="25">
        <f>Datap!$N$16</f>
        <v>95.263999999999996</v>
      </c>
      <c r="E35" s="25">
        <f>Datap!$M$16</f>
        <v>95.168999999999997</v>
      </c>
      <c r="F35" s="25">
        <f t="shared" si="6"/>
        <v>95.216499999999996</v>
      </c>
      <c r="G35" s="26" t="str">
        <f t="shared" si="7"/>
        <v>NO</v>
      </c>
      <c r="H35" s="10">
        <f t="shared" si="8"/>
        <v>-17.894736842101171</v>
      </c>
      <c r="I35" s="27">
        <f t="shared" si="9"/>
        <v>17.894736842101171</v>
      </c>
    </row>
    <row r="36" spans="1:9" x14ac:dyDescent="0.25">
      <c r="I36" s="44"/>
    </row>
    <row r="37" spans="1:9" x14ac:dyDescent="0.25">
      <c r="I37" s="44"/>
    </row>
  </sheetData>
  <conditionalFormatting sqref="L4:R8 R9">
    <cfRule type="cellIs" dxfId="65" priority="11" stopIfTrue="1" operator="lessThan">
      <formula>0</formula>
    </cfRule>
    <cfRule type="cellIs" dxfId="64" priority="12" stopIfTrue="1" operator="greaterThan">
      <formula>0</formula>
    </cfRule>
  </conditionalFormatting>
  <conditionalFormatting sqref="L9:Q9">
    <cfRule type="cellIs" dxfId="63" priority="9" stopIfTrue="1" operator="lessThan">
      <formula>0</formula>
    </cfRule>
    <cfRule type="cellIs" dxfId="62" priority="10" stopIfTrue="1" operator="greaterThan">
      <formula>0</formula>
    </cfRule>
  </conditionalFormatting>
  <conditionalFormatting sqref="L10:R10">
    <cfRule type="cellIs" dxfId="61" priority="7" operator="lessThan">
      <formula>0</formula>
    </cfRule>
    <cfRule type="cellIs" dxfId="60" priority="8" operator="greaterThan">
      <formula>0</formula>
    </cfRule>
  </conditionalFormatting>
  <conditionalFormatting sqref="L21:R25 R26">
    <cfRule type="cellIs" dxfId="59" priority="5" stopIfTrue="1" operator="lessThan">
      <formula>0</formula>
    </cfRule>
    <cfRule type="cellIs" dxfId="58" priority="6" stopIfTrue="1" operator="greaterThan">
      <formula>0</formula>
    </cfRule>
  </conditionalFormatting>
  <conditionalFormatting sqref="L26:Q26">
    <cfRule type="cellIs" dxfId="57" priority="3" stopIfTrue="1" operator="lessThan">
      <formula>0</formula>
    </cfRule>
    <cfRule type="cellIs" dxfId="56" priority="4" stopIfTrue="1" operator="greaterThan">
      <formula>0</formula>
    </cfRule>
  </conditionalFormatting>
  <conditionalFormatting sqref="L27:R27">
    <cfRule type="cellIs" dxfId="55" priority="1" operator="lessThan">
      <formula>0</formula>
    </cfRule>
    <cfRule type="cellIs" dxfId="54" priority="2" operator="greaterThan">
      <formula>0</formula>
    </cfRule>
  </conditionalFormatting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selection activeCell="L34" sqref="L34"/>
    </sheetView>
  </sheetViews>
  <sheetFormatPr baseColWidth="10" defaultRowHeight="15" x14ac:dyDescent="0.25"/>
  <cols>
    <col min="10" max="10" width="5" customWidth="1"/>
  </cols>
  <sheetData>
    <row r="1" spans="1:19" x14ac:dyDescent="0.25">
      <c r="A1" s="1" t="s">
        <v>0</v>
      </c>
      <c r="B1" s="1"/>
    </row>
    <row r="2" spans="1:19" ht="15.75" thickBot="1" x14ac:dyDescent="0.3"/>
    <row r="3" spans="1:19" ht="15.75" thickBot="1" x14ac:dyDescent="0.3">
      <c r="A3" s="4" t="s">
        <v>63</v>
      </c>
      <c r="B3" s="38" t="s">
        <v>61</v>
      </c>
      <c r="C3" s="39" t="s">
        <v>5</v>
      </c>
      <c r="D3" s="39" t="s">
        <v>6</v>
      </c>
      <c r="E3" s="39" t="s">
        <v>7</v>
      </c>
      <c r="F3" s="39" t="s">
        <v>8</v>
      </c>
      <c r="G3" s="39" t="s">
        <v>15</v>
      </c>
      <c r="H3" s="39" t="s">
        <v>16</v>
      </c>
      <c r="I3" s="40" t="s">
        <v>22</v>
      </c>
      <c r="K3" s="4" t="s">
        <v>63</v>
      </c>
      <c r="L3" s="3" t="s">
        <v>17</v>
      </c>
      <c r="M3" s="3" t="s">
        <v>18</v>
      </c>
      <c r="N3" s="3" t="s">
        <v>20</v>
      </c>
      <c r="O3" s="3" t="s">
        <v>19</v>
      </c>
      <c r="P3" s="3" t="s">
        <v>21</v>
      </c>
      <c r="Q3" s="3" t="s">
        <v>29</v>
      </c>
      <c r="R3" s="3" t="s">
        <v>23</v>
      </c>
      <c r="S3" s="15"/>
    </row>
    <row r="4" spans="1:19" x14ac:dyDescent="0.25">
      <c r="A4" s="28" t="s">
        <v>1</v>
      </c>
      <c r="B4" s="41">
        <f>Data!$S$2</f>
        <v>1.3186</v>
      </c>
      <c r="C4" s="18">
        <f>Data!$L$2</f>
        <v>1.3180000000000001</v>
      </c>
      <c r="D4" s="18">
        <f>Data!$K$2</f>
        <v>1.3186</v>
      </c>
      <c r="E4" s="18">
        <f>Data!$J$2</f>
        <v>1.3176000000000001</v>
      </c>
      <c r="F4" s="18">
        <f>(D4+E4)/2</f>
        <v>1.3181</v>
      </c>
      <c r="G4" s="19" t="str">
        <f>IF(C4&gt;F4,"YES","NO")</f>
        <v>NO</v>
      </c>
      <c r="H4" s="7">
        <f>IF(G4="YES",100/(D4-F4)*(C4-F4),100/(F4-E4)*(F4-C4)*-1)</f>
        <v>-20</v>
      </c>
      <c r="I4" s="20">
        <f>H4*-1</f>
        <v>20</v>
      </c>
      <c r="J4" s="2"/>
      <c r="K4" s="15" t="s">
        <v>17</v>
      </c>
      <c r="L4" s="14"/>
      <c r="M4" s="7">
        <f>I4</f>
        <v>20</v>
      </c>
      <c r="N4" s="7">
        <f>I5</f>
        <v>77.777777777783257</v>
      </c>
      <c r="O4" s="7">
        <f>I6</f>
        <v>0</v>
      </c>
      <c r="P4" s="7">
        <f>H7</f>
        <v>81.052631578946432</v>
      </c>
      <c r="Q4" s="7">
        <f>H8</f>
        <v>-60</v>
      </c>
      <c r="R4" s="7">
        <f t="shared" ref="R4:R9" si="0">SUM(L4:Q4)/5</f>
        <v>23.766081871345939</v>
      </c>
      <c r="S4" s="15" t="s">
        <v>17</v>
      </c>
    </row>
    <row r="5" spans="1:19" x14ac:dyDescent="0.25">
      <c r="A5" s="28" t="s">
        <v>2</v>
      </c>
      <c r="B5" s="42">
        <f>Data!$S$24</f>
        <v>1.6598999999999999</v>
      </c>
      <c r="C5" s="17">
        <f>Data!$L$24</f>
        <v>1.6595</v>
      </c>
      <c r="D5" s="17">
        <f>Data!$K$24</f>
        <v>1.6603000000000001</v>
      </c>
      <c r="E5" s="8">
        <f>Data!$J$24</f>
        <v>1.6594</v>
      </c>
      <c r="F5" s="17">
        <f t="shared" ref="F5:F18" si="1">(D5+E5)/2</f>
        <v>1.65985</v>
      </c>
      <c r="G5" s="22" t="str">
        <f t="shared" ref="G5:G18" si="2">IF(C5&gt;F5,"YES","NO")</f>
        <v>NO</v>
      </c>
      <c r="H5" s="9">
        <f t="shared" ref="H5:H18" si="3">IF(G5="YES",100/(D5-F5)*(C5-F5),100/(F5-E5)*(F5-C5)*-1)</f>
        <v>-77.777777777783257</v>
      </c>
      <c r="I5" s="23">
        <f t="shared" ref="I5:I18" si="4">H5*-1</f>
        <v>77.777777777783257</v>
      </c>
      <c r="J5" s="2"/>
      <c r="K5" s="5" t="s">
        <v>18</v>
      </c>
      <c r="L5" s="9">
        <f>H4</f>
        <v>-20</v>
      </c>
      <c r="M5" s="8"/>
      <c r="N5" s="9">
        <f>H9</f>
        <v>33.333333333333336</v>
      </c>
      <c r="O5" s="9">
        <f>H10</f>
        <v>-55.555555555566521</v>
      </c>
      <c r="P5" s="9">
        <f>H11</f>
        <v>23.529411764755054</v>
      </c>
      <c r="Q5" s="9">
        <f>H12</f>
        <v>-88.235294117648593</v>
      </c>
      <c r="R5" s="9">
        <f t="shared" si="0"/>
        <v>-21.385620915025346</v>
      </c>
      <c r="S5" s="5" t="s">
        <v>18</v>
      </c>
    </row>
    <row r="6" spans="1:19" x14ac:dyDescent="0.25">
      <c r="A6" s="28" t="s">
        <v>3</v>
      </c>
      <c r="B6" s="42">
        <f>Data!$S$26</f>
        <v>0.93440000000000001</v>
      </c>
      <c r="C6" s="17">
        <f>Data!$L$26</f>
        <v>0.93430000000000002</v>
      </c>
      <c r="D6" s="17">
        <f>Data!$K$26</f>
        <v>0.9345</v>
      </c>
      <c r="E6" s="17">
        <f>Data!$J$26</f>
        <v>0.93410000000000004</v>
      </c>
      <c r="F6" s="17">
        <f t="shared" si="1"/>
        <v>0.93430000000000002</v>
      </c>
      <c r="G6" s="22" t="str">
        <f t="shared" si="2"/>
        <v>NO</v>
      </c>
      <c r="H6" s="9">
        <f t="shared" si="3"/>
        <v>0</v>
      </c>
      <c r="I6" s="23">
        <f t="shared" si="4"/>
        <v>0</v>
      </c>
      <c r="J6" s="2"/>
      <c r="K6" s="5" t="s">
        <v>20</v>
      </c>
      <c r="L6" s="9">
        <f>H5</f>
        <v>-77.777777777783257</v>
      </c>
      <c r="M6" s="9">
        <f>I9</f>
        <v>-33.333333333333336</v>
      </c>
      <c r="N6" s="8"/>
      <c r="O6" s="9">
        <f>H13</f>
        <v>-80</v>
      </c>
      <c r="P6" s="9">
        <f>H14</f>
        <v>14.28571428573577</v>
      </c>
      <c r="Q6" s="9">
        <f>H15</f>
        <v>-90.909090909092754</v>
      </c>
      <c r="R6" s="9">
        <f t="shared" si="0"/>
        <v>-53.546897546894719</v>
      </c>
      <c r="S6" s="5" t="s">
        <v>20</v>
      </c>
    </row>
    <row r="7" spans="1:19" x14ac:dyDescent="0.25">
      <c r="A7" s="28" t="s">
        <v>4</v>
      </c>
      <c r="B7" s="42">
        <f>Data!$S$28</f>
        <v>103.789</v>
      </c>
      <c r="C7" s="17">
        <f>Data!$L$28</f>
        <v>103.874</v>
      </c>
      <c r="D7" s="17">
        <f>Data!$K$28</f>
        <v>103.883</v>
      </c>
      <c r="E7" s="17">
        <f>Data!$J$28</f>
        <v>103.788</v>
      </c>
      <c r="F7" s="17">
        <f t="shared" si="1"/>
        <v>103.8355</v>
      </c>
      <c r="G7" s="22" t="str">
        <f t="shared" si="2"/>
        <v>YES</v>
      </c>
      <c r="H7" s="9">
        <f t="shared" si="3"/>
        <v>81.052631578946432</v>
      </c>
      <c r="I7" s="23">
        <f t="shared" si="4"/>
        <v>-81.052631578946432</v>
      </c>
      <c r="J7" s="2"/>
      <c r="K7" s="5" t="s">
        <v>19</v>
      </c>
      <c r="L7" s="9">
        <f>H6</f>
        <v>0</v>
      </c>
      <c r="M7" s="9">
        <f>I10</f>
        <v>55.555555555566521</v>
      </c>
      <c r="N7" s="9">
        <f>I13</f>
        <v>80</v>
      </c>
      <c r="O7" s="8"/>
      <c r="P7" s="9">
        <f>H16</f>
        <v>64.556962025330577</v>
      </c>
      <c r="Q7" s="9">
        <f>H17</f>
        <v>-63.6363636363563</v>
      </c>
      <c r="R7" s="9">
        <f t="shared" si="0"/>
        <v>27.295230788908157</v>
      </c>
      <c r="S7" s="5" t="s">
        <v>19</v>
      </c>
    </row>
    <row r="8" spans="1:19" x14ac:dyDescent="0.25">
      <c r="A8" s="28" t="s">
        <v>24</v>
      </c>
      <c r="B8" s="42">
        <f>Data!$S$30</f>
        <v>1.0899000000000001</v>
      </c>
      <c r="C8" s="17">
        <f>Data!$L$30</f>
        <v>1.0892999999999999</v>
      </c>
      <c r="D8" s="17">
        <f>Data!$K$30</f>
        <v>1.0901000000000001</v>
      </c>
      <c r="E8" s="17">
        <f>Data!$J$30</f>
        <v>1.0891</v>
      </c>
      <c r="F8" s="17">
        <f t="shared" si="1"/>
        <v>1.0895999999999999</v>
      </c>
      <c r="G8" s="22" t="str">
        <f t="shared" si="2"/>
        <v>NO</v>
      </c>
      <c r="H8" s="9">
        <f t="shared" si="3"/>
        <v>-60</v>
      </c>
      <c r="I8" s="23">
        <f t="shared" si="4"/>
        <v>60</v>
      </c>
      <c r="J8" s="2"/>
      <c r="K8" s="5" t="s">
        <v>21</v>
      </c>
      <c r="L8" s="9">
        <f>I7</f>
        <v>-81.052631578946432</v>
      </c>
      <c r="M8" s="9">
        <f>I11</f>
        <v>-23.529411764755054</v>
      </c>
      <c r="N8" s="9">
        <f>I14</f>
        <v>-14.28571428573577</v>
      </c>
      <c r="O8" s="9">
        <f>I16</f>
        <v>-64.556962025330577</v>
      </c>
      <c r="P8" s="8"/>
      <c r="Q8" s="9">
        <f>I18</f>
        <v>-80.891719745223497</v>
      </c>
      <c r="R8" s="9">
        <f t="shared" si="0"/>
        <v>-52.863287879998268</v>
      </c>
      <c r="S8" s="5" t="s">
        <v>21</v>
      </c>
    </row>
    <row r="9" spans="1:19" ht="15.75" thickBot="1" x14ac:dyDescent="0.3">
      <c r="A9" s="28" t="s">
        <v>9</v>
      </c>
      <c r="B9" s="42">
        <f>Data!$S$4</f>
        <v>0.79430000000000001</v>
      </c>
      <c r="C9" s="17">
        <f>Data!$L$4</f>
        <v>0.79410000000000003</v>
      </c>
      <c r="D9" s="17">
        <f>Data!$K$4</f>
        <v>0.79430000000000001</v>
      </c>
      <c r="E9" s="17">
        <f>Data!$J$4</f>
        <v>0.79369999999999996</v>
      </c>
      <c r="F9" s="17">
        <f t="shared" si="1"/>
        <v>0.79400000000000004</v>
      </c>
      <c r="G9" s="22" t="str">
        <f t="shared" si="2"/>
        <v>YES</v>
      </c>
      <c r="H9" s="9">
        <f t="shared" si="3"/>
        <v>33.333333333333336</v>
      </c>
      <c r="I9" s="23">
        <f t="shared" si="4"/>
        <v>-33.333333333333336</v>
      </c>
      <c r="J9" s="2"/>
      <c r="K9" s="13" t="s">
        <v>29</v>
      </c>
      <c r="L9" s="9">
        <f>I8</f>
        <v>60</v>
      </c>
      <c r="M9" s="9">
        <f>I12</f>
        <v>88.235294117648593</v>
      </c>
      <c r="N9" s="9">
        <f>I15</f>
        <v>90.909090909092754</v>
      </c>
      <c r="O9" s="9">
        <f>I17</f>
        <v>63.6363636363563</v>
      </c>
      <c r="P9" s="9">
        <f>H18</f>
        <v>80.891719745223497</v>
      </c>
      <c r="Q9" s="9"/>
      <c r="R9" s="16">
        <f t="shared" si="0"/>
        <v>76.734493681664233</v>
      </c>
      <c r="S9" s="6" t="s">
        <v>29</v>
      </c>
    </row>
    <row r="10" spans="1:19" ht="15.75" thickBot="1" x14ac:dyDescent="0.3">
      <c r="A10" s="28" t="s">
        <v>10</v>
      </c>
      <c r="B10" s="42">
        <f>Data!$S$6</f>
        <v>1.4109</v>
      </c>
      <c r="C10" s="17">
        <f>Data!$L$6</f>
        <v>1.4105000000000001</v>
      </c>
      <c r="D10" s="17">
        <f>Data!$K$6</f>
        <v>1.4112</v>
      </c>
      <c r="E10" s="17">
        <f>Data!$J$6</f>
        <v>1.4103000000000001</v>
      </c>
      <c r="F10" s="17">
        <f t="shared" si="1"/>
        <v>1.4107500000000002</v>
      </c>
      <c r="G10" s="22" t="str">
        <f t="shared" si="2"/>
        <v>NO</v>
      </c>
      <c r="H10" s="9">
        <f t="shared" si="3"/>
        <v>-55.555555555566521</v>
      </c>
      <c r="I10" s="23">
        <f t="shared" si="4"/>
        <v>55.555555555566521</v>
      </c>
      <c r="J10" s="2"/>
      <c r="K10" s="13" t="s">
        <v>23</v>
      </c>
      <c r="L10" s="11">
        <f>R4</f>
        <v>23.766081871345939</v>
      </c>
      <c r="M10" s="11">
        <f>R5</f>
        <v>-21.385620915025346</v>
      </c>
      <c r="N10" s="11">
        <f>R6</f>
        <v>-53.546897546894719</v>
      </c>
      <c r="O10" s="11">
        <f>R7</f>
        <v>27.295230788908157</v>
      </c>
      <c r="P10" s="11">
        <f>R8</f>
        <v>-52.863287879998268</v>
      </c>
      <c r="Q10" s="11">
        <f>R9</f>
        <v>76.734493681664233</v>
      </c>
      <c r="R10" s="12"/>
      <c r="S10" s="4" t="s">
        <v>23</v>
      </c>
    </row>
    <row r="11" spans="1:19" x14ac:dyDescent="0.25">
      <c r="A11" s="28" t="s">
        <v>11</v>
      </c>
      <c r="B11" s="42">
        <f>Data!$S$8</f>
        <v>136.86600000000001</v>
      </c>
      <c r="C11" s="17">
        <f>Data!$L$8</f>
        <v>136.91200000000001</v>
      </c>
      <c r="D11" s="17">
        <f>Data!$K$8</f>
        <v>136.95099999999999</v>
      </c>
      <c r="E11" s="17">
        <f>Data!$J$8</f>
        <v>136.84899999999999</v>
      </c>
      <c r="F11" s="17">
        <f t="shared" si="1"/>
        <v>136.89999999999998</v>
      </c>
      <c r="G11" s="22" t="str">
        <f t="shared" si="2"/>
        <v>YES</v>
      </c>
      <c r="H11" s="9">
        <f t="shared" si="3"/>
        <v>23.529411764755054</v>
      </c>
      <c r="I11" s="23">
        <f t="shared" si="4"/>
        <v>-23.529411764755054</v>
      </c>
      <c r="J11" s="2"/>
    </row>
    <row r="12" spans="1:19" x14ac:dyDescent="0.25">
      <c r="A12" s="28" t="s">
        <v>25</v>
      </c>
      <c r="B12" s="42">
        <f>Data!$S$10</f>
        <v>1.4373</v>
      </c>
      <c r="C12" s="17">
        <f>Data!$L$10</f>
        <v>1.4357</v>
      </c>
      <c r="D12" s="17">
        <f>Data!$K$10</f>
        <v>1.4373</v>
      </c>
      <c r="E12" s="17">
        <f>Data!$J$10</f>
        <v>1.4356</v>
      </c>
      <c r="F12" s="17">
        <f t="shared" si="1"/>
        <v>1.43645</v>
      </c>
      <c r="G12" s="22" t="str">
        <f t="shared" si="2"/>
        <v>NO</v>
      </c>
      <c r="H12" s="9">
        <f t="shared" si="3"/>
        <v>-88.235294117648593</v>
      </c>
      <c r="I12" s="23">
        <f t="shared" si="4"/>
        <v>88.235294117648593</v>
      </c>
      <c r="J12" s="2"/>
    </row>
    <row r="13" spans="1:19" x14ac:dyDescent="0.25">
      <c r="A13" s="28" t="s">
        <v>12</v>
      </c>
      <c r="B13" s="42">
        <f>Data!$S$18</f>
        <v>1.7761</v>
      </c>
      <c r="C13" s="17">
        <f>Data!$L$18</f>
        <v>1.776</v>
      </c>
      <c r="D13" s="17">
        <f>Data!$K$18</f>
        <v>1.7768999999999999</v>
      </c>
      <c r="E13" s="17">
        <f>Data!$J$18</f>
        <v>1.7759</v>
      </c>
      <c r="F13" s="17">
        <f t="shared" si="1"/>
        <v>1.7764</v>
      </c>
      <c r="G13" s="22" t="str">
        <f t="shared" si="2"/>
        <v>NO</v>
      </c>
      <c r="H13" s="9">
        <f t="shared" si="3"/>
        <v>-80</v>
      </c>
      <c r="I13" s="23">
        <f t="shared" si="4"/>
        <v>80</v>
      </c>
      <c r="J13" s="2"/>
    </row>
    <row r="14" spans="1:19" x14ac:dyDescent="0.25">
      <c r="A14" s="28" t="s">
        <v>13</v>
      </c>
      <c r="B14" s="42">
        <f>Data!$S$20</f>
        <v>172.28700000000001</v>
      </c>
      <c r="C14" s="17">
        <f>Data!$L$20</f>
        <v>172.38900000000001</v>
      </c>
      <c r="D14" s="17">
        <f>Data!$K$20</f>
        <v>172.47</v>
      </c>
      <c r="E14" s="17">
        <f>Data!$J$20</f>
        <v>172.28100000000001</v>
      </c>
      <c r="F14" s="17">
        <f t="shared" si="1"/>
        <v>172.37549999999999</v>
      </c>
      <c r="G14" s="22" t="str">
        <f t="shared" si="2"/>
        <v>YES</v>
      </c>
      <c r="H14" s="9">
        <f t="shared" si="3"/>
        <v>14.28571428573577</v>
      </c>
      <c r="I14" s="23">
        <f t="shared" si="4"/>
        <v>-14.28571428573577</v>
      </c>
      <c r="J14" s="2"/>
    </row>
    <row r="15" spans="1:19" x14ac:dyDescent="0.25">
      <c r="A15" s="28" t="s">
        <v>26</v>
      </c>
      <c r="B15" s="42">
        <f>Data!$S$22</f>
        <v>1.8093999999999999</v>
      </c>
      <c r="C15" s="17">
        <f>Data!$L$22</f>
        <v>1.8078000000000001</v>
      </c>
      <c r="D15" s="17">
        <f>Data!$K$22</f>
        <v>1.8099000000000001</v>
      </c>
      <c r="E15" s="17">
        <f>Data!$J$22</f>
        <v>1.8077000000000001</v>
      </c>
      <c r="F15" s="17">
        <f t="shared" si="1"/>
        <v>1.8088000000000002</v>
      </c>
      <c r="G15" s="22" t="str">
        <f t="shared" si="2"/>
        <v>NO</v>
      </c>
      <c r="H15" s="9">
        <f t="shared" si="3"/>
        <v>-90.909090909092754</v>
      </c>
      <c r="I15" s="23">
        <f t="shared" si="4"/>
        <v>90.909090909092754</v>
      </c>
      <c r="J15" s="2"/>
    </row>
    <row r="16" spans="1:19" x14ac:dyDescent="0.25">
      <c r="A16" s="28" t="s">
        <v>14</v>
      </c>
      <c r="B16" s="42">
        <f>Data!$S$14</f>
        <v>96.99</v>
      </c>
      <c r="C16" s="17">
        <f>Data!$L$14</f>
        <v>97.055000000000007</v>
      </c>
      <c r="D16" s="17">
        <f>Data!$K$14</f>
        <v>97.069000000000003</v>
      </c>
      <c r="E16" s="17">
        <f>Data!$J$14</f>
        <v>96.99</v>
      </c>
      <c r="F16" s="17">
        <f t="shared" si="1"/>
        <v>97.029499999999999</v>
      </c>
      <c r="G16" s="22" t="str">
        <f t="shared" si="2"/>
        <v>YES</v>
      </c>
      <c r="H16" s="9">
        <f t="shared" si="3"/>
        <v>64.556962025330577</v>
      </c>
      <c r="I16" s="23">
        <f t="shared" si="4"/>
        <v>-64.556962025330577</v>
      </c>
      <c r="J16" s="2"/>
    </row>
    <row r="17" spans="1:19" x14ac:dyDescent="0.25">
      <c r="A17" s="28" t="s">
        <v>28</v>
      </c>
      <c r="B17" s="42">
        <f>Data!$S$12</f>
        <v>1.0185999999999999</v>
      </c>
      <c r="C17" s="17">
        <f>Data!$L$12</f>
        <v>1.0178</v>
      </c>
      <c r="D17" s="17">
        <f>Data!$K$12</f>
        <v>1.0186999999999999</v>
      </c>
      <c r="E17" s="17">
        <f>Data!$J$12</f>
        <v>1.0176000000000001</v>
      </c>
      <c r="F17" s="17">
        <f t="shared" si="1"/>
        <v>1.0181499999999999</v>
      </c>
      <c r="G17" s="22" t="str">
        <f t="shared" si="2"/>
        <v>NO</v>
      </c>
      <c r="H17" s="9">
        <f t="shared" si="3"/>
        <v>-63.6363636363563</v>
      </c>
      <c r="I17" s="23">
        <f t="shared" si="4"/>
        <v>63.6363636363563</v>
      </c>
    </row>
    <row r="18" spans="1:19" ht="15.75" thickBot="1" x14ac:dyDescent="0.3">
      <c r="A18" s="29" t="s">
        <v>27</v>
      </c>
      <c r="B18" s="43">
        <f>Data!$S$16</f>
        <v>95.21</v>
      </c>
      <c r="C18" s="25">
        <f>Data!$L$16</f>
        <v>95.346000000000004</v>
      </c>
      <c r="D18" s="25">
        <f>Data!$K$16</f>
        <v>95.361000000000004</v>
      </c>
      <c r="E18" s="25">
        <f>Data!$J$16</f>
        <v>95.203999999999994</v>
      </c>
      <c r="F18" s="25">
        <f t="shared" si="1"/>
        <v>95.282499999999999</v>
      </c>
      <c r="G18" s="26" t="str">
        <f t="shared" si="2"/>
        <v>YES</v>
      </c>
      <c r="H18" s="10">
        <f t="shared" si="3"/>
        <v>80.891719745223497</v>
      </c>
      <c r="I18" s="27">
        <f t="shared" si="4"/>
        <v>-80.891719745223497</v>
      </c>
    </row>
    <row r="19" spans="1:19" ht="15.75" thickBot="1" x14ac:dyDescent="0.3"/>
    <row r="20" spans="1:19" ht="15.75" thickBot="1" x14ac:dyDescent="0.3">
      <c r="A20" s="4" t="s">
        <v>64</v>
      </c>
      <c r="B20" s="38" t="s">
        <v>61</v>
      </c>
      <c r="C20" s="39" t="s">
        <v>5</v>
      </c>
      <c r="D20" s="39" t="s">
        <v>6</v>
      </c>
      <c r="E20" s="39" t="s">
        <v>7</v>
      </c>
      <c r="F20" s="39" t="s">
        <v>8</v>
      </c>
      <c r="G20" s="39" t="s">
        <v>15</v>
      </c>
      <c r="H20" s="39" t="s">
        <v>16</v>
      </c>
      <c r="I20" s="40" t="s">
        <v>22</v>
      </c>
      <c r="K20" s="4" t="s">
        <v>64</v>
      </c>
      <c r="L20" s="3" t="s">
        <v>17</v>
      </c>
      <c r="M20" s="3" t="s">
        <v>18</v>
      </c>
      <c r="N20" s="3" t="s">
        <v>20</v>
      </c>
      <c r="O20" s="3" t="s">
        <v>19</v>
      </c>
      <c r="P20" s="3" t="s">
        <v>21</v>
      </c>
      <c r="Q20" s="3" t="s">
        <v>29</v>
      </c>
      <c r="R20" s="3" t="s">
        <v>23</v>
      </c>
      <c r="S20" s="15"/>
    </row>
    <row r="21" spans="1:19" x14ac:dyDescent="0.25">
      <c r="A21" s="28" t="s">
        <v>1</v>
      </c>
      <c r="B21" s="41">
        <f>Datap!$S$2</f>
        <v>1.3181</v>
      </c>
      <c r="C21" s="18">
        <f>Datap!$L$2</f>
        <v>1.3186</v>
      </c>
      <c r="D21" s="18">
        <f>Datap!$K$2</f>
        <v>1.3187</v>
      </c>
      <c r="E21" s="18">
        <f>Datap!$J$2</f>
        <v>1.3173999999999999</v>
      </c>
      <c r="F21" s="18">
        <f>(D21+E21)/2</f>
        <v>1.3180499999999999</v>
      </c>
      <c r="G21" s="19" t="str">
        <f>IF(C21&gt;F21,"YES","NO")</f>
        <v>YES</v>
      </c>
      <c r="H21" s="7">
        <f>IF(G21="YES",100/(D21-F21)*(C21-F21),100/(F21-E21)*(F21-C21)*-1)</f>
        <v>84.615384615387242</v>
      </c>
      <c r="I21" s="20">
        <f>H21*-1</f>
        <v>-84.615384615387242</v>
      </c>
      <c r="K21" s="15" t="s">
        <v>17</v>
      </c>
      <c r="L21" s="14"/>
      <c r="M21" s="7">
        <f>I21</f>
        <v>-84.615384615387242</v>
      </c>
      <c r="N21" s="7">
        <f>I22</f>
        <v>-74.999999999991672</v>
      </c>
      <c r="O21" s="7">
        <f>I23</f>
        <v>-36.842105263153584</v>
      </c>
      <c r="P21" s="7">
        <f>H24</f>
        <v>-78.531073446320605</v>
      </c>
      <c r="Q21" s="7">
        <f>H25</f>
        <v>26.315789473692821</v>
      </c>
      <c r="R21" s="7">
        <f t="shared" ref="R21:R26" si="5">SUM(L21:Q21)/5</f>
        <v>-49.734554770232052</v>
      </c>
      <c r="S21" s="15" t="s">
        <v>17</v>
      </c>
    </row>
    <row r="22" spans="1:19" x14ac:dyDescent="0.25">
      <c r="A22" s="28" t="s">
        <v>2</v>
      </c>
      <c r="B22" s="42">
        <f>Datap!$S$24</f>
        <v>1.8093999999999999</v>
      </c>
      <c r="C22" s="17">
        <f>Datap!$L$24</f>
        <v>1.6598999999999999</v>
      </c>
      <c r="D22" s="17">
        <f>Datap!$K$24</f>
        <v>1.6604000000000001</v>
      </c>
      <c r="E22" s="17">
        <f>Datap!$J$24</f>
        <v>1.6564000000000001</v>
      </c>
      <c r="F22" s="17">
        <f t="shared" ref="F22:F35" si="6">(D22+E22)/2</f>
        <v>1.6584000000000001</v>
      </c>
      <c r="G22" s="22" t="str">
        <f t="shared" ref="G22:G35" si="7">IF(C22&gt;F22,"YES","NO")</f>
        <v>YES</v>
      </c>
      <c r="H22" s="9">
        <f t="shared" ref="H22:H35" si="8">IF(G22="YES",100/(D22-F22)*(C22-F22),100/(F22-E22)*(F22-C22)*-1)</f>
        <v>74.999999999991672</v>
      </c>
      <c r="I22" s="23">
        <f t="shared" ref="I22:I35" si="9">H22*-1</f>
        <v>-74.999999999991672</v>
      </c>
      <c r="K22" s="5" t="s">
        <v>18</v>
      </c>
      <c r="L22" s="9">
        <f>H21</f>
        <v>84.615384615387242</v>
      </c>
      <c r="M22" s="8"/>
      <c r="N22" s="9">
        <f>H26</f>
        <v>-47.36842105262604</v>
      </c>
      <c r="O22" s="9">
        <f>H27</f>
        <v>-6.6666666666656793</v>
      </c>
      <c r="P22" s="9">
        <f>H28</f>
        <v>-44.664031620545636</v>
      </c>
      <c r="Q22" s="9">
        <f>H29</f>
        <v>30.769230769230766</v>
      </c>
      <c r="R22" s="9">
        <f t="shared" si="5"/>
        <v>3.3370992089561304</v>
      </c>
      <c r="S22" s="5" t="s">
        <v>18</v>
      </c>
    </row>
    <row r="23" spans="1:19" x14ac:dyDescent="0.25">
      <c r="A23" s="28" t="s">
        <v>3</v>
      </c>
      <c r="B23" s="42">
        <f>Datap!$S$26</f>
        <v>1.6591</v>
      </c>
      <c r="C23" s="17">
        <f>Datap!$L$26</f>
        <v>0.93440000000000001</v>
      </c>
      <c r="D23" s="17">
        <f>Datap!$K$26</f>
        <v>0.93500000000000005</v>
      </c>
      <c r="E23" s="17">
        <f>Datap!$J$26</f>
        <v>0.93310000000000004</v>
      </c>
      <c r="F23" s="17">
        <f t="shared" si="6"/>
        <v>0.93405000000000005</v>
      </c>
      <c r="G23" s="22" t="str">
        <f t="shared" si="7"/>
        <v>YES</v>
      </c>
      <c r="H23" s="9">
        <f t="shared" si="8"/>
        <v>36.842105263153584</v>
      </c>
      <c r="I23" s="23">
        <f t="shared" si="9"/>
        <v>-36.842105263153584</v>
      </c>
      <c r="K23" s="5" t="s">
        <v>20</v>
      </c>
      <c r="L23" s="9">
        <f>H22</f>
        <v>74.999999999991672</v>
      </c>
      <c r="M23" s="9">
        <f>I26</f>
        <v>47.36842105262604</v>
      </c>
      <c r="N23" s="8"/>
      <c r="O23" s="9">
        <f>H30</f>
        <v>31.818181818178605</v>
      </c>
      <c r="P23" s="9">
        <f>H31</f>
        <v>-6.4133016627048232</v>
      </c>
      <c r="Q23" s="9">
        <f>H32</f>
        <v>55.555555555553212</v>
      </c>
      <c r="R23" s="9">
        <f t="shared" si="5"/>
        <v>40.665771352728946</v>
      </c>
      <c r="S23" s="5" t="s">
        <v>20</v>
      </c>
    </row>
    <row r="24" spans="1:19" x14ac:dyDescent="0.25">
      <c r="A24" s="28" t="s">
        <v>4</v>
      </c>
      <c r="B24" s="42">
        <f>Datap!$S$28</f>
        <v>0.93430000000000002</v>
      </c>
      <c r="C24" s="17">
        <f>Datap!$L$28</f>
        <v>103.789</v>
      </c>
      <c r="D24" s="17">
        <f>Datap!$K$28</f>
        <v>103.947</v>
      </c>
      <c r="E24" s="17">
        <f>Datap!$J$28</f>
        <v>103.77</v>
      </c>
      <c r="F24" s="17">
        <f t="shared" si="6"/>
        <v>103.85849999999999</v>
      </c>
      <c r="G24" s="22" t="str">
        <f t="shared" si="7"/>
        <v>NO</v>
      </c>
      <c r="H24" s="9">
        <f t="shared" si="8"/>
        <v>-78.531073446320605</v>
      </c>
      <c r="I24" s="23">
        <f t="shared" si="9"/>
        <v>78.531073446320605</v>
      </c>
      <c r="K24" s="5" t="s">
        <v>19</v>
      </c>
      <c r="L24" s="9">
        <f>H23</f>
        <v>36.842105263153584</v>
      </c>
      <c r="M24" s="9">
        <f>I27</f>
        <v>6.6666666666656793</v>
      </c>
      <c r="N24" s="9">
        <f>I30</f>
        <v>-31.818181818178605</v>
      </c>
      <c r="O24" s="8"/>
      <c r="P24" s="9">
        <f>H33</f>
        <v>-74.725274725277302</v>
      </c>
      <c r="Q24" s="9">
        <f>H34</f>
        <v>37.931034482748053</v>
      </c>
      <c r="R24" s="9">
        <f t="shared" si="5"/>
        <v>-5.0207300261777181</v>
      </c>
      <c r="S24" s="5" t="s">
        <v>19</v>
      </c>
    </row>
    <row r="25" spans="1:19" x14ac:dyDescent="0.25">
      <c r="A25" s="28" t="s">
        <v>24</v>
      </c>
      <c r="B25" s="42">
        <f>Datap!$S$30</f>
        <v>103.89</v>
      </c>
      <c r="C25" s="17">
        <f>Datap!$L$30</f>
        <v>1.0900000000000001</v>
      </c>
      <c r="D25" s="17">
        <f>Datap!$K$30</f>
        <v>1.0907</v>
      </c>
      <c r="E25" s="17">
        <f>Datap!$J$30</f>
        <v>1.0888</v>
      </c>
      <c r="F25" s="17">
        <f t="shared" si="6"/>
        <v>1.08975</v>
      </c>
      <c r="G25" s="22" t="str">
        <f t="shared" si="7"/>
        <v>YES</v>
      </c>
      <c r="H25" s="9">
        <f t="shared" si="8"/>
        <v>26.315789473692821</v>
      </c>
      <c r="I25" s="23">
        <f t="shared" si="9"/>
        <v>-26.315789473692821</v>
      </c>
      <c r="K25" s="5" t="s">
        <v>21</v>
      </c>
      <c r="L25" s="9">
        <f>I24</f>
        <v>78.531073446320605</v>
      </c>
      <c r="M25" s="9">
        <f>I28</f>
        <v>44.664031620545636</v>
      </c>
      <c r="N25" s="9">
        <f>I31</f>
        <v>6.4133016627048232</v>
      </c>
      <c r="O25" s="9">
        <f>I33</f>
        <v>74.725274725277302</v>
      </c>
      <c r="P25" s="8"/>
      <c r="Q25" s="9">
        <f>I35</f>
        <v>68.421052631575918</v>
      </c>
      <c r="R25" s="9">
        <f t="shared" si="5"/>
        <v>54.550946817284853</v>
      </c>
      <c r="S25" s="5" t="s">
        <v>21</v>
      </c>
    </row>
    <row r="26" spans="1:19" ht="15.75" thickBot="1" x14ac:dyDescent="0.3">
      <c r="A26" s="28" t="s">
        <v>9</v>
      </c>
      <c r="B26" s="42">
        <f>Datap!$S$4</f>
        <v>0.79569999999999996</v>
      </c>
      <c r="C26" s="17">
        <f>Datap!$L$4</f>
        <v>0.79430000000000001</v>
      </c>
      <c r="D26" s="17">
        <f>Datap!$K$4</f>
        <v>0.79569999999999996</v>
      </c>
      <c r="E26" s="17">
        <f>Datap!$J$4</f>
        <v>0.79379999999999995</v>
      </c>
      <c r="F26" s="17">
        <f t="shared" si="6"/>
        <v>0.79474999999999996</v>
      </c>
      <c r="G26" s="22" t="str">
        <f t="shared" si="7"/>
        <v>NO</v>
      </c>
      <c r="H26" s="9">
        <f t="shared" si="8"/>
        <v>-47.36842105262604</v>
      </c>
      <c r="I26" s="23">
        <f t="shared" si="9"/>
        <v>47.36842105262604</v>
      </c>
      <c r="K26" s="13" t="s">
        <v>29</v>
      </c>
      <c r="L26" s="9">
        <f>I25</f>
        <v>-26.315789473692821</v>
      </c>
      <c r="M26" s="9">
        <f>I29</f>
        <v>-30.769230769230766</v>
      </c>
      <c r="N26" s="9">
        <f>I32</f>
        <v>-55.555555555553212</v>
      </c>
      <c r="O26" s="9">
        <f>I34</f>
        <v>-37.931034482748053</v>
      </c>
      <c r="P26" s="9">
        <f>H35</f>
        <v>-68.421052631575918</v>
      </c>
      <c r="Q26" s="9"/>
      <c r="R26" s="16">
        <f t="shared" si="5"/>
        <v>-43.798532582560156</v>
      </c>
      <c r="S26" s="6" t="s">
        <v>29</v>
      </c>
    </row>
    <row r="27" spans="1:19" ht="15.75" thickBot="1" x14ac:dyDescent="0.3">
      <c r="A27" s="28" t="s">
        <v>10</v>
      </c>
      <c r="B27" s="42">
        <f>Datap!$S$6</f>
        <v>1.4513</v>
      </c>
      <c r="C27" s="17">
        <f>Datap!$L$6</f>
        <v>1.4109</v>
      </c>
      <c r="D27" s="17">
        <f>Datap!$K$6</f>
        <v>1.4125000000000001</v>
      </c>
      <c r="E27" s="17">
        <f>Datap!$J$6</f>
        <v>1.4095</v>
      </c>
      <c r="F27" s="17">
        <f t="shared" si="6"/>
        <v>1.411</v>
      </c>
      <c r="G27" s="22" t="str">
        <f t="shared" si="7"/>
        <v>NO</v>
      </c>
      <c r="H27" s="9">
        <f t="shared" si="8"/>
        <v>-6.6666666666656793</v>
      </c>
      <c r="I27" s="23">
        <f t="shared" si="9"/>
        <v>6.6666666666656793</v>
      </c>
      <c r="K27" s="13" t="s">
        <v>23</v>
      </c>
      <c r="L27" s="11">
        <f>R21</f>
        <v>-49.734554770232052</v>
      </c>
      <c r="M27" s="11">
        <f>R22</f>
        <v>3.3370992089561304</v>
      </c>
      <c r="N27" s="11">
        <f>R23</f>
        <v>40.665771352728946</v>
      </c>
      <c r="O27" s="11">
        <f>R24</f>
        <v>-5.0207300261777181</v>
      </c>
      <c r="P27" s="11">
        <f>R25</f>
        <v>54.550946817284853</v>
      </c>
      <c r="Q27" s="11">
        <f>R26</f>
        <v>-43.798532582560156</v>
      </c>
      <c r="R27" s="12"/>
      <c r="S27" s="4" t="s">
        <v>23</v>
      </c>
    </row>
    <row r="28" spans="1:19" x14ac:dyDescent="0.25">
      <c r="A28" s="28" t="s">
        <v>11</v>
      </c>
      <c r="B28" s="42">
        <f>Datap!$S$8</f>
        <v>138.71</v>
      </c>
      <c r="C28" s="17">
        <f>Datap!$L$8</f>
        <v>136.86600000000001</v>
      </c>
      <c r="D28" s="17">
        <f>Datap!$K$8</f>
        <v>137.04900000000001</v>
      </c>
      <c r="E28" s="17">
        <f>Datap!$J$8</f>
        <v>136.79599999999999</v>
      </c>
      <c r="F28" s="17">
        <f t="shared" si="6"/>
        <v>136.92250000000001</v>
      </c>
      <c r="G28" s="22" t="str">
        <f t="shared" si="7"/>
        <v>NO</v>
      </c>
      <c r="H28" s="9">
        <f t="shared" si="8"/>
        <v>-44.664031620545636</v>
      </c>
      <c r="I28" s="23">
        <f t="shared" si="9"/>
        <v>44.664031620545636</v>
      </c>
    </row>
    <row r="29" spans="1:19" x14ac:dyDescent="0.25">
      <c r="A29" s="28" t="s">
        <v>25</v>
      </c>
      <c r="B29" s="42">
        <f>Datap!$S$10</f>
        <v>1.4608000000000001</v>
      </c>
      <c r="C29" s="17">
        <f>Datap!$L$10</f>
        <v>1.4373</v>
      </c>
      <c r="D29" s="17">
        <f>Datap!$K$10</f>
        <v>1.4381999999999999</v>
      </c>
      <c r="E29" s="17">
        <f>Datap!$J$10</f>
        <v>1.4356</v>
      </c>
      <c r="F29" s="17">
        <f t="shared" si="6"/>
        <v>1.4369000000000001</v>
      </c>
      <c r="G29" s="22" t="str">
        <f t="shared" si="7"/>
        <v>YES</v>
      </c>
      <c r="H29" s="9">
        <f t="shared" si="8"/>
        <v>30.769230769230766</v>
      </c>
      <c r="I29" s="23">
        <f t="shared" si="9"/>
        <v>-30.769230769230766</v>
      </c>
    </row>
    <row r="30" spans="1:19" x14ac:dyDescent="0.25">
      <c r="A30" s="28" t="s">
        <v>12</v>
      </c>
      <c r="B30" s="42">
        <f>Datap!$S$18</f>
        <v>95.256</v>
      </c>
      <c r="C30" s="17">
        <f>Datap!$L$18</f>
        <v>1.7761</v>
      </c>
      <c r="D30" s="17">
        <f>Datap!$K$18</f>
        <v>1.7776000000000001</v>
      </c>
      <c r="E30" s="17">
        <f>Datap!$J$18</f>
        <v>1.7732000000000001</v>
      </c>
      <c r="F30" s="17">
        <f t="shared" si="6"/>
        <v>1.7754000000000001</v>
      </c>
      <c r="G30" s="22" t="str">
        <f t="shared" si="7"/>
        <v>YES</v>
      </c>
      <c r="H30" s="9">
        <f t="shared" si="8"/>
        <v>31.818181818178605</v>
      </c>
      <c r="I30" s="23">
        <f t="shared" si="9"/>
        <v>-31.818181818178605</v>
      </c>
    </row>
    <row r="31" spans="1:19" x14ac:dyDescent="0.25">
      <c r="A31" s="28" t="s">
        <v>13</v>
      </c>
      <c r="B31" s="42">
        <f>Datap!$S$20</f>
        <v>1.7756000000000001</v>
      </c>
      <c r="C31" s="17">
        <f>Datap!$L$20</f>
        <v>172.28700000000001</v>
      </c>
      <c r="D31" s="17">
        <f>Datap!$K$20</f>
        <v>172.511</v>
      </c>
      <c r="E31" s="17">
        <f>Datap!$J$20</f>
        <v>172.09</v>
      </c>
      <c r="F31" s="17">
        <f t="shared" si="6"/>
        <v>172.3005</v>
      </c>
      <c r="G31" s="22" t="str">
        <f t="shared" si="7"/>
        <v>NO</v>
      </c>
      <c r="H31" s="9">
        <f t="shared" si="8"/>
        <v>-6.4133016627048232</v>
      </c>
      <c r="I31" s="23">
        <f t="shared" si="9"/>
        <v>6.4133016627048232</v>
      </c>
    </row>
    <row r="32" spans="1:19" x14ac:dyDescent="0.25">
      <c r="A32" s="28" t="s">
        <v>26</v>
      </c>
      <c r="B32" s="42">
        <f>Datap!$S$22</f>
        <v>172.376</v>
      </c>
      <c r="C32" s="17">
        <f>Datap!$L$22</f>
        <v>1.8093999999999999</v>
      </c>
      <c r="D32" s="17">
        <f>Datap!$K$22</f>
        <v>1.8108</v>
      </c>
      <c r="E32" s="17">
        <f>Datap!$J$22</f>
        <v>1.8045</v>
      </c>
      <c r="F32" s="17">
        <f t="shared" si="6"/>
        <v>1.80765</v>
      </c>
      <c r="G32" s="22" t="str">
        <f t="shared" si="7"/>
        <v>YES</v>
      </c>
      <c r="H32" s="9">
        <f t="shared" si="8"/>
        <v>55.555555555553212</v>
      </c>
      <c r="I32" s="23">
        <f t="shared" si="9"/>
        <v>-55.555555555553212</v>
      </c>
    </row>
    <row r="33" spans="1:9" x14ac:dyDescent="0.25">
      <c r="A33" s="28" t="s">
        <v>14</v>
      </c>
      <c r="B33" s="42">
        <f>Datap!$S$14</f>
        <v>1.0187999999999999</v>
      </c>
      <c r="C33" s="17">
        <f>Datap!$L$14</f>
        <v>96.99</v>
      </c>
      <c r="D33" s="17">
        <f>Datap!$K$14</f>
        <v>97.149000000000001</v>
      </c>
      <c r="E33" s="17">
        <f>Datap!$J$14</f>
        <v>96.966999999999999</v>
      </c>
      <c r="F33" s="17">
        <f t="shared" si="6"/>
        <v>97.057999999999993</v>
      </c>
      <c r="G33" s="22" t="str">
        <f t="shared" si="7"/>
        <v>NO</v>
      </c>
      <c r="H33" s="9">
        <f t="shared" si="8"/>
        <v>-74.725274725277302</v>
      </c>
      <c r="I33" s="23">
        <f t="shared" si="9"/>
        <v>74.725274725277302</v>
      </c>
    </row>
    <row r="34" spans="1:9" x14ac:dyDescent="0.25">
      <c r="A34" s="28" t="s">
        <v>28</v>
      </c>
      <c r="B34" s="42">
        <f>Datap!$S$12</f>
        <v>1.4377</v>
      </c>
      <c r="C34" s="17">
        <f>Datap!$L$12</f>
        <v>1.0185999999999999</v>
      </c>
      <c r="D34" s="17">
        <f>Datap!$K$12</f>
        <v>1.0195000000000001</v>
      </c>
      <c r="E34" s="17">
        <f>Datap!$J$12</f>
        <v>1.0165999999999999</v>
      </c>
      <c r="F34" s="17">
        <f t="shared" si="6"/>
        <v>1.0180500000000001</v>
      </c>
      <c r="G34" s="22" t="str">
        <f t="shared" si="7"/>
        <v>YES</v>
      </c>
      <c r="H34" s="9">
        <f t="shared" si="8"/>
        <v>37.931034482748053</v>
      </c>
      <c r="I34" s="23">
        <f t="shared" si="9"/>
        <v>-37.931034482748053</v>
      </c>
    </row>
    <row r="35" spans="1:9" ht="15.75" thickBot="1" x14ac:dyDescent="0.3">
      <c r="A35" s="29" t="s">
        <v>27</v>
      </c>
      <c r="B35" s="43">
        <f>Datap!$S$16</f>
        <v>97.066000000000003</v>
      </c>
      <c r="C35" s="25">
        <f>Datap!$L$16</f>
        <v>95.207999999999998</v>
      </c>
      <c r="D35" s="25">
        <f>Datap!$K$16</f>
        <v>95.415999999999997</v>
      </c>
      <c r="E35" s="25">
        <f>Datap!$J$16</f>
        <v>95.168999999999997</v>
      </c>
      <c r="F35" s="25">
        <f t="shared" si="6"/>
        <v>95.29249999999999</v>
      </c>
      <c r="G35" s="26" t="str">
        <f t="shared" si="7"/>
        <v>NO</v>
      </c>
      <c r="H35" s="10">
        <f t="shared" si="8"/>
        <v>-68.421052631575918</v>
      </c>
      <c r="I35" s="27">
        <f t="shared" si="9"/>
        <v>68.421052631575918</v>
      </c>
    </row>
  </sheetData>
  <conditionalFormatting sqref="L4:R8 R9">
    <cfRule type="cellIs" dxfId="53" priority="11" stopIfTrue="1" operator="lessThan">
      <formula>0</formula>
    </cfRule>
    <cfRule type="cellIs" dxfId="52" priority="12" stopIfTrue="1" operator="greaterThan">
      <formula>0</formula>
    </cfRule>
  </conditionalFormatting>
  <conditionalFormatting sqref="L9:Q9">
    <cfRule type="cellIs" dxfId="51" priority="9" stopIfTrue="1" operator="lessThan">
      <formula>0</formula>
    </cfRule>
    <cfRule type="cellIs" dxfId="50" priority="10" stopIfTrue="1" operator="greaterThan">
      <formula>0</formula>
    </cfRule>
  </conditionalFormatting>
  <conditionalFormatting sqref="L10:R10">
    <cfRule type="cellIs" dxfId="49" priority="7" operator="lessThan">
      <formula>0</formula>
    </cfRule>
    <cfRule type="cellIs" dxfId="48" priority="8" operator="greaterThan">
      <formula>0</formula>
    </cfRule>
  </conditionalFormatting>
  <conditionalFormatting sqref="L21:R25 R26">
    <cfRule type="cellIs" dxfId="47" priority="5" stopIfTrue="1" operator="lessThan">
      <formula>0</formula>
    </cfRule>
    <cfRule type="cellIs" dxfId="46" priority="6" stopIfTrue="1" operator="greaterThan">
      <formula>0</formula>
    </cfRule>
  </conditionalFormatting>
  <conditionalFormatting sqref="L26:Q26">
    <cfRule type="cellIs" dxfId="45" priority="3" stopIfTrue="1" operator="lessThan">
      <formula>0</formula>
    </cfRule>
    <cfRule type="cellIs" dxfId="44" priority="4" stopIfTrue="1" operator="greaterThan">
      <formula>0</formula>
    </cfRule>
  </conditionalFormatting>
  <conditionalFormatting sqref="L27:R27">
    <cfRule type="cellIs" dxfId="43" priority="1" operator="lessThan">
      <formula>0</formula>
    </cfRule>
    <cfRule type="cellIs" dxfId="42" priority="2" operator="greaterThan">
      <formula>0</formula>
    </cfRule>
  </conditionalFormatting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5" workbookViewId="0">
      <selection activeCell="B37" sqref="B37"/>
    </sheetView>
  </sheetViews>
  <sheetFormatPr baseColWidth="10" defaultRowHeight="15" x14ac:dyDescent="0.25"/>
  <cols>
    <col min="10" max="10" width="4.7109375" customWidth="1"/>
  </cols>
  <sheetData>
    <row r="1" spans="1:19" x14ac:dyDescent="0.25">
      <c r="A1" s="1" t="s">
        <v>0</v>
      </c>
      <c r="B1" s="1"/>
    </row>
    <row r="2" spans="1:19" ht="15.75" thickBot="1" x14ac:dyDescent="0.3"/>
    <row r="3" spans="1:19" ht="15.75" thickBot="1" x14ac:dyDescent="0.3">
      <c r="A3" s="4" t="s">
        <v>63</v>
      </c>
      <c r="B3" s="38" t="s">
        <v>61</v>
      </c>
      <c r="C3" s="39" t="s">
        <v>5</v>
      </c>
      <c r="D3" s="39" t="s">
        <v>6</v>
      </c>
      <c r="E3" s="39" t="s">
        <v>7</v>
      </c>
      <c r="F3" s="39" t="s">
        <v>8</v>
      </c>
      <c r="G3" s="39" t="s">
        <v>15</v>
      </c>
      <c r="H3" s="39" t="s">
        <v>16</v>
      </c>
      <c r="I3" s="40" t="s">
        <v>22</v>
      </c>
      <c r="K3" s="4" t="s">
        <v>63</v>
      </c>
      <c r="L3" s="3" t="s">
        <v>17</v>
      </c>
      <c r="M3" s="3" t="s">
        <v>18</v>
      </c>
      <c r="N3" s="3" t="s">
        <v>20</v>
      </c>
      <c r="O3" s="3" t="s">
        <v>19</v>
      </c>
      <c r="P3" s="3" t="s">
        <v>21</v>
      </c>
      <c r="Q3" s="3" t="s">
        <v>29</v>
      </c>
      <c r="R3" s="3" t="s">
        <v>23</v>
      </c>
      <c r="S3" s="15"/>
    </row>
    <row r="4" spans="1:19" x14ac:dyDescent="0.25">
      <c r="A4" s="28" t="s">
        <v>1</v>
      </c>
      <c r="B4" s="41">
        <f>Data!$R$2</f>
        <v>1.3166</v>
      </c>
      <c r="C4" s="18">
        <f>Data!$I$2</f>
        <v>1.3180000000000001</v>
      </c>
      <c r="D4" s="18">
        <f>Data!$H$2</f>
        <v>1.3188</v>
      </c>
      <c r="E4" s="18">
        <f>Data!$G$2</f>
        <v>1.3151999999999999</v>
      </c>
      <c r="F4" s="18">
        <f>(D4+E4)/2</f>
        <v>1.3169999999999999</v>
      </c>
      <c r="G4" s="19" t="str">
        <f>IF(C4&gt;F4,"YES","NO")</f>
        <v>YES</v>
      </c>
      <c r="H4" s="7">
        <f>IF(G4="YES",100/(D4-F4)*(C4-F4),100/(F4-E4)*(F4-C4)*-1)</f>
        <v>55.555555555561035</v>
      </c>
      <c r="I4" s="20">
        <f>H4*-1</f>
        <v>-55.555555555561035</v>
      </c>
      <c r="J4" s="2"/>
      <c r="K4" s="15" t="s">
        <v>17</v>
      </c>
      <c r="L4" s="14"/>
      <c r="M4" s="7">
        <f>I4</f>
        <v>-55.555555555561035</v>
      </c>
      <c r="N4" s="7">
        <f>I5</f>
        <v>-73.5294117647028</v>
      </c>
      <c r="O4" s="7">
        <f>I6</f>
        <v>-72.549019607842368</v>
      </c>
      <c r="P4" s="7">
        <f>H7</f>
        <v>-45.406824146982075</v>
      </c>
      <c r="Q4" s="7">
        <f>H8</f>
        <v>-85.074626865673125</v>
      </c>
      <c r="R4" s="7">
        <f t="shared" ref="R4:R9" si="0">SUM(L4:Q4)/5</f>
        <v>-66.423087588152285</v>
      </c>
      <c r="S4" s="15" t="s">
        <v>17</v>
      </c>
    </row>
    <row r="5" spans="1:19" x14ac:dyDescent="0.25">
      <c r="A5" s="28" t="s">
        <v>2</v>
      </c>
      <c r="B5" s="42">
        <f>Data!$R$24</f>
        <v>1.6537999999999999</v>
      </c>
      <c r="C5" s="17">
        <f>Data!$I$24</f>
        <v>1.6595</v>
      </c>
      <c r="D5" s="17">
        <f>Data!$H$24</f>
        <v>1.6604000000000001</v>
      </c>
      <c r="E5" s="8">
        <f>Data!$G$24</f>
        <v>1.6536</v>
      </c>
      <c r="F5" s="17">
        <f t="shared" ref="F5:F18" si="1">(D5+E5)/2</f>
        <v>1.657</v>
      </c>
      <c r="G5" s="22" t="str">
        <f t="shared" ref="G5:G18" si="2">IF(C5&gt;F5,"YES","NO")</f>
        <v>YES</v>
      </c>
      <c r="H5" s="9">
        <f t="shared" ref="H5:H18" si="3">IF(G5="YES",100/(D5-F5)*(C5-F5),100/(F5-E5)*(F5-C5)*-1)</f>
        <v>73.5294117647028</v>
      </c>
      <c r="I5" s="23">
        <f t="shared" ref="I5:I18" si="4">H5*-1</f>
        <v>-73.5294117647028</v>
      </c>
      <c r="J5" s="2"/>
      <c r="K5" s="5" t="s">
        <v>18</v>
      </c>
      <c r="L5" s="9">
        <f>H4</f>
        <v>55.555555555561035</v>
      </c>
      <c r="M5" s="8"/>
      <c r="N5" s="9">
        <f>H9</f>
        <v>-67.999999999996803</v>
      </c>
      <c r="O5" s="9">
        <f>H10</f>
        <v>-67.213114754094661</v>
      </c>
      <c r="P5" s="9">
        <f>H11</f>
        <v>-32.1637426900473</v>
      </c>
      <c r="Q5" s="9">
        <f>H12</f>
        <v>-91.780821917808964</v>
      </c>
      <c r="R5" s="9">
        <f t="shared" si="0"/>
        <v>-40.720424761277343</v>
      </c>
      <c r="S5" s="5" t="s">
        <v>18</v>
      </c>
    </row>
    <row r="6" spans="1:19" x14ac:dyDescent="0.25">
      <c r="A6" s="28" t="s">
        <v>3</v>
      </c>
      <c r="B6" s="42">
        <f>Data!$R$26</f>
        <v>0.93049999999999999</v>
      </c>
      <c r="C6" s="17">
        <f>Data!$I$26</f>
        <v>0.93430000000000002</v>
      </c>
      <c r="D6" s="17">
        <f>Data!$H$26</f>
        <v>0.93500000000000005</v>
      </c>
      <c r="E6" s="17">
        <f>Data!$G$26</f>
        <v>0.92989999999999995</v>
      </c>
      <c r="F6" s="17">
        <f t="shared" si="1"/>
        <v>0.93245</v>
      </c>
      <c r="G6" s="22" t="str">
        <f t="shared" si="2"/>
        <v>YES</v>
      </c>
      <c r="H6" s="9">
        <f t="shared" si="3"/>
        <v>72.549019607842368</v>
      </c>
      <c r="I6" s="23">
        <f t="shared" si="4"/>
        <v>-72.549019607842368</v>
      </c>
      <c r="J6" s="2"/>
      <c r="K6" s="5" t="s">
        <v>20</v>
      </c>
      <c r="L6" s="9">
        <f>H5</f>
        <v>73.5294117647028</v>
      </c>
      <c r="M6" s="9">
        <f>I9</f>
        <v>67.999999999996803</v>
      </c>
      <c r="N6" s="8"/>
      <c r="O6" s="9">
        <f>H13</f>
        <v>16.666666666665122</v>
      </c>
      <c r="P6" s="9">
        <f>H14</f>
        <v>47.186147186152141</v>
      </c>
      <c r="Q6" s="9">
        <f>H15</f>
        <v>-4.5454545454540867</v>
      </c>
      <c r="R6" s="9">
        <f t="shared" si="0"/>
        <v>40.167354214412555</v>
      </c>
      <c r="S6" s="5" t="s">
        <v>20</v>
      </c>
    </row>
    <row r="7" spans="1:19" x14ac:dyDescent="0.25">
      <c r="A7" s="28" t="s">
        <v>4</v>
      </c>
      <c r="B7" s="42">
        <f>Data!$R$28</f>
        <v>104.05</v>
      </c>
      <c r="C7" s="17">
        <f>Data!$I$28</f>
        <v>103.874</v>
      </c>
      <c r="D7" s="17">
        <f>Data!$H$28</f>
        <v>104.151</v>
      </c>
      <c r="E7" s="17">
        <f>Data!$G$28</f>
        <v>103.77</v>
      </c>
      <c r="F7" s="17">
        <f t="shared" si="1"/>
        <v>103.9605</v>
      </c>
      <c r="G7" s="22" t="str">
        <f t="shared" si="2"/>
        <v>NO</v>
      </c>
      <c r="H7" s="9">
        <f t="shared" si="3"/>
        <v>-45.406824146982075</v>
      </c>
      <c r="I7" s="23">
        <f t="shared" si="4"/>
        <v>45.406824146982075</v>
      </c>
      <c r="J7" s="2"/>
      <c r="K7" s="5" t="s">
        <v>19</v>
      </c>
      <c r="L7" s="9">
        <f>H6</f>
        <v>72.549019607842368</v>
      </c>
      <c r="M7" s="9">
        <f>I10</f>
        <v>67.213114754094661</v>
      </c>
      <c r="N7" s="9">
        <f>I13</f>
        <v>-16.666666666665122</v>
      </c>
      <c r="O7" s="8"/>
      <c r="P7" s="9">
        <f>H16</f>
        <v>50.526315789476207</v>
      </c>
      <c r="Q7" s="9">
        <f>H17</f>
        <v>-15.555555555549853</v>
      </c>
      <c r="R7" s="9">
        <f t="shared" si="0"/>
        <v>31.61324558583965</v>
      </c>
      <c r="S7" s="5" t="s">
        <v>19</v>
      </c>
    </row>
    <row r="8" spans="1:19" x14ac:dyDescent="0.25">
      <c r="A8" s="28" t="s">
        <v>24</v>
      </c>
      <c r="B8" s="42">
        <f>Data!$R$30</f>
        <v>1.0949</v>
      </c>
      <c r="C8" s="17">
        <f>Data!$I$30</f>
        <v>1.0892999999999999</v>
      </c>
      <c r="D8" s="17">
        <f>Data!$H$30</f>
        <v>1.0954999999999999</v>
      </c>
      <c r="E8" s="17">
        <f>Data!$G$30</f>
        <v>1.0888</v>
      </c>
      <c r="F8" s="17">
        <f t="shared" si="1"/>
        <v>1.09215</v>
      </c>
      <c r="G8" s="22" t="str">
        <f t="shared" si="2"/>
        <v>NO</v>
      </c>
      <c r="H8" s="9">
        <f t="shared" si="3"/>
        <v>-85.074626865673125</v>
      </c>
      <c r="I8" s="23">
        <f t="shared" si="4"/>
        <v>85.074626865673125</v>
      </c>
      <c r="J8" s="2"/>
      <c r="K8" s="5" t="s">
        <v>21</v>
      </c>
      <c r="L8" s="9">
        <f>I7</f>
        <v>45.406824146982075</v>
      </c>
      <c r="M8" s="9">
        <f>I11</f>
        <v>32.1637426900473</v>
      </c>
      <c r="N8" s="9">
        <f>I14</f>
        <v>-47.186147186152141</v>
      </c>
      <c r="O8" s="9">
        <f>I16</f>
        <v>-50.526315789476207</v>
      </c>
      <c r="P8" s="8"/>
      <c r="Q8" s="9">
        <f>I18</f>
        <v>-68.680089485461849</v>
      </c>
      <c r="R8" s="9">
        <f t="shared" si="0"/>
        <v>-17.764397124812167</v>
      </c>
      <c r="S8" s="5" t="s">
        <v>21</v>
      </c>
    </row>
    <row r="9" spans="1:19" ht="15.75" thickBot="1" x14ac:dyDescent="0.3">
      <c r="A9" s="28" t="s">
        <v>9</v>
      </c>
      <c r="B9" s="42">
        <f>Data!$R$4</f>
        <v>0.79590000000000005</v>
      </c>
      <c r="C9" s="17">
        <f>Data!$I$4</f>
        <v>0.79410000000000003</v>
      </c>
      <c r="D9" s="17">
        <f>Data!$H$4</f>
        <v>0.79620000000000002</v>
      </c>
      <c r="E9" s="17">
        <f>Data!$G$4</f>
        <v>0.79369999999999996</v>
      </c>
      <c r="F9" s="17">
        <f t="shared" si="1"/>
        <v>0.79495000000000005</v>
      </c>
      <c r="G9" s="22" t="str">
        <f t="shared" si="2"/>
        <v>NO</v>
      </c>
      <c r="H9" s="9">
        <f t="shared" si="3"/>
        <v>-67.999999999996803</v>
      </c>
      <c r="I9" s="23">
        <f t="shared" si="4"/>
        <v>67.999999999996803</v>
      </c>
      <c r="J9" s="2"/>
      <c r="K9" s="13" t="s">
        <v>29</v>
      </c>
      <c r="L9" s="9">
        <f>I8</f>
        <v>85.074626865673125</v>
      </c>
      <c r="M9" s="9">
        <f>I12</f>
        <v>91.780821917808964</v>
      </c>
      <c r="N9" s="9">
        <f>I15</f>
        <v>4.5454545454540867</v>
      </c>
      <c r="O9" s="9">
        <f>I17</f>
        <v>15.555555555549853</v>
      </c>
      <c r="P9" s="9">
        <f>H18</f>
        <v>68.680089485461849</v>
      </c>
      <c r="Q9" s="9"/>
      <c r="R9" s="16">
        <f t="shared" si="0"/>
        <v>53.127309673989565</v>
      </c>
      <c r="S9" s="6" t="s">
        <v>29</v>
      </c>
    </row>
    <row r="10" spans="1:19" ht="15.75" thickBot="1" x14ac:dyDescent="0.3">
      <c r="A10" s="28" t="s">
        <v>10</v>
      </c>
      <c r="B10" s="42">
        <f>Data!$R$6</f>
        <v>1.4145000000000001</v>
      </c>
      <c r="C10" s="17">
        <f>Data!$I$6</f>
        <v>1.4105000000000001</v>
      </c>
      <c r="D10" s="17">
        <f>Data!$H$6</f>
        <v>1.4156</v>
      </c>
      <c r="E10" s="17">
        <f>Data!$G$6</f>
        <v>1.4095</v>
      </c>
      <c r="F10" s="17">
        <f t="shared" si="1"/>
        <v>1.41255</v>
      </c>
      <c r="G10" s="22" t="str">
        <f t="shared" si="2"/>
        <v>NO</v>
      </c>
      <c r="H10" s="9">
        <f t="shared" si="3"/>
        <v>-67.213114754094661</v>
      </c>
      <c r="I10" s="23">
        <f t="shared" si="4"/>
        <v>67.213114754094661</v>
      </c>
      <c r="J10" s="2"/>
      <c r="K10" s="13" t="s">
        <v>23</v>
      </c>
      <c r="L10" s="11">
        <f>R4</f>
        <v>-66.423087588152285</v>
      </c>
      <c r="M10" s="11">
        <f>R5</f>
        <v>-40.720424761277343</v>
      </c>
      <c r="N10" s="11">
        <f>R6</f>
        <v>40.167354214412555</v>
      </c>
      <c r="O10" s="11">
        <f>R7</f>
        <v>31.61324558583965</v>
      </c>
      <c r="P10" s="11">
        <f>R8</f>
        <v>-17.764397124812167</v>
      </c>
      <c r="Q10" s="11">
        <f>R9</f>
        <v>53.127309673989565</v>
      </c>
      <c r="R10" s="12"/>
      <c r="S10" s="4" t="s">
        <v>23</v>
      </c>
    </row>
    <row r="11" spans="1:19" x14ac:dyDescent="0.25">
      <c r="A11" s="28" t="s">
        <v>11</v>
      </c>
      <c r="B11" s="42">
        <f>Data!$R$8</f>
        <v>136.98500000000001</v>
      </c>
      <c r="C11" s="17">
        <f>Data!$I$8</f>
        <v>136.91200000000001</v>
      </c>
      <c r="D11" s="17">
        <f>Data!$H$8</f>
        <v>137.13800000000001</v>
      </c>
      <c r="E11" s="17">
        <f>Data!$G$8</f>
        <v>136.79599999999999</v>
      </c>
      <c r="F11" s="17">
        <f t="shared" si="1"/>
        <v>136.96699999999998</v>
      </c>
      <c r="G11" s="22" t="str">
        <f t="shared" si="2"/>
        <v>NO</v>
      </c>
      <c r="H11" s="9">
        <f t="shared" si="3"/>
        <v>-32.1637426900473</v>
      </c>
      <c r="I11" s="23">
        <f t="shared" si="4"/>
        <v>32.1637426900473</v>
      </c>
      <c r="J11" s="2"/>
    </row>
    <row r="12" spans="1:19" x14ac:dyDescent="0.25">
      <c r="A12" s="28" t="s">
        <v>25</v>
      </c>
      <c r="B12" s="42">
        <f>Data!$R$10</f>
        <v>1.4418</v>
      </c>
      <c r="C12" s="17">
        <f>Data!$I$10</f>
        <v>1.4357</v>
      </c>
      <c r="D12" s="17">
        <f>Data!$H$10</f>
        <v>1.4427000000000001</v>
      </c>
      <c r="E12" s="17">
        <f>Data!$G$10</f>
        <v>1.4354</v>
      </c>
      <c r="F12" s="17">
        <f t="shared" si="1"/>
        <v>1.4390499999999999</v>
      </c>
      <c r="G12" s="22" t="str">
        <f t="shared" si="2"/>
        <v>NO</v>
      </c>
      <c r="H12" s="9">
        <f t="shared" si="3"/>
        <v>-91.780821917808964</v>
      </c>
      <c r="I12" s="23">
        <f t="shared" si="4"/>
        <v>91.780821917808964</v>
      </c>
      <c r="J12" s="2"/>
    </row>
    <row r="13" spans="1:19" x14ac:dyDescent="0.25">
      <c r="A13" s="28" t="s">
        <v>12</v>
      </c>
      <c r="B13" s="42">
        <f>Data!$R$18</f>
        <v>1.7766999999999999</v>
      </c>
      <c r="C13" s="17">
        <f>Data!$I$18</f>
        <v>1.776</v>
      </c>
      <c r="D13" s="17">
        <f>Data!$H$18</f>
        <v>1.778</v>
      </c>
      <c r="E13" s="17">
        <f>Data!$G$18</f>
        <v>1.7732000000000001</v>
      </c>
      <c r="F13" s="17">
        <f t="shared" si="1"/>
        <v>1.7756000000000001</v>
      </c>
      <c r="G13" s="22" t="str">
        <f t="shared" si="2"/>
        <v>YES</v>
      </c>
      <c r="H13" s="9">
        <f t="shared" si="3"/>
        <v>16.666666666665122</v>
      </c>
      <c r="I13" s="23">
        <f t="shared" si="4"/>
        <v>-16.666666666665122</v>
      </c>
      <c r="J13" s="2"/>
    </row>
    <row r="14" spans="1:19" x14ac:dyDescent="0.25">
      <c r="A14" s="28" t="s">
        <v>13</v>
      </c>
      <c r="B14" s="42">
        <f>Data!$R$20</f>
        <v>172.08500000000001</v>
      </c>
      <c r="C14" s="17">
        <f>Data!$I$20</f>
        <v>172.38900000000001</v>
      </c>
      <c r="D14" s="17">
        <f>Data!$H$20</f>
        <v>172.511</v>
      </c>
      <c r="E14" s="17">
        <f>Data!$G$20</f>
        <v>172.04900000000001</v>
      </c>
      <c r="F14" s="17">
        <f t="shared" si="1"/>
        <v>172.28</v>
      </c>
      <c r="G14" s="22" t="str">
        <f t="shared" si="2"/>
        <v>YES</v>
      </c>
      <c r="H14" s="9">
        <f t="shared" si="3"/>
        <v>47.186147186152141</v>
      </c>
      <c r="I14" s="23">
        <f t="shared" si="4"/>
        <v>-47.186147186152141</v>
      </c>
      <c r="J14" s="2"/>
    </row>
    <row r="15" spans="1:19" x14ac:dyDescent="0.25">
      <c r="A15" s="28" t="s">
        <v>26</v>
      </c>
      <c r="B15" s="42">
        <f>Data!$R$22</f>
        <v>1.8109999999999999</v>
      </c>
      <c r="C15" s="17">
        <f>Data!$I$22</f>
        <v>1.8078000000000001</v>
      </c>
      <c r="D15" s="17">
        <f>Data!$H$22</f>
        <v>1.8124</v>
      </c>
      <c r="E15" s="17">
        <f>Data!$G$22</f>
        <v>1.8036000000000001</v>
      </c>
      <c r="F15" s="17">
        <f t="shared" si="1"/>
        <v>1.8080000000000001</v>
      </c>
      <c r="G15" s="22" t="str">
        <f t="shared" si="2"/>
        <v>NO</v>
      </c>
      <c r="H15" s="9">
        <f t="shared" si="3"/>
        <v>-4.5454545454540867</v>
      </c>
      <c r="I15" s="23">
        <f t="shared" si="4"/>
        <v>4.5454545454540867</v>
      </c>
      <c r="J15" s="2"/>
    </row>
    <row r="16" spans="1:19" x14ac:dyDescent="0.25">
      <c r="A16" s="28" t="s">
        <v>14</v>
      </c>
      <c r="B16" s="42">
        <f>Data!$R$14</f>
        <v>96.831000000000003</v>
      </c>
      <c r="C16" s="17">
        <f>Data!$I$14</f>
        <v>97.055000000000007</v>
      </c>
      <c r="D16" s="17">
        <f>Data!$H$14</f>
        <v>97.149000000000001</v>
      </c>
      <c r="E16" s="17">
        <f>Data!$G$14</f>
        <v>96.769000000000005</v>
      </c>
      <c r="F16" s="17">
        <f t="shared" si="1"/>
        <v>96.959000000000003</v>
      </c>
      <c r="G16" s="22" t="str">
        <f t="shared" si="2"/>
        <v>YES</v>
      </c>
      <c r="H16" s="9">
        <f t="shared" si="3"/>
        <v>50.526315789476207</v>
      </c>
      <c r="I16" s="23">
        <f t="shared" si="4"/>
        <v>-50.526315789476207</v>
      </c>
      <c r="J16" s="2"/>
    </row>
    <row r="17" spans="1:19" x14ac:dyDescent="0.25">
      <c r="A17" s="28" t="s">
        <v>28</v>
      </c>
      <c r="B17" s="42">
        <f>Data!$R$12</f>
        <v>1.0187999999999999</v>
      </c>
      <c r="C17" s="17">
        <f>Data!$I$12</f>
        <v>1.0178</v>
      </c>
      <c r="D17" s="17">
        <f>Data!$H$12</f>
        <v>1.0204</v>
      </c>
      <c r="E17" s="17">
        <f>Data!$G$12</f>
        <v>1.0159</v>
      </c>
      <c r="F17" s="17">
        <f t="shared" si="1"/>
        <v>1.0181499999999999</v>
      </c>
      <c r="G17" s="22" t="str">
        <f t="shared" si="2"/>
        <v>NO</v>
      </c>
      <c r="H17" s="9">
        <f t="shared" si="3"/>
        <v>-15.555555555549853</v>
      </c>
      <c r="I17" s="23">
        <f t="shared" si="4"/>
        <v>15.555555555549853</v>
      </c>
    </row>
    <row r="18" spans="1:19" ht="15.75" thickBot="1" x14ac:dyDescent="0.3">
      <c r="A18" s="29" t="s">
        <v>27</v>
      </c>
      <c r="B18" s="43">
        <f>Data!$R$16</f>
        <v>94.994</v>
      </c>
      <c r="C18" s="25">
        <f>Data!$I$16</f>
        <v>95.346000000000004</v>
      </c>
      <c r="D18" s="25">
        <f>Data!$H$16</f>
        <v>95.415999999999997</v>
      </c>
      <c r="E18" s="25">
        <f>Data!$G$16</f>
        <v>94.968999999999994</v>
      </c>
      <c r="F18" s="25">
        <f t="shared" si="1"/>
        <v>95.192499999999995</v>
      </c>
      <c r="G18" s="26" t="str">
        <f t="shared" si="2"/>
        <v>YES</v>
      </c>
      <c r="H18" s="10">
        <f t="shared" si="3"/>
        <v>68.680089485461849</v>
      </c>
      <c r="I18" s="27">
        <f t="shared" si="4"/>
        <v>-68.680089485461849</v>
      </c>
    </row>
    <row r="19" spans="1:19" ht="15.75" thickBot="1" x14ac:dyDescent="0.3"/>
    <row r="20" spans="1:19" ht="15.75" thickBot="1" x14ac:dyDescent="0.3">
      <c r="A20" s="4" t="s">
        <v>64</v>
      </c>
      <c r="B20" s="38" t="s">
        <v>61</v>
      </c>
      <c r="C20" s="39" t="s">
        <v>5</v>
      </c>
      <c r="D20" s="39" t="s">
        <v>6</v>
      </c>
      <c r="E20" s="39" t="s">
        <v>7</v>
      </c>
      <c r="F20" s="39" t="s">
        <v>8</v>
      </c>
      <c r="G20" s="39" t="s">
        <v>15</v>
      </c>
      <c r="H20" s="39" t="s">
        <v>16</v>
      </c>
      <c r="I20" s="40" t="s">
        <v>22</v>
      </c>
      <c r="K20" s="4" t="s">
        <v>67</v>
      </c>
      <c r="L20" s="3" t="s">
        <v>17</v>
      </c>
      <c r="M20" s="3" t="s">
        <v>18</v>
      </c>
      <c r="N20" s="3" t="s">
        <v>20</v>
      </c>
      <c r="O20" s="3" t="s">
        <v>19</v>
      </c>
      <c r="P20" s="3" t="s">
        <v>21</v>
      </c>
      <c r="Q20" s="3" t="s">
        <v>29</v>
      </c>
      <c r="R20" s="3" t="s">
        <v>23</v>
      </c>
      <c r="S20" s="15"/>
    </row>
    <row r="21" spans="1:19" x14ac:dyDescent="0.25">
      <c r="A21" s="28" t="s">
        <v>1</v>
      </c>
      <c r="B21" s="41">
        <f>Datap!$R$2</f>
        <v>1.3190999999999999</v>
      </c>
      <c r="C21" s="18">
        <f>Datap!$I$2</f>
        <v>1.3166</v>
      </c>
      <c r="D21" s="18">
        <f>Datap!$H$2</f>
        <v>1.3213999999999999</v>
      </c>
      <c r="E21" s="18">
        <f>Datap!$G$2</f>
        <v>1.3164</v>
      </c>
      <c r="F21" s="18">
        <f>(D21+E21)/2</f>
        <v>1.3189</v>
      </c>
      <c r="G21" s="19" t="str">
        <f>IF(C21&gt;F21,"YES","NO")</f>
        <v>NO</v>
      </c>
      <c r="H21" s="7">
        <f>IF(G21="YES",100/(D21-F21)*(C21-F21),100/(F21-E21)*(F21-C21)*-1)</f>
        <v>-92.000000000000711</v>
      </c>
      <c r="I21" s="20">
        <f>H21*-1</f>
        <v>92.000000000000711</v>
      </c>
      <c r="K21" s="15" t="s">
        <v>17</v>
      </c>
      <c r="L21" s="14"/>
      <c r="M21" s="7">
        <f>I21</f>
        <v>92.000000000000711</v>
      </c>
      <c r="N21" s="7">
        <f>I22</f>
        <v>96.49122807017585</v>
      </c>
      <c r="O21" s="7">
        <f>I23</f>
        <v>-15.25423728813387</v>
      </c>
      <c r="P21" s="7">
        <f>H24</f>
        <v>45.882352941176705</v>
      </c>
      <c r="Q21" s="7">
        <f>H25</f>
        <v>-68.421052631580181</v>
      </c>
      <c r="R21" s="7">
        <f t="shared" ref="R21:R26" si="5">SUM(L21:Q21)/5</f>
        <v>30.139658218327845</v>
      </c>
      <c r="S21" s="15" t="s">
        <v>17</v>
      </c>
    </row>
    <row r="22" spans="1:19" x14ac:dyDescent="0.25">
      <c r="A22" s="28" t="s">
        <v>2</v>
      </c>
      <c r="B22" s="42">
        <f>Datap!$R$24</f>
        <v>1.8093999999999999</v>
      </c>
      <c r="C22" s="17">
        <f>Datap!$I$24</f>
        <v>1.6537999999999999</v>
      </c>
      <c r="D22" s="17">
        <f>Datap!$H$24</f>
        <v>1.6594</v>
      </c>
      <c r="E22" s="17">
        <f>Datap!$G$24</f>
        <v>1.6536999999999999</v>
      </c>
      <c r="F22" s="17">
        <f t="shared" ref="F22:F35" si="6">(D22+E22)/2</f>
        <v>1.65655</v>
      </c>
      <c r="G22" s="22" t="str">
        <f t="shared" ref="G22:G35" si="7">IF(C22&gt;F22,"YES","NO")</f>
        <v>NO</v>
      </c>
      <c r="H22" s="9">
        <f t="shared" ref="H22:H35" si="8">IF(G22="YES",100/(D22-F22)*(C22-F22),100/(F22-E22)*(F22-C22)*-1)</f>
        <v>-96.49122807017585</v>
      </c>
      <c r="I22" s="23">
        <f t="shared" ref="I22:I35" si="9">H22*-1</f>
        <v>96.49122807017585</v>
      </c>
      <c r="K22" s="5" t="s">
        <v>18</v>
      </c>
      <c r="L22" s="9">
        <f>H21</f>
        <v>-92.000000000000711</v>
      </c>
      <c r="M22" s="8"/>
      <c r="N22" s="9">
        <f>H26</f>
        <v>-14.285714285712022</v>
      </c>
      <c r="O22" s="9">
        <f>H27</f>
        <v>-94.805194805189487</v>
      </c>
      <c r="P22" s="9">
        <f>H28</f>
        <v>-100</v>
      </c>
      <c r="Q22" s="9">
        <f>H29</f>
        <v>-93.023255813954208</v>
      </c>
      <c r="R22" s="9">
        <f t="shared" si="5"/>
        <v>-78.822832980971285</v>
      </c>
      <c r="S22" s="5" t="s">
        <v>18</v>
      </c>
    </row>
    <row r="23" spans="1:19" x14ac:dyDescent="0.25">
      <c r="A23" s="28" t="s">
        <v>3</v>
      </c>
      <c r="B23" s="42">
        <f>Datap!$R$26</f>
        <v>1.6591</v>
      </c>
      <c r="C23" s="17">
        <f>Datap!$I$26</f>
        <v>0.93049999999999999</v>
      </c>
      <c r="D23" s="17">
        <f>Datap!$H$26</f>
        <v>0.93300000000000005</v>
      </c>
      <c r="E23" s="17">
        <f>Datap!$G$26</f>
        <v>0.92710000000000004</v>
      </c>
      <c r="F23" s="17">
        <f t="shared" si="6"/>
        <v>0.93005000000000004</v>
      </c>
      <c r="G23" s="22" t="str">
        <f t="shared" si="7"/>
        <v>YES</v>
      </c>
      <c r="H23" s="9">
        <f t="shared" si="8"/>
        <v>15.25423728813387</v>
      </c>
      <c r="I23" s="23">
        <f t="shared" si="9"/>
        <v>-15.25423728813387</v>
      </c>
      <c r="K23" s="5" t="s">
        <v>20</v>
      </c>
      <c r="L23" s="9">
        <f>H22</f>
        <v>-96.49122807017585</v>
      </c>
      <c r="M23" s="9">
        <f>I26</f>
        <v>14.285714285712022</v>
      </c>
      <c r="N23" s="8"/>
      <c r="O23" s="9">
        <f>H30</f>
        <v>-96.078431372549545</v>
      </c>
      <c r="P23" s="9">
        <f>H31</f>
        <v>-97.975708502026023</v>
      </c>
      <c r="Q23" s="9">
        <f>H32</f>
        <v>-98.214285714285921</v>
      </c>
      <c r="R23" s="9">
        <f t="shared" si="5"/>
        <v>-74.894787874665056</v>
      </c>
      <c r="S23" s="5" t="s">
        <v>20</v>
      </c>
    </row>
    <row r="24" spans="1:19" x14ac:dyDescent="0.25">
      <c r="A24" s="28" t="s">
        <v>4</v>
      </c>
      <c r="B24" s="42">
        <f>Datap!$R$28</f>
        <v>0.93430000000000002</v>
      </c>
      <c r="C24" s="17">
        <f>Datap!$I$28</f>
        <v>104.048</v>
      </c>
      <c r="D24" s="17">
        <f>Datap!$H$28</f>
        <v>104.163</v>
      </c>
      <c r="E24" s="17">
        <f>Datap!$G$28</f>
        <v>103.738</v>
      </c>
      <c r="F24" s="17">
        <f t="shared" si="6"/>
        <v>103.95050000000001</v>
      </c>
      <c r="G24" s="22" t="str">
        <f t="shared" si="7"/>
        <v>YES</v>
      </c>
      <c r="H24" s="9">
        <f t="shared" si="8"/>
        <v>45.882352941176705</v>
      </c>
      <c r="I24" s="23">
        <f t="shared" si="9"/>
        <v>-45.882352941176705</v>
      </c>
      <c r="K24" s="5" t="s">
        <v>19</v>
      </c>
      <c r="L24" s="9">
        <f>H23</f>
        <v>15.25423728813387</v>
      </c>
      <c r="M24" s="9">
        <f>I27</f>
        <v>94.805194805189487</v>
      </c>
      <c r="N24" s="9">
        <f>I30</f>
        <v>96.078431372549545</v>
      </c>
      <c r="O24" s="8"/>
      <c r="P24" s="9">
        <f>H33</f>
        <v>22.666666666666163</v>
      </c>
      <c r="Q24" s="9">
        <f>H34</f>
        <v>-89.743589743591485</v>
      </c>
      <c r="R24" s="9">
        <f t="shared" si="5"/>
        <v>27.812188077789518</v>
      </c>
      <c r="S24" s="5" t="s">
        <v>19</v>
      </c>
    </row>
    <row r="25" spans="1:19" x14ac:dyDescent="0.25">
      <c r="A25" s="28" t="s">
        <v>24</v>
      </c>
      <c r="B25" s="42">
        <f>Datap!$R$30</f>
        <v>103.89</v>
      </c>
      <c r="C25" s="17">
        <f>Datap!$I$30</f>
        <v>1.0949</v>
      </c>
      <c r="D25" s="17">
        <f>Datap!$H$30</f>
        <v>1.0996999999999999</v>
      </c>
      <c r="E25" s="17">
        <f>Datap!$G$30</f>
        <v>1.0940000000000001</v>
      </c>
      <c r="F25" s="17">
        <f t="shared" si="6"/>
        <v>1.0968499999999999</v>
      </c>
      <c r="G25" s="22" t="str">
        <f t="shared" si="7"/>
        <v>NO</v>
      </c>
      <c r="H25" s="9">
        <f t="shared" si="8"/>
        <v>-68.421052631580181</v>
      </c>
      <c r="I25" s="23">
        <f t="shared" si="9"/>
        <v>68.421052631580181</v>
      </c>
      <c r="K25" s="5" t="s">
        <v>21</v>
      </c>
      <c r="L25" s="9">
        <f>I24</f>
        <v>-45.882352941176705</v>
      </c>
      <c r="M25" s="9">
        <f>I28</f>
        <v>100</v>
      </c>
      <c r="N25" s="9">
        <f>I31</f>
        <v>97.975708502026023</v>
      </c>
      <c r="O25" s="9">
        <f>I33</f>
        <v>-22.666666666666163</v>
      </c>
      <c r="P25" s="8"/>
      <c r="Q25" s="9">
        <f>I35</f>
        <v>-53.277310924371072</v>
      </c>
      <c r="R25" s="9">
        <f t="shared" si="5"/>
        <v>15.229875593962413</v>
      </c>
      <c r="S25" s="5" t="s">
        <v>21</v>
      </c>
    </row>
    <row r="26" spans="1:19" ht="15.75" thickBot="1" x14ac:dyDescent="0.3">
      <c r="A26" s="28" t="s">
        <v>9</v>
      </c>
      <c r="B26" s="42">
        <f>Datap!$R$4</f>
        <v>0.7954</v>
      </c>
      <c r="C26" s="17">
        <f>Datap!$I$4</f>
        <v>0.79590000000000005</v>
      </c>
      <c r="D26" s="17">
        <f>Datap!$H$4</f>
        <v>0.79669999999999996</v>
      </c>
      <c r="E26" s="17">
        <f>Datap!$G$4</f>
        <v>0.79530000000000001</v>
      </c>
      <c r="F26" s="17">
        <f t="shared" si="6"/>
        <v>0.79600000000000004</v>
      </c>
      <c r="G26" s="22" t="str">
        <f t="shared" si="7"/>
        <v>NO</v>
      </c>
      <c r="H26" s="9">
        <f t="shared" si="8"/>
        <v>-14.285714285712022</v>
      </c>
      <c r="I26" s="23">
        <f t="shared" si="9"/>
        <v>14.285714285712022</v>
      </c>
      <c r="K26" s="13" t="s">
        <v>29</v>
      </c>
      <c r="L26" s="9">
        <f>I25</f>
        <v>68.421052631580181</v>
      </c>
      <c r="M26" s="9">
        <f>I29</f>
        <v>93.023255813954208</v>
      </c>
      <c r="N26" s="9">
        <f>I32</f>
        <v>98.214285714285921</v>
      </c>
      <c r="O26" s="9">
        <f>I34</f>
        <v>89.743589743591485</v>
      </c>
      <c r="P26" s="9">
        <f>H35</f>
        <v>53.277310924371072</v>
      </c>
      <c r="Q26" s="9"/>
      <c r="R26" s="16">
        <f t="shared" si="5"/>
        <v>80.535898965556569</v>
      </c>
      <c r="S26" s="6" t="s">
        <v>29</v>
      </c>
    </row>
    <row r="27" spans="1:19" ht="15.75" thickBot="1" x14ac:dyDescent="0.3">
      <c r="A27" s="28" t="s">
        <v>10</v>
      </c>
      <c r="B27" s="42">
        <f>Datap!$R$6</f>
        <v>1.4513</v>
      </c>
      <c r="C27" s="17">
        <f>Datap!$I$6</f>
        <v>1.4145000000000001</v>
      </c>
      <c r="D27" s="17">
        <f>Datap!$H$6</f>
        <v>1.4219999999999999</v>
      </c>
      <c r="E27" s="17">
        <f>Datap!$G$6</f>
        <v>1.4142999999999999</v>
      </c>
      <c r="F27" s="17">
        <f t="shared" si="6"/>
        <v>1.4181499999999998</v>
      </c>
      <c r="G27" s="22" t="str">
        <f t="shared" si="7"/>
        <v>NO</v>
      </c>
      <c r="H27" s="9">
        <f t="shared" si="8"/>
        <v>-94.805194805189487</v>
      </c>
      <c r="I27" s="23">
        <f t="shared" si="9"/>
        <v>94.805194805189487</v>
      </c>
      <c r="K27" s="13" t="s">
        <v>23</v>
      </c>
      <c r="L27" s="11">
        <f>R21</f>
        <v>30.139658218327845</v>
      </c>
      <c r="M27" s="11">
        <f>R22</f>
        <v>-78.822832980971285</v>
      </c>
      <c r="N27" s="11">
        <f>R23</f>
        <v>-74.894787874665056</v>
      </c>
      <c r="O27" s="11">
        <f>R24</f>
        <v>27.812188077789518</v>
      </c>
      <c r="P27" s="11">
        <f>R25</f>
        <v>15.229875593962413</v>
      </c>
      <c r="Q27" s="11">
        <f>R26</f>
        <v>80.535898965556569</v>
      </c>
      <c r="R27" s="12"/>
      <c r="S27" s="4" t="s">
        <v>23</v>
      </c>
    </row>
    <row r="28" spans="1:19" x14ac:dyDescent="0.25">
      <c r="A28" s="28" t="s">
        <v>11</v>
      </c>
      <c r="B28" s="42">
        <f>Datap!$R$8</f>
        <v>138.71</v>
      </c>
      <c r="C28" s="17">
        <f>Datap!$I$8</f>
        <v>136.982</v>
      </c>
      <c r="D28" s="17">
        <f>Datap!$H$8</f>
        <v>137.40799999999999</v>
      </c>
      <c r="E28" s="17">
        <f>Datap!$G$8</f>
        <v>136.982</v>
      </c>
      <c r="F28" s="17">
        <f t="shared" si="6"/>
        <v>137.19499999999999</v>
      </c>
      <c r="G28" s="22" t="str">
        <f t="shared" si="7"/>
        <v>NO</v>
      </c>
      <c r="H28" s="9">
        <f t="shared" si="8"/>
        <v>-100</v>
      </c>
      <c r="I28" s="23">
        <f t="shared" si="9"/>
        <v>100</v>
      </c>
    </row>
    <row r="29" spans="1:19" x14ac:dyDescent="0.25">
      <c r="A29" s="28" t="s">
        <v>25</v>
      </c>
      <c r="B29" s="42">
        <f>Datap!$R$10</f>
        <v>1.4608000000000001</v>
      </c>
      <c r="C29" s="17">
        <f>Datap!$I$10</f>
        <v>1.4418</v>
      </c>
      <c r="D29" s="17">
        <f>Datap!$H$10</f>
        <v>1.4500999999999999</v>
      </c>
      <c r="E29" s="17">
        <f>Datap!$G$10</f>
        <v>1.4415</v>
      </c>
      <c r="F29" s="17">
        <f t="shared" si="6"/>
        <v>1.4458</v>
      </c>
      <c r="G29" s="22" t="str">
        <f t="shared" si="7"/>
        <v>NO</v>
      </c>
      <c r="H29" s="9">
        <f t="shared" si="8"/>
        <v>-93.023255813954208</v>
      </c>
      <c r="I29" s="23">
        <f t="shared" si="9"/>
        <v>93.023255813954208</v>
      </c>
    </row>
    <row r="30" spans="1:19" x14ac:dyDescent="0.25">
      <c r="A30" s="28" t="s">
        <v>12</v>
      </c>
      <c r="B30" s="42">
        <f>Datap!$R$18</f>
        <v>95.256</v>
      </c>
      <c r="C30" s="17">
        <f>Datap!$I$18</f>
        <v>1.7766999999999999</v>
      </c>
      <c r="D30" s="17">
        <f>Datap!$H$18</f>
        <v>1.7867</v>
      </c>
      <c r="E30" s="17">
        <f>Datap!$G$18</f>
        <v>1.7765</v>
      </c>
      <c r="F30" s="17">
        <f t="shared" si="6"/>
        <v>1.7816000000000001</v>
      </c>
      <c r="G30" s="22" t="str">
        <f t="shared" si="7"/>
        <v>NO</v>
      </c>
      <c r="H30" s="9">
        <f t="shared" si="8"/>
        <v>-96.078431372549545</v>
      </c>
      <c r="I30" s="23">
        <f t="shared" si="9"/>
        <v>96.078431372549545</v>
      </c>
    </row>
    <row r="31" spans="1:19" x14ac:dyDescent="0.25">
      <c r="A31" s="28" t="s">
        <v>13</v>
      </c>
      <c r="B31" s="42">
        <f>Datap!$R$20</f>
        <v>1.7756000000000001</v>
      </c>
      <c r="C31" s="17">
        <f>Datap!$I$20</f>
        <v>172.08500000000001</v>
      </c>
      <c r="D31" s="17">
        <f>Datap!$H$20</f>
        <v>172.57400000000001</v>
      </c>
      <c r="E31" s="17">
        <f>Datap!$G$20</f>
        <v>172.08</v>
      </c>
      <c r="F31" s="17">
        <f t="shared" si="6"/>
        <v>172.327</v>
      </c>
      <c r="G31" s="22" t="str">
        <f t="shared" si="7"/>
        <v>NO</v>
      </c>
      <c r="H31" s="9">
        <f t="shared" si="8"/>
        <v>-97.975708502026023</v>
      </c>
      <c r="I31" s="23">
        <f t="shared" si="9"/>
        <v>97.975708502026023</v>
      </c>
    </row>
    <row r="32" spans="1:19" x14ac:dyDescent="0.25">
      <c r="A32" s="28" t="s">
        <v>26</v>
      </c>
      <c r="B32" s="42">
        <f>Datap!$R$22</f>
        <v>172.376</v>
      </c>
      <c r="C32" s="17">
        <f>Datap!$I$22</f>
        <v>1.8109999999999999</v>
      </c>
      <c r="D32" s="17">
        <f>Datap!$H$22</f>
        <v>1.8221000000000001</v>
      </c>
      <c r="E32" s="17">
        <f>Datap!$G$22</f>
        <v>1.8109</v>
      </c>
      <c r="F32" s="17">
        <f t="shared" si="6"/>
        <v>1.8165</v>
      </c>
      <c r="G32" s="22" t="str">
        <f t="shared" si="7"/>
        <v>NO</v>
      </c>
      <c r="H32" s="9">
        <f t="shared" si="8"/>
        <v>-98.214285714285921</v>
      </c>
      <c r="I32" s="23">
        <f t="shared" si="9"/>
        <v>98.214285714285921</v>
      </c>
    </row>
    <row r="33" spans="1:9" x14ac:dyDescent="0.25">
      <c r="A33" s="28" t="s">
        <v>14</v>
      </c>
      <c r="B33" s="42">
        <f>Datap!$R$14</f>
        <v>1.0187999999999999</v>
      </c>
      <c r="C33" s="17">
        <f>Datap!$I$14</f>
        <v>96.83</v>
      </c>
      <c r="D33" s="17">
        <f>Datap!$H$14</f>
        <v>97.061999999999998</v>
      </c>
      <c r="E33" s="17">
        <f>Datap!$G$14</f>
        <v>96.462000000000003</v>
      </c>
      <c r="F33" s="17">
        <f t="shared" si="6"/>
        <v>96.762</v>
      </c>
      <c r="G33" s="22" t="str">
        <f t="shared" si="7"/>
        <v>YES</v>
      </c>
      <c r="H33" s="9">
        <f t="shared" si="8"/>
        <v>22.666666666666163</v>
      </c>
      <c r="I33" s="23">
        <f t="shared" si="9"/>
        <v>-22.666666666666163</v>
      </c>
    </row>
    <row r="34" spans="1:9" x14ac:dyDescent="0.25">
      <c r="A34" s="28" t="s">
        <v>28</v>
      </c>
      <c r="B34" s="42">
        <f>Datap!$R$12</f>
        <v>1.4377</v>
      </c>
      <c r="C34" s="17">
        <f>Datap!$I$12</f>
        <v>1.0187999999999999</v>
      </c>
      <c r="D34" s="17">
        <f>Datap!$H$12</f>
        <v>1.0225</v>
      </c>
      <c r="E34" s="17">
        <f>Datap!$G$12</f>
        <v>1.0185999999999999</v>
      </c>
      <c r="F34" s="17">
        <f t="shared" si="6"/>
        <v>1.0205500000000001</v>
      </c>
      <c r="G34" s="22" t="str">
        <f t="shared" si="7"/>
        <v>NO</v>
      </c>
      <c r="H34" s="9">
        <f t="shared" si="8"/>
        <v>-89.743589743591485</v>
      </c>
      <c r="I34" s="23">
        <f t="shared" si="9"/>
        <v>89.743589743591485</v>
      </c>
    </row>
    <row r="35" spans="1:9" ht="15.75" thickBot="1" x14ac:dyDescent="0.3">
      <c r="A35" s="29" t="s">
        <v>27</v>
      </c>
      <c r="B35" s="43">
        <f>Datap!$R$16</f>
        <v>97.066000000000003</v>
      </c>
      <c r="C35" s="25">
        <f>Datap!$I$16</f>
        <v>94.989000000000004</v>
      </c>
      <c r="D35" s="25">
        <f>Datap!$H$16</f>
        <v>95.128</v>
      </c>
      <c r="E35" s="25">
        <f>Datap!$G$16</f>
        <v>94.533000000000001</v>
      </c>
      <c r="F35" s="25">
        <f t="shared" si="6"/>
        <v>94.830500000000001</v>
      </c>
      <c r="G35" s="26" t="str">
        <f t="shared" si="7"/>
        <v>YES</v>
      </c>
      <c r="H35" s="10">
        <f t="shared" si="8"/>
        <v>53.277310924371072</v>
      </c>
      <c r="I35" s="27">
        <f t="shared" si="9"/>
        <v>-53.277310924371072</v>
      </c>
    </row>
  </sheetData>
  <conditionalFormatting sqref="L4:R8 R9">
    <cfRule type="cellIs" dxfId="41" priority="11" stopIfTrue="1" operator="lessThan">
      <formula>0</formula>
    </cfRule>
    <cfRule type="cellIs" dxfId="40" priority="12" stopIfTrue="1" operator="greaterThan">
      <formula>0</formula>
    </cfRule>
  </conditionalFormatting>
  <conditionalFormatting sqref="L9:Q9">
    <cfRule type="cellIs" dxfId="39" priority="9" stopIfTrue="1" operator="lessThan">
      <formula>0</formula>
    </cfRule>
    <cfRule type="cellIs" dxfId="38" priority="10" stopIfTrue="1" operator="greaterThan">
      <formula>0</formula>
    </cfRule>
  </conditionalFormatting>
  <conditionalFormatting sqref="L10:R10">
    <cfRule type="cellIs" dxfId="37" priority="7" operator="lessThan">
      <formula>0</formula>
    </cfRule>
    <cfRule type="cellIs" dxfId="36" priority="8" operator="greaterThan">
      <formula>0</formula>
    </cfRule>
  </conditionalFormatting>
  <conditionalFormatting sqref="L21:R25 R26">
    <cfRule type="cellIs" dxfId="35" priority="5" stopIfTrue="1" operator="lessThan">
      <formula>0</formula>
    </cfRule>
    <cfRule type="cellIs" dxfId="34" priority="6" stopIfTrue="1" operator="greaterThan">
      <formula>0</formula>
    </cfRule>
  </conditionalFormatting>
  <conditionalFormatting sqref="L26:Q26">
    <cfRule type="cellIs" dxfId="33" priority="3" stopIfTrue="1" operator="lessThan">
      <formula>0</formula>
    </cfRule>
    <cfRule type="cellIs" dxfId="32" priority="4" stopIfTrue="1" operator="greaterThan">
      <formula>0</formula>
    </cfRule>
  </conditionalFormatting>
  <conditionalFormatting sqref="L27:R27">
    <cfRule type="cellIs" dxfId="31" priority="1" operator="lessThan">
      <formula>0</formula>
    </cfRule>
    <cfRule type="cellIs" dxfId="30" priority="2" operator="greaterThan">
      <formula>0</formula>
    </cfRule>
  </conditionalFormatting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5" workbookViewId="0">
      <selection activeCell="K62" sqref="K62"/>
    </sheetView>
  </sheetViews>
  <sheetFormatPr baseColWidth="10" defaultRowHeight="15" x14ac:dyDescent="0.25"/>
  <cols>
    <col min="10" max="10" width="4.85546875" customWidth="1"/>
  </cols>
  <sheetData>
    <row r="1" spans="1:19" x14ac:dyDescent="0.25">
      <c r="A1" s="1" t="s">
        <v>0</v>
      </c>
      <c r="B1" s="1"/>
    </row>
    <row r="2" spans="1:19" ht="15.75" thickBot="1" x14ac:dyDescent="0.3"/>
    <row r="3" spans="1:19" ht="15.75" thickBot="1" x14ac:dyDescent="0.3">
      <c r="A3" s="45" t="s">
        <v>63</v>
      </c>
      <c r="B3" s="38" t="s">
        <v>61</v>
      </c>
      <c r="C3" s="39" t="s">
        <v>5</v>
      </c>
      <c r="D3" s="39" t="s">
        <v>6</v>
      </c>
      <c r="E3" s="39" t="s">
        <v>7</v>
      </c>
      <c r="F3" s="39" t="s">
        <v>8</v>
      </c>
      <c r="G3" s="39" t="s">
        <v>15</v>
      </c>
      <c r="H3" s="39" t="s">
        <v>16</v>
      </c>
      <c r="I3" s="40" t="s">
        <v>22</v>
      </c>
      <c r="K3" s="4" t="s">
        <v>63</v>
      </c>
      <c r="L3" s="3" t="s">
        <v>17</v>
      </c>
      <c r="M3" s="3" t="s">
        <v>18</v>
      </c>
      <c r="N3" s="3" t="s">
        <v>20</v>
      </c>
      <c r="O3" s="3" t="s">
        <v>19</v>
      </c>
      <c r="P3" s="3" t="s">
        <v>21</v>
      </c>
      <c r="Q3" s="3" t="s">
        <v>29</v>
      </c>
      <c r="R3" s="3" t="s">
        <v>23</v>
      </c>
      <c r="S3" s="15"/>
    </row>
    <row r="4" spans="1:19" x14ac:dyDescent="0.25">
      <c r="A4" s="28" t="s">
        <v>1</v>
      </c>
      <c r="B4" s="46">
        <f>Data!$Q$2</f>
        <v>1.3192999999999999</v>
      </c>
      <c r="C4" s="17">
        <f>Data!$F$2</f>
        <v>1.3180000000000001</v>
      </c>
      <c r="D4" s="17">
        <f>Data!$E$2</f>
        <v>1.3213999999999999</v>
      </c>
      <c r="E4" s="17">
        <f>Data!$D$2</f>
        <v>1.3151999999999999</v>
      </c>
      <c r="F4" s="17">
        <f>(D4+E4)/2</f>
        <v>1.3182999999999998</v>
      </c>
      <c r="G4" s="22" t="str">
        <f>IF(C4&gt;F4,"YES","NO")</f>
        <v>NO</v>
      </c>
      <c r="H4" s="9">
        <f>IF(G4="YES",100/(D4-F4)*(C4-F4),100/(F4-E4)*(F4-C4)*-1)</f>
        <v>-9.6774193548308531</v>
      </c>
      <c r="I4" s="23">
        <f>H4*-1</f>
        <v>9.6774193548308531</v>
      </c>
      <c r="J4" s="2"/>
      <c r="K4" s="15" t="s">
        <v>17</v>
      </c>
      <c r="L4" s="14"/>
      <c r="M4" s="7">
        <f>I4</f>
        <v>9.6774193548308531</v>
      </c>
      <c r="N4" s="7">
        <f>I5</f>
        <v>-74.285714285711208</v>
      </c>
      <c r="O4" s="7">
        <f>I6</f>
        <v>-82.278481012657409</v>
      </c>
      <c r="P4" s="7">
        <f>H7</f>
        <v>-48.288973384033085</v>
      </c>
      <c r="Q4" s="7">
        <f>H8</f>
        <v>-90.825688073395426</v>
      </c>
      <c r="R4" s="7">
        <f t="shared" ref="R4:R9" si="0">SUM(L4:Q4)/5</f>
        <v>-57.200287480193253</v>
      </c>
      <c r="S4" s="15" t="s">
        <v>17</v>
      </c>
    </row>
    <row r="5" spans="1:19" x14ac:dyDescent="0.25">
      <c r="A5" s="28" t="s">
        <v>2</v>
      </c>
      <c r="B5" s="46">
        <f>Data!$Q$24</f>
        <v>1.6554</v>
      </c>
      <c r="C5" s="17">
        <f>Data!$F$24</f>
        <v>1.6595</v>
      </c>
      <c r="D5" s="17">
        <f>Data!$E$24</f>
        <v>1.6604000000000001</v>
      </c>
      <c r="E5" s="8">
        <f>Data!$D$24</f>
        <v>1.6534</v>
      </c>
      <c r="F5" s="17">
        <f t="shared" ref="F5:F18" si="1">(D5+E5)/2</f>
        <v>1.6569</v>
      </c>
      <c r="G5" s="22" t="str">
        <f t="shared" ref="G5:G18" si="2">IF(C5&gt;F5,"YES","NO")</f>
        <v>YES</v>
      </c>
      <c r="H5" s="9">
        <f t="shared" ref="H5:H18" si="3">IF(G5="YES",100/(D5-F5)*(C5-F5),100/(F5-E5)*(F5-C5)*-1)</f>
        <v>74.285714285711208</v>
      </c>
      <c r="I5" s="23">
        <f t="shared" ref="I5:I18" si="4">H5*-1</f>
        <v>-74.285714285711208</v>
      </c>
      <c r="J5" s="2"/>
      <c r="K5" s="5" t="s">
        <v>18</v>
      </c>
      <c r="L5" s="9">
        <f>H4</f>
        <v>-9.6774193548308531</v>
      </c>
      <c r="M5" s="8"/>
      <c r="N5" s="9">
        <f>H9</f>
        <v>-80.48780487804548</v>
      </c>
      <c r="O5" s="9">
        <f>H10</f>
        <v>-83.999999999998437</v>
      </c>
      <c r="P5" s="9">
        <f>H11</f>
        <v>-73.117033603704769</v>
      </c>
      <c r="Q5" s="9">
        <f>H12</f>
        <v>-95.918367346939206</v>
      </c>
      <c r="R5" s="9">
        <f t="shared" si="0"/>
        <v>-68.640125036703751</v>
      </c>
      <c r="S5" s="5" t="s">
        <v>18</v>
      </c>
    </row>
    <row r="6" spans="1:19" x14ac:dyDescent="0.25">
      <c r="A6" s="28" t="s">
        <v>3</v>
      </c>
      <c r="B6" s="46">
        <f>Data!$Q$26</f>
        <v>0.93030000000000002</v>
      </c>
      <c r="C6" s="17">
        <f>Data!$F$26</f>
        <v>0.93430000000000002</v>
      </c>
      <c r="D6" s="17">
        <f>Data!$E$26</f>
        <v>0.93500000000000005</v>
      </c>
      <c r="E6" s="17">
        <f>Data!$D$26</f>
        <v>0.92710000000000004</v>
      </c>
      <c r="F6" s="17">
        <f t="shared" si="1"/>
        <v>0.93105000000000004</v>
      </c>
      <c r="G6" s="22" t="str">
        <f t="shared" si="2"/>
        <v>YES</v>
      </c>
      <c r="H6" s="9">
        <f t="shared" si="3"/>
        <v>82.278481012657409</v>
      </c>
      <c r="I6" s="23">
        <f t="shared" si="4"/>
        <v>-82.278481012657409</v>
      </c>
      <c r="J6" s="2"/>
      <c r="K6" s="5" t="s">
        <v>20</v>
      </c>
      <c r="L6" s="9">
        <f>H5</f>
        <v>74.285714285711208</v>
      </c>
      <c r="M6" s="9">
        <f>I9</f>
        <v>80.48780487804548</v>
      </c>
      <c r="N6" s="8"/>
      <c r="O6" s="9">
        <f>H13</f>
        <v>-58.51851851851864</v>
      </c>
      <c r="P6" s="9">
        <f>H14</f>
        <v>8.6261980830632048</v>
      </c>
      <c r="Q6" s="9">
        <f>H15</f>
        <v>-54.594594594594696</v>
      </c>
      <c r="R6" s="9">
        <f t="shared" si="0"/>
        <v>10.057320826741313</v>
      </c>
      <c r="S6" s="5" t="s">
        <v>20</v>
      </c>
    </row>
    <row r="7" spans="1:19" x14ac:dyDescent="0.25">
      <c r="A7" s="28" t="s">
        <v>4</v>
      </c>
      <c r="B7" s="46">
        <f>Data!$Q$28</f>
        <v>104.25</v>
      </c>
      <c r="C7" s="17">
        <f>Data!$F$28</f>
        <v>103.874</v>
      </c>
      <c r="D7" s="17">
        <f>Data!$E$28</f>
        <v>104.264</v>
      </c>
      <c r="E7" s="17">
        <f>Data!$D$28</f>
        <v>103.738</v>
      </c>
      <c r="F7" s="17">
        <f t="shared" si="1"/>
        <v>104.001</v>
      </c>
      <c r="G7" s="22" t="str">
        <f t="shared" si="2"/>
        <v>NO</v>
      </c>
      <c r="H7" s="9">
        <f t="shared" si="3"/>
        <v>-48.288973384033085</v>
      </c>
      <c r="I7" s="23">
        <f t="shared" si="4"/>
        <v>48.288973384033085</v>
      </c>
      <c r="J7" s="2"/>
      <c r="K7" s="5" t="s">
        <v>19</v>
      </c>
      <c r="L7" s="9">
        <f>H6</f>
        <v>82.278481012657409</v>
      </c>
      <c r="M7" s="9">
        <f>I10</f>
        <v>83.999999999998437</v>
      </c>
      <c r="N7" s="9">
        <f>I13</f>
        <v>58.51851851851864</v>
      </c>
      <c r="O7" s="8"/>
      <c r="P7" s="9">
        <f>H16</f>
        <v>72.634643377003641</v>
      </c>
      <c r="Q7" s="9">
        <f>H17</f>
        <v>-42.424242424243445</v>
      </c>
      <c r="R7" s="9">
        <f t="shared" si="0"/>
        <v>51.001480096786928</v>
      </c>
      <c r="S7" s="5" t="s">
        <v>19</v>
      </c>
    </row>
    <row r="8" spans="1:19" x14ac:dyDescent="0.25">
      <c r="A8" s="28" t="s">
        <v>24</v>
      </c>
      <c r="B8" s="46">
        <f>Data!$Q$30</f>
        <v>1.0961000000000001</v>
      </c>
      <c r="C8" s="17">
        <f>Data!$F$30</f>
        <v>1.0892999999999999</v>
      </c>
      <c r="D8" s="17">
        <f>Data!$E$30</f>
        <v>1.0996999999999999</v>
      </c>
      <c r="E8" s="17">
        <f>Data!$D$30</f>
        <v>1.0888</v>
      </c>
      <c r="F8" s="17">
        <f t="shared" si="1"/>
        <v>1.0942499999999999</v>
      </c>
      <c r="G8" s="22" t="str">
        <f t="shared" si="2"/>
        <v>NO</v>
      </c>
      <c r="H8" s="9">
        <f t="shared" si="3"/>
        <v>-90.825688073395426</v>
      </c>
      <c r="I8" s="23">
        <f t="shared" si="4"/>
        <v>90.825688073395426</v>
      </c>
      <c r="J8" s="2"/>
      <c r="K8" s="5" t="s">
        <v>21</v>
      </c>
      <c r="L8" s="9">
        <f>I7</f>
        <v>48.288973384033085</v>
      </c>
      <c r="M8" s="9">
        <f>I11</f>
        <v>73.117033603704769</v>
      </c>
      <c r="N8" s="9">
        <f>I14</f>
        <v>-8.6261980830632048</v>
      </c>
      <c r="O8" s="9">
        <f>I16</f>
        <v>-72.634643377003641</v>
      </c>
      <c r="P8" s="8"/>
      <c r="Q8" s="9">
        <f>I18</f>
        <v>-84.144960362402117</v>
      </c>
      <c r="R8" s="9">
        <f t="shared" si="0"/>
        <v>-8.799958966946221</v>
      </c>
      <c r="S8" s="5" t="s">
        <v>21</v>
      </c>
    </row>
    <row r="9" spans="1:19" ht="15.75" thickBot="1" x14ac:dyDescent="0.3">
      <c r="A9" s="28" t="s">
        <v>9</v>
      </c>
      <c r="B9" s="46">
        <f>Data!$Q$4</f>
        <v>0.79679999999999995</v>
      </c>
      <c r="C9" s="17">
        <f>Data!$F$4</f>
        <v>0.79410000000000003</v>
      </c>
      <c r="D9" s="17">
        <f>Data!$E$4</f>
        <v>0.79779999999999995</v>
      </c>
      <c r="E9" s="17">
        <f>Data!$D$4</f>
        <v>0.79369999999999996</v>
      </c>
      <c r="F9" s="17">
        <f t="shared" si="1"/>
        <v>0.79574999999999996</v>
      </c>
      <c r="G9" s="22" t="str">
        <f t="shared" si="2"/>
        <v>NO</v>
      </c>
      <c r="H9" s="9">
        <f t="shared" si="3"/>
        <v>-80.48780487804548</v>
      </c>
      <c r="I9" s="23">
        <f t="shared" si="4"/>
        <v>80.48780487804548</v>
      </c>
      <c r="J9" s="2"/>
      <c r="K9" s="13" t="s">
        <v>29</v>
      </c>
      <c r="L9" s="9">
        <f>I8</f>
        <v>90.825688073395426</v>
      </c>
      <c r="M9" s="9">
        <f>I12</f>
        <v>95.918367346939206</v>
      </c>
      <c r="N9" s="9">
        <f>I15</f>
        <v>54.594594594594696</v>
      </c>
      <c r="O9" s="9">
        <f>I17</f>
        <v>42.424242424243445</v>
      </c>
      <c r="P9" s="9">
        <f>H18</f>
        <v>84.144960362402117</v>
      </c>
      <c r="Q9" s="9"/>
      <c r="R9" s="16">
        <f t="shared" si="0"/>
        <v>73.581570560314987</v>
      </c>
      <c r="S9" s="6" t="s">
        <v>29</v>
      </c>
    </row>
    <row r="10" spans="1:19" ht="15.75" thickBot="1" x14ac:dyDescent="0.3">
      <c r="A10" s="28" t="s">
        <v>10</v>
      </c>
      <c r="B10" s="46">
        <f>Data!$Q$6</f>
        <v>1.4169</v>
      </c>
      <c r="C10" s="17">
        <f>Data!$F$6</f>
        <v>1.4105000000000001</v>
      </c>
      <c r="D10" s="17">
        <f>Data!$E$6</f>
        <v>1.4219999999999999</v>
      </c>
      <c r="E10" s="17">
        <f>Data!$D$6</f>
        <v>1.4095</v>
      </c>
      <c r="F10" s="17">
        <f t="shared" si="1"/>
        <v>1.4157500000000001</v>
      </c>
      <c r="G10" s="22" t="str">
        <f t="shared" si="2"/>
        <v>NO</v>
      </c>
      <c r="H10" s="9">
        <f t="shared" si="3"/>
        <v>-83.999999999998437</v>
      </c>
      <c r="I10" s="23">
        <f t="shared" si="4"/>
        <v>83.999999999998437</v>
      </c>
      <c r="J10" s="2"/>
      <c r="K10" s="13" t="s">
        <v>23</v>
      </c>
      <c r="L10" s="11">
        <f>R4</f>
        <v>-57.200287480193253</v>
      </c>
      <c r="M10" s="11">
        <f>R5</f>
        <v>-68.640125036703751</v>
      </c>
      <c r="N10" s="11">
        <f>R6</f>
        <v>10.057320826741313</v>
      </c>
      <c r="O10" s="11">
        <f>R7</f>
        <v>51.001480096786928</v>
      </c>
      <c r="P10" s="11">
        <f>R8</f>
        <v>-8.799958966946221</v>
      </c>
      <c r="Q10" s="11">
        <f>R9</f>
        <v>73.581570560314987</v>
      </c>
      <c r="R10" s="12"/>
      <c r="S10" s="4" t="s">
        <v>23</v>
      </c>
    </row>
    <row r="11" spans="1:19" x14ac:dyDescent="0.25">
      <c r="A11" s="28" t="s">
        <v>11</v>
      </c>
      <c r="B11" s="46">
        <f>Data!$Q$8</f>
        <v>137.55199999999999</v>
      </c>
      <c r="C11" s="17">
        <f>Data!$F$8</f>
        <v>136.91200000000001</v>
      </c>
      <c r="D11" s="17">
        <f>Data!$E$8</f>
        <v>137.65899999999999</v>
      </c>
      <c r="E11" s="17">
        <f>Data!$D$8</f>
        <v>136.79599999999999</v>
      </c>
      <c r="F11" s="17">
        <f t="shared" si="1"/>
        <v>137.22749999999999</v>
      </c>
      <c r="G11" s="22" t="str">
        <f t="shared" si="2"/>
        <v>NO</v>
      </c>
      <c r="H11" s="9">
        <f t="shared" si="3"/>
        <v>-73.117033603704769</v>
      </c>
      <c r="I11" s="23">
        <f t="shared" si="4"/>
        <v>73.117033603704769</v>
      </c>
      <c r="J11" s="2"/>
    </row>
    <row r="12" spans="1:19" x14ac:dyDescent="0.25">
      <c r="A12" s="28" t="s">
        <v>25</v>
      </c>
      <c r="B12" s="46">
        <f>Data!$Q$10</f>
        <v>1.4463999999999999</v>
      </c>
      <c r="C12" s="17">
        <f>Data!$F$10</f>
        <v>1.4357</v>
      </c>
      <c r="D12" s="17">
        <f>Data!$E$10</f>
        <v>1.4500999999999999</v>
      </c>
      <c r="E12" s="17">
        <f>Data!$D$10</f>
        <v>1.4354</v>
      </c>
      <c r="F12" s="17">
        <f t="shared" si="1"/>
        <v>1.44275</v>
      </c>
      <c r="G12" s="22" t="str">
        <f t="shared" si="2"/>
        <v>NO</v>
      </c>
      <c r="H12" s="9">
        <f t="shared" si="3"/>
        <v>-95.918367346939206</v>
      </c>
      <c r="I12" s="23">
        <f t="shared" si="4"/>
        <v>95.918367346939206</v>
      </c>
      <c r="J12" s="2"/>
    </row>
    <row r="13" spans="1:19" x14ac:dyDescent="0.25">
      <c r="A13" s="28" t="s">
        <v>12</v>
      </c>
      <c r="B13" s="46">
        <f>Data!$Q$18</f>
        <v>1.7769999999999999</v>
      </c>
      <c r="C13" s="17">
        <f>Data!$F$18</f>
        <v>1.776</v>
      </c>
      <c r="D13" s="17">
        <f>Data!$E$18</f>
        <v>1.7867</v>
      </c>
      <c r="E13" s="17">
        <f>Data!$D$18</f>
        <v>1.7732000000000001</v>
      </c>
      <c r="F13" s="17">
        <f t="shared" si="1"/>
        <v>1.7799499999999999</v>
      </c>
      <c r="G13" s="22" t="str">
        <f t="shared" si="2"/>
        <v>NO</v>
      </c>
      <c r="H13" s="9">
        <f t="shared" si="3"/>
        <v>-58.51851851851864</v>
      </c>
      <c r="I13" s="23">
        <f t="shared" si="4"/>
        <v>58.51851851851864</v>
      </c>
      <c r="J13" s="2"/>
    </row>
    <row r="14" spans="1:19" x14ac:dyDescent="0.25">
      <c r="A14" s="28" t="s">
        <v>13</v>
      </c>
      <c r="B14" s="46">
        <f>Data!$Q$20</f>
        <v>172.565</v>
      </c>
      <c r="C14" s="17">
        <f>Data!$F$20</f>
        <v>172.38900000000001</v>
      </c>
      <c r="D14" s="17">
        <f>Data!$E$20</f>
        <v>172.67500000000001</v>
      </c>
      <c r="E14" s="17">
        <f>Data!$D$20</f>
        <v>172.04900000000001</v>
      </c>
      <c r="F14" s="17">
        <f t="shared" si="1"/>
        <v>172.36200000000002</v>
      </c>
      <c r="G14" s="22" t="str">
        <f t="shared" si="2"/>
        <v>YES</v>
      </c>
      <c r="H14" s="9">
        <f t="shared" si="3"/>
        <v>8.6261980830632048</v>
      </c>
      <c r="I14" s="23">
        <f t="shared" si="4"/>
        <v>-8.6261980830632048</v>
      </c>
      <c r="J14" s="2"/>
    </row>
    <row r="15" spans="1:19" x14ac:dyDescent="0.25">
      <c r="A15" s="28" t="s">
        <v>26</v>
      </c>
      <c r="B15" s="46">
        <f>Data!$Q$22</f>
        <v>1.8148</v>
      </c>
      <c r="C15" s="17">
        <f>Data!$F$22</f>
        <v>1.8078000000000001</v>
      </c>
      <c r="D15" s="17">
        <f>Data!$E$22</f>
        <v>1.8221000000000001</v>
      </c>
      <c r="E15" s="17">
        <f>Data!$D$22</f>
        <v>1.8036000000000001</v>
      </c>
      <c r="F15" s="17">
        <f t="shared" si="1"/>
        <v>1.8128500000000001</v>
      </c>
      <c r="G15" s="22" t="str">
        <f t="shared" si="2"/>
        <v>NO</v>
      </c>
      <c r="H15" s="9">
        <f t="shared" si="3"/>
        <v>-54.594594594594696</v>
      </c>
      <c r="I15" s="23">
        <f t="shared" si="4"/>
        <v>54.594594594594696</v>
      </c>
      <c r="J15" s="2"/>
    </row>
    <row r="16" spans="1:19" x14ac:dyDescent="0.25">
      <c r="A16" s="28" t="s">
        <v>14</v>
      </c>
      <c r="B16" s="46">
        <f>Data!$Q$14</f>
        <v>96.983999999999995</v>
      </c>
      <c r="C16" s="17">
        <f>Data!$F$14</f>
        <v>97.055000000000007</v>
      </c>
      <c r="D16" s="17">
        <f>Data!$E$14</f>
        <v>97.149000000000001</v>
      </c>
      <c r="E16" s="17">
        <f>Data!$D$14</f>
        <v>96.462000000000003</v>
      </c>
      <c r="F16" s="17">
        <f t="shared" si="1"/>
        <v>96.805499999999995</v>
      </c>
      <c r="G16" s="22" t="str">
        <f t="shared" si="2"/>
        <v>YES</v>
      </c>
      <c r="H16" s="9">
        <f t="shared" si="3"/>
        <v>72.634643377003641</v>
      </c>
      <c r="I16" s="23">
        <f t="shared" si="4"/>
        <v>-72.634643377003641</v>
      </c>
      <c r="J16" s="2"/>
    </row>
    <row r="17" spans="1:19" x14ac:dyDescent="0.25">
      <c r="A17" s="28" t="s">
        <v>28</v>
      </c>
      <c r="B17" s="46">
        <f>Data!$Q$12</f>
        <v>1.0201</v>
      </c>
      <c r="C17" s="17">
        <f>Data!$F$12</f>
        <v>1.0178</v>
      </c>
      <c r="D17" s="17">
        <f>Data!$E$12</f>
        <v>1.0225</v>
      </c>
      <c r="E17" s="17">
        <f>Data!$D$12</f>
        <v>1.0159</v>
      </c>
      <c r="F17" s="17">
        <f t="shared" si="1"/>
        <v>1.0192000000000001</v>
      </c>
      <c r="G17" s="22" t="str">
        <f t="shared" si="2"/>
        <v>NO</v>
      </c>
      <c r="H17" s="9">
        <f t="shared" si="3"/>
        <v>-42.424242424243445</v>
      </c>
      <c r="I17" s="23">
        <f t="shared" si="4"/>
        <v>42.424242424243445</v>
      </c>
    </row>
    <row r="18" spans="1:19" ht="15.75" thickBot="1" x14ac:dyDescent="0.3">
      <c r="A18" s="29" t="s">
        <v>27</v>
      </c>
      <c r="B18" s="47">
        <f>Data!$Q$16</f>
        <v>95.039000000000001</v>
      </c>
      <c r="C18" s="25">
        <f>Data!$F$16</f>
        <v>95.346000000000004</v>
      </c>
      <c r="D18" s="25">
        <f>Data!$E$16</f>
        <v>95.415999999999997</v>
      </c>
      <c r="E18" s="25">
        <f>Data!$D$16</f>
        <v>94.533000000000001</v>
      </c>
      <c r="F18" s="25">
        <f t="shared" si="1"/>
        <v>94.974500000000006</v>
      </c>
      <c r="G18" s="26" t="str">
        <f t="shared" si="2"/>
        <v>YES</v>
      </c>
      <c r="H18" s="10">
        <f t="shared" si="3"/>
        <v>84.144960362402117</v>
      </c>
      <c r="I18" s="27">
        <f t="shared" si="4"/>
        <v>-84.144960362402117</v>
      </c>
    </row>
    <row r="19" spans="1:19" ht="15.75" thickBot="1" x14ac:dyDescent="0.3"/>
    <row r="20" spans="1:19" ht="15.75" thickBot="1" x14ac:dyDescent="0.3">
      <c r="A20" s="45" t="s">
        <v>64</v>
      </c>
      <c r="B20" s="38" t="s">
        <v>61</v>
      </c>
      <c r="C20" s="39" t="s">
        <v>5</v>
      </c>
      <c r="D20" s="39" t="s">
        <v>6</v>
      </c>
      <c r="E20" s="39" t="s">
        <v>7</v>
      </c>
      <c r="F20" s="39" t="s">
        <v>8</v>
      </c>
      <c r="G20" s="39" t="s">
        <v>15</v>
      </c>
      <c r="H20" s="39" t="s">
        <v>16</v>
      </c>
      <c r="I20" s="40" t="s">
        <v>22</v>
      </c>
      <c r="K20" s="4" t="s">
        <v>64</v>
      </c>
      <c r="L20" s="3" t="s">
        <v>17</v>
      </c>
      <c r="M20" s="3" t="s">
        <v>18</v>
      </c>
      <c r="N20" s="3" t="s">
        <v>20</v>
      </c>
      <c r="O20" s="3" t="s">
        <v>19</v>
      </c>
      <c r="P20" s="3" t="s">
        <v>21</v>
      </c>
      <c r="Q20" s="3" t="s">
        <v>29</v>
      </c>
      <c r="R20" s="3" t="s">
        <v>23</v>
      </c>
      <c r="S20" s="15"/>
    </row>
    <row r="21" spans="1:19" x14ac:dyDescent="0.25">
      <c r="A21" s="28" t="s">
        <v>1</v>
      </c>
      <c r="B21" s="46">
        <f>Datap!$Q$2</f>
        <v>1.3387</v>
      </c>
      <c r="C21" s="17">
        <f>Datap!$F$2</f>
        <v>1.3242</v>
      </c>
      <c r="D21" s="17">
        <f>Datap!$E$2</f>
        <v>1.3398000000000001</v>
      </c>
      <c r="E21" s="17">
        <f>Datap!$D$2</f>
        <v>1.3220000000000001</v>
      </c>
      <c r="F21" s="17">
        <f>(D21+E21)/2</f>
        <v>1.3309000000000002</v>
      </c>
      <c r="G21" s="22" t="str">
        <f>IF(C21&gt;F21,"YES","NO")</f>
        <v>NO</v>
      </c>
      <c r="H21" s="9">
        <f>IF(G21="YES",100/(D21-F21)*(C21-F21),100/(F21-E21)*(F21-C21)*-1)</f>
        <v>-75.280898876405089</v>
      </c>
      <c r="I21" s="23">
        <f>H21*-1</f>
        <v>75.280898876405089</v>
      </c>
      <c r="K21" s="15" t="s">
        <v>17</v>
      </c>
      <c r="L21" s="14"/>
      <c r="M21" s="7">
        <f>I21</f>
        <v>75.280898876405089</v>
      </c>
      <c r="N21" s="7">
        <f>I22</f>
        <v>87.499999999999062</v>
      </c>
      <c r="O21" s="7">
        <f>I23</f>
        <v>-47.272727272726534</v>
      </c>
      <c r="P21" s="7">
        <f>H24</f>
        <v>67.248459958932088</v>
      </c>
      <c r="Q21" s="7">
        <f>H25</f>
        <v>29.729729729728756</v>
      </c>
      <c r="R21" s="7">
        <f t="shared" ref="R21:R26" si="5">SUM(L21:Q21)/5</f>
        <v>42.497272258467689</v>
      </c>
      <c r="S21" s="15" t="s">
        <v>17</v>
      </c>
    </row>
    <row r="22" spans="1:19" x14ac:dyDescent="0.25">
      <c r="A22" s="28" t="s">
        <v>2</v>
      </c>
      <c r="B22" s="46">
        <f>Datap!$Q$24</f>
        <v>1.8093999999999999</v>
      </c>
      <c r="C22" s="17">
        <f>Datap!$F$24</f>
        <v>1.6571</v>
      </c>
      <c r="D22" s="17">
        <f>Datap!$E$24</f>
        <v>1.6736</v>
      </c>
      <c r="E22" s="17">
        <f>Datap!$D$24</f>
        <v>1.6559999999999999</v>
      </c>
      <c r="F22" s="17">
        <f t="shared" ref="F22:F35" si="6">(D22+E22)/2</f>
        <v>1.6648000000000001</v>
      </c>
      <c r="G22" s="22" t="str">
        <f t="shared" ref="G22:G35" si="7">IF(C22&gt;F22,"YES","NO")</f>
        <v>NO</v>
      </c>
      <c r="H22" s="9">
        <f t="shared" ref="H22:H35" si="8">IF(G22="YES",100/(D22-F22)*(C22-F22),100/(F22-E22)*(F22-C22)*-1)</f>
        <v>-87.499999999999062</v>
      </c>
      <c r="I22" s="23">
        <f t="shared" ref="I22:I35" si="9">H22*-1</f>
        <v>87.499999999999062</v>
      </c>
      <c r="K22" s="5" t="s">
        <v>18</v>
      </c>
      <c r="L22" s="9">
        <f>H21</f>
        <v>-75.280898876405089</v>
      </c>
      <c r="M22" s="8"/>
      <c r="N22" s="9">
        <f>H26</f>
        <v>-28.813559322030645</v>
      </c>
      <c r="O22" s="9">
        <f>H27</f>
        <v>-89.247311827955883</v>
      </c>
      <c r="P22" s="9">
        <f>H28</f>
        <v>26.677852348991753</v>
      </c>
      <c r="Q22" s="9">
        <f>H29</f>
        <v>-62.068965517241907</v>
      </c>
      <c r="R22" s="9">
        <f t="shared" si="5"/>
        <v>-45.746576638928346</v>
      </c>
      <c r="S22" s="5" t="s">
        <v>18</v>
      </c>
    </row>
    <row r="23" spans="1:19" x14ac:dyDescent="0.25">
      <c r="A23" s="28" t="s">
        <v>3</v>
      </c>
      <c r="B23" s="46">
        <f>Datap!$Q$26</f>
        <v>1.6591</v>
      </c>
      <c r="C23" s="17">
        <f>Datap!$F$26</f>
        <v>0.93159999999999998</v>
      </c>
      <c r="D23" s="17">
        <f>Datap!$E$26</f>
        <v>0.9345</v>
      </c>
      <c r="E23" s="17">
        <f>Datap!$D$26</f>
        <v>0.92349999999999999</v>
      </c>
      <c r="F23" s="17">
        <f t="shared" si="6"/>
        <v>0.92900000000000005</v>
      </c>
      <c r="G23" s="22" t="str">
        <f t="shared" si="7"/>
        <v>YES</v>
      </c>
      <c r="H23" s="9">
        <f t="shared" si="8"/>
        <v>47.272727272726534</v>
      </c>
      <c r="I23" s="23">
        <f t="shared" si="9"/>
        <v>-47.272727272726534</v>
      </c>
      <c r="K23" s="5" t="s">
        <v>20</v>
      </c>
      <c r="L23" s="9">
        <f>H22</f>
        <v>-87.499999999999062</v>
      </c>
      <c r="M23" s="9">
        <f>I26</f>
        <v>28.813559322030645</v>
      </c>
      <c r="N23" s="8"/>
      <c r="O23" s="9">
        <f>H30</f>
        <v>-89.52879581151943</v>
      </c>
      <c r="P23" s="9">
        <f>H31</f>
        <v>50.571131879542875</v>
      </c>
      <c r="Q23" s="9">
        <f>H32</f>
        <v>-70.802919708029265</v>
      </c>
      <c r="R23" s="9">
        <f t="shared" si="5"/>
        <v>-33.689404863594845</v>
      </c>
      <c r="S23" s="5" t="s">
        <v>20</v>
      </c>
    </row>
    <row r="24" spans="1:19" x14ac:dyDescent="0.25">
      <c r="A24" s="28" t="s">
        <v>4</v>
      </c>
      <c r="B24" s="46">
        <f>Datap!$Q$28</f>
        <v>0.93430000000000002</v>
      </c>
      <c r="C24" s="17">
        <f>Datap!$F$28</f>
        <v>103.866</v>
      </c>
      <c r="D24" s="17">
        <f>Datap!$E$28</f>
        <v>104.185</v>
      </c>
      <c r="E24" s="17">
        <f>Datap!$D$28</f>
        <v>102.23699999999999</v>
      </c>
      <c r="F24" s="17">
        <f t="shared" si="6"/>
        <v>103.211</v>
      </c>
      <c r="G24" s="22" t="str">
        <f t="shared" si="7"/>
        <v>YES</v>
      </c>
      <c r="H24" s="9">
        <f t="shared" si="8"/>
        <v>67.248459958932088</v>
      </c>
      <c r="I24" s="23">
        <f t="shared" si="9"/>
        <v>-67.248459958932088</v>
      </c>
      <c r="K24" s="5" t="s">
        <v>19</v>
      </c>
      <c r="L24" s="9">
        <f>H23</f>
        <v>47.272727272726534</v>
      </c>
      <c r="M24" s="9">
        <f>I27</f>
        <v>89.247311827955883</v>
      </c>
      <c r="N24" s="9">
        <f>I30</f>
        <v>89.52879581151943</v>
      </c>
      <c r="O24" s="8"/>
      <c r="P24" s="9">
        <f>H33</f>
        <v>89.712186160442329</v>
      </c>
      <c r="Q24" s="9">
        <f>H34</f>
        <v>52.808988764045843</v>
      </c>
      <c r="R24" s="9">
        <f t="shared" si="5"/>
        <v>73.714001967338021</v>
      </c>
      <c r="S24" s="5" t="s">
        <v>19</v>
      </c>
    </row>
    <row r="25" spans="1:19" x14ac:dyDescent="0.25">
      <c r="A25" s="28" t="s">
        <v>24</v>
      </c>
      <c r="B25" s="46">
        <f>Datap!$Q$30</f>
        <v>103.89</v>
      </c>
      <c r="C25" s="17">
        <f>Datap!$F$30</f>
        <v>1.0946</v>
      </c>
      <c r="D25" s="17">
        <f>Datap!$E$30</f>
        <v>1.0985</v>
      </c>
      <c r="E25" s="17">
        <f>Datap!$D$30</f>
        <v>1.0873999999999999</v>
      </c>
      <c r="F25" s="17">
        <f t="shared" si="6"/>
        <v>1.0929500000000001</v>
      </c>
      <c r="G25" s="22" t="str">
        <f t="shared" si="7"/>
        <v>YES</v>
      </c>
      <c r="H25" s="9">
        <f t="shared" si="8"/>
        <v>29.729729729728756</v>
      </c>
      <c r="I25" s="23">
        <f t="shared" si="9"/>
        <v>-29.729729729728756</v>
      </c>
      <c r="K25" s="5" t="s">
        <v>21</v>
      </c>
      <c r="L25" s="9">
        <f>I24</f>
        <v>-67.248459958932088</v>
      </c>
      <c r="M25" s="9">
        <f>I28</f>
        <v>-26.677852348991753</v>
      </c>
      <c r="N25" s="9">
        <f>I31</f>
        <v>-50.571131879542875</v>
      </c>
      <c r="O25" s="9">
        <f>I33</f>
        <v>-89.712186160442329</v>
      </c>
      <c r="P25" s="8"/>
      <c r="Q25" s="9">
        <f>I35</f>
        <v>-67.071057192374639</v>
      </c>
      <c r="R25" s="9">
        <f t="shared" si="5"/>
        <v>-60.256137508056739</v>
      </c>
      <c r="S25" s="5" t="s">
        <v>21</v>
      </c>
    </row>
    <row r="26" spans="1:19" ht="15.75" thickBot="1" x14ac:dyDescent="0.3">
      <c r="A26" s="28" t="s">
        <v>9</v>
      </c>
      <c r="B26" s="46">
        <f>Datap!$Q$4</f>
        <v>0.79679999999999995</v>
      </c>
      <c r="C26" s="17">
        <f>Datap!$F$4</f>
        <v>0.79890000000000005</v>
      </c>
      <c r="D26" s="17">
        <f>Datap!$E$4</f>
        <v>0.80269999999999997</v>
      </c>
      <c r="E26" s="17">
        <f>Datap!$D$4</f>
        <v>0.79679999999999995</v>
      </c>
      <c r="F26" s="17">
        <f t="shared" si="6"/>
        <v>0.79974999999999996</v>
      </c>
      <c r="G26" s="22" t="str">
        <f t="shared" si="7"/>
        <v>NO</v>
      </c>
      <c r="H26" s="9">
        <f t="shared" si="8"/>
        <v>-28.813559322030645</v>
      </c>
      <c r="I26" s="23">
        <f t="shared" si="9"/>
        <v>28.813559322030645</v>
      </c>
      <c r="K26" s="13" t="s">
        <v>29</v>
      </c>
      <c r="L26" s="9">
        <f>I25</f>
        <v>-29.729729729728756</v>
      </c>
      <c r="M26" s="9">
        <f>I29</f>
        <v>62.068965517241907</v>
      </c>
      <c r="N26" s="9">
        <f>I32</f>
        <v>70.802919708029265</v>
      </c>
      <c r="O26" s="9">
        <f>I34</f>
        <v>-52.808988764045843</v>
      </c>
      <c r="P26" s="9">
        <f>H35</f>
        <v>67.071057192374639</v>
      </c>
      <c r="Q26" s="9"/>
      <c r="R26" s="16">
        <f t="shared" si="5"/>
        <v>23.480844784774241</v>
      </c>
      <c r="S26" s="6" t="s">
        <v>29</v>
      </c>
    </row>
    <row r="27" spans="1:19" ht="15.75" thickBot="1" x14ac:dyDescent="0.3">
      <c r="A27" s="28" t="s">
        <v>10</v>
      </c>
      <c r="B27" s="46">
        <f>Datap!$Q$6</f>
        <v>1.4513</v>
      </c>
      <c r="C27" s="17">
        <f>Datap!$F$6</f>
        <v>1.421</v>
      </c>
      <c r="D27" s="17">
        <f>Datap!$E$6</f>
        <v>1.4386000000000001</v>
      </c>
      <c r="E27" s="17">
        <f>Datap!$D$6</f>
        <v>1.42</v>
      </c>
      <c r="F27" s="17">
        <f t="shared" si="6"/>
        <v>1.4293</v>
      </c>
      <c r="G27" s="22" t="str">
        <f t="shared" si="7"/>
        <v>NO</v>
      </c>
      <c r="H27" s="9">
        <f t="shared" si="8"/>
        <v>-89.247311827955883</v>
      </c>
      <c r="I27" s="23">
        <f t="shared" si="9"/>
        <v>89.247311827955883</v>
      </c>
      <c r="K27" s="13" t="s">
        <v>23</v>
      </c>
      <c r="L27" s="11">
        <f>R21</f>
        <v>42.497272258467689</v>
      </c>
      <c r="M27" s="11">
        <f>R22</f>
        <v>-45.746576638928346</v>
      </c>
      <c r="N27" s="11">
        <f>R23</f>
        <v>-33.689404863594845</v>
      </c>
      <c r="O27" s="11">
        <f>R24</f>
        <v>73.714001967338021</v>
      </c>
      <c r="P27" s="11">
        <f>R25</f>
        <v>-60.256137508056739</v>
      </c>
      <c r="Q27" s="11">
        <f>R26</f>
        <v>23.480844784774241</v>
      </c>
      <c r="R27" s="12"/>
      <c r="S27" s="4" t="s">
        <v>23</v>
      </c>
    </row>
    <row r="28" spans="1:19" x14ac:dyDescent="0.25">
      <c r="A28" s="28" t="s">
        <v>11</v>
      </c>
      <c r="B28" s="46">
        <f>Datap!$Q$8</f>
        <v>138.71</v>
      </c>
      <c r="C28" s="17">
        <f>Datap!$F$8</f>
        <v>137.55699999999999</v>
      </c>
      <c r="D28" s="17">
        <f>Datap!$E$8</f>
        <v>137.994</v>
      </c>
      <c r="E28" s="17">
        <f>Datap!$D$8</f>
        <v>136.80199999999999</v>
      </c>
      <c r="F28" s="17">
        <f t="shared" si="6"/>
        <v>137.398</v>
      </c>
      <c r="G28" s="22" t="str">
        <f t="shared" si="7"/>
        <v>YES</v>
      </c>
      <c r="H28" s="9">
        <f t="shared" si="8"/>
        <v>26.677852348991753</v>
      </c>
      <c r="I28" s="23">
        <f t="shared" si="9"/>
        <v>-26.677852348991753</v>
      </c>
    </row>
    <row r="29" spans="1:19" x14ac:dyDescent="0.25">
      <c r="A29" s="28" t="s">
        <v>25</v>
      </c>
      <c r="B29" s="46">
        <f>Datap!$Q$10</f>
        <v>1.4608000000000001</v>
      </c>
      <c r="C29" s="17">
        <f>Datap!$F$10</f>
        <v>1.4496</v>
      </c>
      <c r="D29" s="17">
        <f>Datap!$E$10</f>
        <v>1.4590000000000001</v>
      </c>
      <c r="E29" s="17">
        <f>Datap!$D$10</f>
        <v>1.4474</v>
      </c>
      <c r="F29" s="17">
        <f t="shared" si="6"/>
        <v>1.4532</v>
      </c>
      <c r="G29" s="22" t="str">
        <f t="shared" si="7"/>
        <v>NO</v>
      </c>
      <c r="H29" s="9">
        <f t="shared" si="8"/>
        <v>-62.068965517241907</v>
      </c>
      <c r="I29" s="23">
        <f t="shared" si="9"/>
        <v>62.068965517241907</v>
      </c>
    </row>
    <row r="30" spans="1:19" x14ac:dyDescent="0.25">
      <c r="A30" s="28" t="s">
        <v>12</v>
      </c>
      <c r="B30" s="46">
        <f>Datap!$Q$18</f>
        <v>95.256</v>
      </c>
      <c r="C30" s="17">
        <f>Datap!$F$18</f>
        <v>1.7786</v>
      </c>
      <c r="D30" s="17">
        <f>Datap!$E$18</f>
        <v>1.7967</v>
      </c>
      <c r="E30" s="17">
        <f>Datap!$D$18</f>
        <v>1.7776000000000001</v>
      </c>
      <c r="F30" s="17">
        <f t="shared" si="6"/>
        <v>1.78715</v>
      </c>
      <c r="G30" s="22" t="str">
        <f t="shared" si="7"/>
        <v>NO</v>
      </c>
      <c r="H30" s="9">
        <f t="shared" si="8"/>
        <v>-89.52879581151943</v>
      </c>
      <c r="I30" s="23">
        <f t="shared" si="9"/>
        <v>89.52879581151943</v>
      </c>
    </row>
    <row r="31" spans="1:19" x14ac:dyDescent="0.25">
      <c r="A31" s="28" t="s">
        <v>13</v>
      </c>
      <c r="B31" s="46">
        <f>Datap!$Q$20</f>
        <v>1.7756000000000001</v>
      </c>
      <c r="C31" s="17">
        <f>Datap!$F$20</f>
        <v>172.13499999999999</v>
      </c>
      <c r="D31" s="17">
        <f>Datap!$E$20</f>
        <v>172.61099999999999</v>
      </c>
      <c r="E31" s="17">
        <f>Datap!$D$20</f>
        <v>170.685</v>
      </c>
      <c r="F31" s="17">
        <f t="shared" si="6"/>
        <v>171.648</v>
      </c>
      <c r="G31" s="22" t="str">
        <f t="shared" si="7"/>
        <v>YES</v>
      </c>
      <c r="H31" s="9">
        <f t="shared" si="8"/>
        <v>50.571131879542875</v>
      </c>
      <c r="I31" s="23">
        <f t="shared" si="9"/>
        <v>-50.571131879542875</v>
      </c>
    </row>
    <row r="32" spans="1:19" x14ac:dyDescent="0.25">
      <c r="A32" s="28" t="s">
        <v>26</v>
      </c>
      <c r="B32" s="46">
        <f>Datap!$Q$22</f>
        <v>172.376</v>
      </c>
      <c r="C32" s="17">
        <f>Datap!$F$22</f>
        <v>1.8142</v>
      </c>
      <c r="D32" s="17">
        <f>Datap!$E$22</f>
        <v>1.8259000000000001</v>
      </c>
      <c r="E32" s="17">
        <f>Datap!$D$22</f>
        <v>1.8122</v>
      </c>
      <c r="F32" s="17">
        <f t="shared" si="6"/>
        <v>1.8190500000000001</v>
      </c>
      <c r="G32" s="22" t="str">
        <f t="shared" si="7"/>
        <v>NO</v>
      </c>
      <c r="H32" s="9">
        <f t="shared" si="8"/>
        <v>-70.802919708029265</v>
      </c>
      <c r="I32" s="23">
        <f t="shared" si="9"/>
        <v>70.802919708029265</v>
      </c>
    </row>
    <row r="33" spans="1:9" x14ac:dyDescent="0.25">
      <c r="A33" s="28" t="s">
        <v>14</v>
      </c>
      <c r="B33" s="46">
        <f>Datap!$Q$14</f>
        <v>1.0187999999999999</v>
      </c>
      <c r="C33" s="17">
        <f>Datap!$F$14</f>
        <v>96.775000000000006</v>
      </c>
      <c r="D33" s="17">
        <f>Datap!$E$14</f>
        <v>96.858999999999995</v>
      </c>
      <c r="E33" s="17">
        <f>Datap!$D$14</f>
        <v>95.225999999999999</v>
      </c>
      <c r="F33" s="17">
        <f t="shared" si="6"/>
        <v>96.04249999999999</v>
      </c>
      <c r="G33" s="22" t="str">
        <f t="shared" si="7"/>
        <v>YES</v>
      </c>
      <c r="H33" s="9">
        <f t="shared" si="8"/>
        <v>89.712186160442329</v>
      </c>
      <c r="I33" s="23">
        <f t="shared" si="9"/>
        <v>-89.712186160442329</v>
      </c>
    </row>
    <row r="34" spans="1:9" x14ac:dyDescent="0.25">
      <c r="A34" s="28" t="s">
        <v>28</v>
      </c>
      <c r="B34" s="46">
        <f>Datap!$Q$12</f>
        <v>1.4377</v>
      </c>
      <c r="C34" s="17">
        <f>Datap!$F$12</f>
        <v>1.0199</v>
      </c>
      <c r="D34" s="17">
        <f>Datap!$E$12</f>
        <v>1.022</v>
      </c>
      <c r="E34" s="17">
        <f>Datap!$D$12</f>
        <v>1.0130999999999999</v>
      </c>
      <c r="F34" s="17">
        <f t="shared" si="6"/>
        <v>1.01755</v>
      </c>
      <c r="G34" s="22" t="str">
        <f t="shared" si="7"/>
        <v>YES</v>
      </c>
      <c r="H34" s="9">
        <f t="shared" si="8"/>
        <v>52.808988764045843</v>
      </c>
      <c r="I34" s="23">
        <f t="shared" si="9"/>
        <v>-52.808988764045843</v>
      </c>
    </row>
    <row r="35" spans="1:9" ht="15.75" thickBot="1" x14ac:dyDescent="0.3">
      <c r="A35" s="29" t="s">
        <v>27</v>
      </c>
      <c r="B35" s="47">
        <f>Datap!$Q$16</f>
        <v>97.066000000000003</v>
      </c>
      <c r="C35" s="25">
        <f>Datap!$F$16</f>
        <v>94.864000000000004</v>
      </c>
      <c r="D35" s="25">
        <f>Datap!$E$16</f>
        <v>95.054000000000002</v>
      </c>
      <c r="E35" s="25">
        <f>Datap!$D$16</f>
        <v>93.9</v>
      </c>
      <c r="F35" s="25">
        <f t="shared" si="6"/>
        <v>94.477000000000004</v>
      </c>
      <c r="G35" s="26" t="str">
        <f t="shared" si="7"/>
        <v>YES</v>
      </c>
      <c r="H35" s="10">
        <f t="shared" si="8"/>
        <v>67.071057192374639</v>
      </c>
      <c r="I35" s="27">
        <f t="shared" si="9"/>
        <v>-67.071057192374639</v>
      </c>
    </row>
  </sheetData>
  <conditionalFormatting sqref="L4:R8 R9">
    <cfRule type="cellIs" dxfId="29" priority="11" stopIfTrue="1" operator="lessThan">
      <formula>0</formula>
    </cfRule>
    <cfRule type="cellIs" dxfId="28" priority="12" stopIfTrue="1" operator="greaterThan">
      <formula>0</formula>
    </cfRule>
  </conditionalFormatting>
  <conditionalFormatting sqref="L9:Q9">
    <cfRule type="cellIs" dxfId="27" priority="9" stopIfTrue="1" operator="lessThan">
      <formula>0</formula>
    </cfRule>
    <cfRule type="cellIs" dxfId="26" priority="10" stopIfTrue="1" operator="greaterThan">
      <formula>0</formula>
    </cfRule>
  </conditionalFormatting>
  <conditionalFormatting sqref="L10:R10">
    <cfRule type="cellIs" dxfId="25" priority="7" operator="lessThan">
      <formula>0</formula>
    </cfRule>
    <cfRule type="cellIs" dxfId="24" priority="8" operator="greaterThan">
      <formula>0</formula>
    </cfRule>
  </conditionalFormatting>
  <conditionalFormatting sqref="L21:R25 R26">
    <cfRule type="cellIs" dxfId="23" priority="5" stopIfTrue="1" operator="lessThan">
      <formula>0</formula>
    </cfRule>
    <cfRule type="cellIs" dxfId="22" priority="6" stopIfTrue="1" operator="greaterThan">
      <formula>0</formula>
    </cfRule>
  </conditionalFormatting>
  <conditionalFormatting sqref="L26:Q26">
    <cfRule type="cellIs" dxfId="21" priority="3" stopIfTrue="1" operator="lessThan">
      <formula>0</formula>
    </cfRule>
    <cfRule type="cellIs" dxfId="20" priority="4" stopIfTrue="1" operator="greaterThan">
      <formula>0</formula>
    </cfRule>
  </conditionalFormatting>
  <conditionalFormatting sqref="L27:R27">
    <cfRule type="cellIs" dxfId="19" priority="1" operator="lessThan">
      <formula>0</formula>
    </cfRule>
    <cfRule type="cellIs" dxfId="18" priority="2" operator="greaterThan">
      <formula>0</formula>
    </cfRule>
  </conditionalFormatting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8" workbookViewId="0">
      <selection activeCell="J63" sqref="J63"/>
    </sheetView>
  </sheetViews>
  <sheetFormatPr baseColWidth="10" defaultRowHeight="15" x14ac:dyDescent="0.25"/>
  <cols>
    <col min="10" max="10" width="5.28515625" customWidth="1"/>
  </cols>
  <sheetData>
    <row r="1" spans="1:19" x14ac:dyDescent="0.25">
      <c r="A1" s="1" t="s">
        <v>0</v>
      </c>
      <c r="B1" s="1"/>
    </row>
    <row r="2" spans="1:19" ht="15.75" thickBot="1" x14ac:dyDescent="0.3"/>
    <row r="3" spans="1:19" ht="15.75" thickBot="1" x14ac:dyDescent="0.3">
      <c r="A3" s="4" t="s">
        <v>63</v>
      </c>
      <c r="B3" s="38" t="s">
        <v>61</v>
      </c>
      <c r="C3" s="39" t="s">
        <v>5</v>
      </c>
      <c r="D3" s="39" t="s">
        <v>6</v>
      </c>
      <c r="E3" s="39" t="s">
        <v>7</v>
      </c>
      <c r="F3" s="39" t="s">
        <v>8</v>
      </c>
      <c r="G3" s="39" t="s">
        <v>15</v>
      </c>
      <c r="H3" s="39" t="s">
        <v>16</v>
      </c>
      <c r="I3" s="40" t="s">
        <v>22</v>
      </c>
      <c r="K3" s="4" t="s">
        <v>63</v>
      </c>
      <c r="L3" s="3" t="s">
        <v>17</v>
      </c>
      <c r="M3" s="3" t="s">
        <v>18</v>
      </c>
      <c r="N3" s="3" t="s">
        <v>20</v>
      </c>
      <c r="O3" s="3" t="s">
        <v>19</v>
      </c>
      <c r="P3" s="3" t="s">
        <v>21</v>
      </c>
      <c r="Q3" s="3" t="s">
        <v>29</v>
      </c>
      <c r="R3" s="3" t="s">
        <v>23</v>
      </c>
      <c r="S3" s="15"/>
    </row>
    <row r="4" spans="1:19" x14ac:dyDescent="0.25">
      <c r="A4" s="28" t="s">
        <v>1</v>
      </c>
      <c r="B4" s="41">
        <f>Data!$P$2</f>
        <v>1.3389</v>
      </c>
      <c r="C4" s="18">
        <f>Data!$C$2</f>
        <v>1.3180000000000001</v>
      </c>
      <c r="D4" s="18">
        <f>Data!$B$2</f>
        <v>1.3444</v>
      </c>
      <c r="E4" s="18">
        <f>Data!$A$2</f>
        <v>1.3151999999999999</v>
      </c>
      <c r="F4" s="18">
        <f>(D4+E4)/2</f>
        <v>1.3298000000000001</v>
      </c>
      <c r="G4" s="19" t="str">
        <f>IF(C4&gt;F4,"YES","NO")</f>
        <v>NO</v>
      </c>
      <c r="H4" s="7">
        <f>IF(G4="YES",100/(D4-F4)*(C4-F4),100/(F4-E4)*(F4-C4)*-1)</f>
        <v>-80.821917808218473</v>
      </c>
      <c r="I4" s="20">
        <f>H4*-1</f>
        <v>80.821917808218473</v>
      </c>
      <c r="J4" s="2"/>
      <c r="K4" s="15" t="s">
        <v>17</v>
      </c>
      <c r="L4" s="14"/>
      <c r="M4" s="7">
        <f>I4</f>
        <v>80.821917808218473</v>
      </c>
      <c r="N4" s="7">
        <f>I5</f>
        <v>65.921787709497295</v>
      </c>
      <c r="O4" s="7">
        <f>I6</f>
        <v>-56.521739130434852</v>
      </c>
      <c r="P4" s="7">
        <f>H7</f>
        <v>71.769815418023896</v>
      </c>
      <c r="Q4" s="7">
        <f>H8</f>
        <v>-50.724637681160957</v>
      </c>
      <c r="R4" s="7">
        <f t="shared" ref="R4:R9" si="0">SUM(L4:Q4)/5</f>
        <v>22.25342882482877</v>
      </c>
      <c r="S4" s="15" t="s">
        <v>17</v>
      </c>
    </row>
    <row r="5" spans="1:19" x14ac:dyDescent="0.25">
      <c r="A5" s="28" t="s">
        <v>2</v>
      </c>
      <c r="B5" s="42">
        <f>Data!$P$24</f>
        <v>1.6881999999999999</v>
      </c>
      <c r="C5" s="17">
        <f>Data!$C$24</f>
        <v>1.6595</v>
      </c>
      <c r="D5" s="17">
        <f>Data!$B$24</f>
        <v>1.6892</v>
      </c>
      <c r="E5" s="8">
        <f>Data!$A$24</f>
        <v>1.6534</v>
      </c>
      <c r="F5" s="17">
        <f t="shared" ref="F5:F18" si="1">(D5+E5)/2</f>
        <v>1.6713</v>
      </c>
      <c r="G5" s="22" t="str">
        <f t="shared" ref="G5:G18" si="2">IF(C5&gt;F5,"YES","NO")</f>
        <v>NO</v>
      </c>
      <c r="H5" s="9">
        <f t="shared" ref="H5:H18" si="3">IF(G5="YES",100/(D5-F5)*(C5-F5),100/(F5-E5)*(F5-C5)*-1)</f>
        <v>-65.921787709497295</v>
      </c>
      <c r="I5" s="23">
        <f t="shared" ref="I5:I18" si="4">H5*-1</f>
        <v>65.921787709497295</v>
      </c>
      <c r="J5" s="2"/>
      <c r="K5" s="5" t="s">
        <v>18</v>
      </c>
      <c r="L5" s="9">
        <f>H4</f>
        <v>-80.821917808218473</v>
      </c>
      <c r="M5" s="8"/>
      <c r="N5" s="9">
        <f>H9</f>
        <v>-56.666666666665932</v>
      </c>
      <c r="O5" s="9">
        <f>H10</f>
        <v>-94.764397905758557</v>
      </c>
      <c r="P5" s="9">
        <f>H11</f>
        <v>3.9548022598873827</v>
      </c>
      <c r="Q5" s="9">
        <f>H12</f>
        <v>-98.416886543535796</v>
      </c>
      <c r="R5" s="9">
        <f t="shared" si="0"/>
        <v>-65.343013332858277</v>
      </c>
      <c r="S5" s="5" t="s">
        <v>18</v>
      </c>
    </row>
    <row r="6" spans="1:19" x14ac:dyDescent="0.25">
      <c r="A6" s="28" t="s">
        <v>3</v>
      </c>
      <c r="B6" s="42">
        <f>Data!$P$26</f>
        <v>0.9294</v>
      </c>
      <c r="C6" s="17">
        <f>Data!$C$26</f>
        <v>0.93430000000000002</v>
      </c>
      <c r="D6" s="17">
        <f>Data!$B$26</f>
        <v>0.93730000000000002</v>
      </c>
      <c r="E6" s="17">
        <f>Data!$A$26</f>
        <v>0.92349999999999999</v>
      </c>
      <c r="F6" s="17">
        <f t="shared" si="1"/>
        <v>0.9304</v>
      </c>
      <c r="G6" s="22" t="str">
        <f t="shared" si="2"/>
        <v>YES</v>
      </c>
      <c r="H6" s="9">
        <f t="shared" si="3"/>
        <v>56.521739130434852</v>
      </c>
      <c r="I6" s="23">
        <f t="shared" si="4"/>
        <v>-56.521739130434852</v>
      </c>
      <c r="J6" s="2"/>
      <c r="K6" s="5" t="s">
        <v>20</v>
      </c>
      <c r="L6" s="9">
        <f>H5</f>
        <v>-65.921787709497295</v>
      </c>
      <c r="M6" s="9">
        <f>I9</f>
        <v>56.666666666665932</v>
      </c>
      <c r="N6" s="8"/>
      <c r="O6" s="9">
        <f>H13</f>
        <v>-87.799564270152771</v>
      </c>
      <c r="P6" s="9">
        <f>H14</f>
        <v>15.555555555556627</v>
      </c>
      <c r="Q6" s="9">
        <f>H15</f>
        <v>-82.572614107883908</v>
      </c>
      <c r="R6" s="9">
        <f t="shared" si="0"/>
        <v>-32.814348773062285</v>
      </c>
      <c r="S6" s="5" t="s">
        <v>20</v>
      </c>
    </row>
    <row r="7" spans="1:19" x14ac:dyDescent="0.25">
      <c r="A7" s="28" t="s">
        <v>4</v>
      </c>
      <c r="B7" s="42">
        <f>Data!$P$28</f>
        <v>102.78400000000001</v>
      </c>
      <c r="C7" s="17">
        <f>Data!$C$28</f>
        <v>103.874</v>
      </c>
      <c r="D7" s="17">
        <f>Data!$B$28</f>
        <v>104.264</v>
      </c>
      <c r="E7" s="17">
        <f>Data!$A$28</f>
        <v>101.501</v>
      </c>
      <c r="F7" s="17">
        <f t="shared" si="1"/>
        <v>102.88249999999999</v>
      </c>
      <c r="G7" s="22" t="str">
        <f t="shared" si="2"/>
        <v>YES</v>
      </c>
      <c r="H7" s="9">
        <f t="shared" si="3"/>
        <v>71.769815418023896</v>
      </c>
      <c r="I7" s="23">
        <f t="shared" si="4"/>
        <v>-71.769815418023896</v>
      </c>
      <c r="J7" s="2"/>
      <c r="K7" s="5" t="s">
        <v>19</v>
      </c>
      <c r="L7" s="9">
        <f>H6</f>
        <v>56.521739130434852</v>
      </c>
      <c r="M7" s="9">
        <f>I10</f>
        <v>94.764397905758557</v>
      </c>
      <c r="N7" s="9">
        <f>I13</f>
        <v>87.799564270152771</v>
      </c>
      <c r="O7" s="8"/>
      <c r="P7" s="9">
        <f>H16</f>
        <v>94.184967522425367</v>
      </c>
      <c r="Q7" s="9">
        <f>H17</f>
        <v>13.846153846152427</v>
      </c>
      <c r="R7" s="9">
        <f t="shared" si="0"/>
        <v>69.423364534984799</v>
      </c>
      <c r="S7" s="5" t="s">
        <v>19</v>
      </c>
    </row>
    <row r="8" spans="1:19" x14ac:dyDescent="0.25">
      <c r="A8" s="28" t="s">
        <v>24</v>
      </c>
      <c r="B8" s="42">
        <f>Data!$P$30</f>
        <v>1.0904</v>
      </c>
      <c r="C8" s="17">
        <f>Data!$C$30</f>
        <v>1.0892999999999999</v>
      </c>
      <c r="D8" s="17">
        <f>Data!$B$30</f>
        <v>1.0996999999999999</v>
      </c>
      <c r="E8" s="17">
        <f>Data!$A$30</f>
        <v>1.0859000000000001</v>
      </c>
      <c r="F8" s="17">
        <f t="shared" si="1"/>
        <v>1.0928</v>
      </c>
      <c r="G8" s="22" t="str">
        <f t="shared" si="2"/>
        <v>NO</v>
      </c>
      <c r="H8" s="9">
        <f t="shared" si="3"/>
        <v>-50.724637681160957</v>
      </c>
      <c r="I8" s="23">
        <f t="shared" si="4"/>
        <v>50.724637681160957</v>
      </c>
      <c r="J8" s="2"/>
      <c r="K8" s="5" t="s">
        <v>21</v>
      </c>
      <c r="L8" s="9">
        <f>I7</f>
        <v>-71.769815418023896</v>
      </c>
      <c r="M8" s="9">
        <f>I11</f>
        <v>-3.9548022598873827</v>
      </c>
      <c r="N8" s="9">
        <f>I14</f>
        <v>-15.555555555556627</v>
      </c>
      <c r="O8" s="9">
        <f>I16</f>
        <v>-94.184967522425367</v>
      </c>
      <c r="P8" s="8"/>
      <c r="Q8" s="9">
        <f>I18</f>
        <v>-94.764397905759637</v>
      </c>
      <c r="R8" s="9">
        <f t="shared" si="0"/>
        <v>-56.045907732330576</v>
      </c>
      <c r="S8" s="5" t="s">
        <v>21</v>
      </c>
    </row>
    <row r="9" spans="1:19" ht="15.75" thickBot="1" x14ac:dyDescent="0.3">
      <c r="A9" s="28" t="s">
        <v>9</v>
      </c>
      <c r="B9" s="42">
        <f>Data!$P$4</f>
        <v>0.79279999999999995</v>
      </c>
      <c r="C9" s="17">
        <f>Data!$C$4</f>
        <v>0.79410000000000003</v>
      </c>
      <c r="D9" s="17">
        <f>Data!$B$4</f>
        <v>0.80349999999999999</v>
      </c>
      <c r="E9" s="17">
        <f>Data!$A$4</f>
        <v>0.79149999999999998</v>
      </c>
      <c r="F9" s="17">
        <f t="shared" si="1"/>
        <v>0.79749999999999999</v>
      </c>
      <c r="G9" s="22" t="str">
        <f t="shared" si="2"/>
        <v>NO</v>
      </c>
      <c r="H9" s="9">
        <f t="shared" si="3"/>
        <v>-56.666666666665932</v>
      </c>
      <c r="I9" s="23">
        <f t="shared" si="4"/>
        <v>56.666666666665932</v>
      </c>
      <c r="J9" s="2"/>
      <c r="K9" s="13" t="s">
        <v>29</v>
      </c>
      <c r="L9" s="9">
        <f>I8</f>
        <v>50.724637681160957</v>
      </c>
      <c r="M9" s="9">
        <f>I12</f>
        <v>98.416886543535796</v>
      </c>
      <c r="N9" s="9">
        <f>I15</f>
        <v>82.572614107883908</v>
      </c>
      <c r="O9" s="9">
        <f>I17</f>
        <v>-13.846153846152427</v>
      </c>
      <c r="P9" s="9">
        <f>H18</f>
        <v>94.764397905759637</v>
      </c>
      <c r="Q9" s="9"/>
      <c r="R9" s="16">
        <f t="shared" si="0"/>
        <v>62.526476478437573</v>
      </c>
      <c r="S9" s="6" t="s">
        <v>29</v>
      </c>
    </row>
    <row r="10" spans="1:19" ht="15.75" thickBot="1" x14ac:dyDescent="0.3">
      <c r="A10" s="28" t="s">
        <v>10</v>
      </c>
      <c r="B10" s="42">
        <f>Data!$P$6</f>
        <v>1.4403999999999999</v>
      </c>
      <c r="C10" s="17">
        <f>Data!$C$6</f>
        <v>1.4105000000000001</v>
      </c>
      <c r="D10" s="17">
        <f>Data!$B$6</f>
        <v>1.4477</v>
      </c>
      <c r="E10" s="17">
        <f>Data!$A$6</f>
        <v>1.4095</v>
      </c>
      <c r="F10" s="17">
        <f t="shared" si="1"/>
        <v>1.4285999999999999</v>
      </c>
      <c r="G10" s="22" t="str">
        <f t="shared" si="2"/>
        <v>NO</v>
      </c>
      <c r="H10" s="9">
        <f t="shared" si="3"/>
        <v>-94.764397905758557</v>
      </c>
      <c r="I10" s="23">
        <f t="shared" si="4"/>
        <v>94.764397905758557</v>
      </c>
      <c r="J10" s="2"/>
      <c r="K10" s="13" t="s">
        <v>23</v>
      </c>
      <c r="L10" s="11">
        <f>R4</f>
        <v>22.25342882482877</v>
      </c>
      <c r="M10" s="11">
        <f>R5</f>
        <v>-65.343013332858277</v>
      </c>
      <c r="N10" s="11">
        <f>R6</f>
        <v>-32.814348773062285</v>
      </c>
      <c r="O10" s="11">
        <f>R7</f>
        <v>69.423364534984799</v>
      </c>
      <c r="P10" s="11">
        <f>R8</f>
        <v>-56.045907732330576</v>
      </c>
      <c r="Q10" s="11">
        <f>R9</f>
        <v>62.526476478437573</v>
      </c>
      <c r="R10" s="12"/>
      <c r="S10" s="4" t="s">
        <v>23</v>
      </c>
    </row>
    <row r="11" spans="1:19" x14ac:dyDescent="0.25">
      <c r="A11" s="28" t="s">
        <v>11</v>
      </c>
      <c r="B11" s="42">
        <f>Data!$P$8</f>
        <v>137.61799999999999</v>
      </c>
      <c r="C11" s="17">
        <f>Data!$C$8</f>
        <v>136.91200000000001</v>
      </c>
      <c r="D11" s="17">
        <f>Data!$B$8</f>
        <v>138.017</v>
      </c>
      <c r="E11" s="17">
        <f>Data!$A$8</f>
        <v>135.71600000000001</v>
      </c>
      <c r="F11" s="17">
        <f t="shared" si="1"/>
        <v>136.8665</v>
      </c>
      <c r="G11" s="22" t="str">
        <f t="shared" si="2"/>
        <v>YES</v>
      </c>
      <c r="H11" s="9">
        <f t="shared" si="3"/>
        <v>3.9548022598873827</v>
      </c>
      <c r="I11" s="23">
        <f t="shared" si="4"/>
        <v>-3.9548022598873827</v>
      </c>
      <c r="J11" s="2"/>
    </row>
    <row r="12" spans="1:19" x14ac:dyDescent="0.25">
      <c r="A12" s="28" t="s">
        <v>25</v>
      </c>
      <c r="B12" s="42">
        <f>Data!$P$10</f>
        <v>1.4602999999999999</v>
      </c>
      <c r="C12" s="17">
        <f>Data!$C$10</f>
        <v>1.4357</v>
      </c>
      <c r="D12" s="17">
        <f>Data!$B$10</f>
        <v>1.4733000000000001</v>
      </c>
      <c r="E12" s="17">
        <f>Data!$A$10</f>
        <v>1.4354</v>
      </c>
      <c r="F12" s="17">
        <f t="shared" si="1"/>
        <v>1.45435</v>
      </c>
      <c r="G12" s="22" t="str">
        <f t="shared" si="2"/>
        <v>NO</v>
      </c>
      <c r="H12" s="9">
        <f t="shared" si="3"/>
        <v>-98.416886543535796</v>
      </c>
      <c r="I12" s="23">
        <f t="shared" si="4"/>
        <v>98.416886543535796</v>
      </c>
      <c r="J12" s="2"/>
    </row>
    <row r="13" spans="1:19" x14ac:dyDescent="0.25">
      <c r="A13" s="28" t="s">
        <v>12</v>
      </c>
      <c r="B13" s="42">
        <f>Data!$P$18</f>
        <v>1.8161</v>
      </c>
      <c r="C13" s="17">
        <f>Data!$C$18</f>
        <v>1.776</v>
      </c>
      <c r="D13" s="17">
        <f>Data!$B$18</f>
        <v>1.8190999999999999</v>
      </c>
      <c r="E13" s="17">
        <f>Data!$A$18</f>
        <v>1.7732000000000001</v>
      </c>
      <c r="F13" s="17">
        <f t="shared" si="1"/>
        <v>1.7961499999999999</v>
      </c>
      <c r="G13" s="22" t="str">
        <f t="shared" si="2"/>
        <v>NO</v>
      </c>
      <c r="H13" s="9">
        <f t="shared" si="3"/>
        <v>-87.799564270152771</v>
      </c>
      <c r="I13" s="23">
        <f t="shared" si="4"/>
        <v>87.799564270152771</v>
      </c>
      <c r="J13" s="2"/>
    </row>
    <row r="14" spans="1:19" x14ac:dyDescent="0.25">
      <c r="A14" s="28" t="s">
        <v>13</v>
      </c>
      <c r="B14" s="42">
        <f>Data!$P$20</f>
        <v>173.52500000000001</v>
      </c>
      <c r="C14" s="17">
        <f>Data!$C$20</f>
        <v>172.38900000000001</v>
      </c>
      <c r="D14" s="17">
        <f>Data!$B$20</f>
        <v>173.833</v>
      </c>
      <c r="E14" s="17">
        <f>Data!$A$20</f>
        <v>170.41300000000001</v>
      </c>
      <c r="F14" s="17">
        <f t="shared" si="1"/>
        <v>172.12299999999999</v>
      </c>
      <c r="G14" s="22" t="str">
        <f t="shared" si="2"/>
        <v>YES</v>
      </c>
      <c r="H14" s="9">
        <f t="shared" si="3"/>
        <v>15.555555555556627</v>
      </c>
      <c r="I14" s="23">
        <f t="shared" si="4"/>
        <v>-15.555555555556627</v>
      </c>
      <c r="J14" s="2"/>
    </row>
    <row r="15" spans="1:19" x14ac:dyDescent="0.25">
      <c r="A15" s="28" t="s">
        <v>26</v>
      </c>
      <c r="B15" s="42">
        <f>Data!$P$22</f>
        <v>1.841</v>
      </c>
      <c r="C15" s="17">
        <f>Data!$C$22</f>
        <v>1.8078000000000001</v>
      </c>
      <c r="D15" s="17">
        <f>Data!$B$22</f>
        <v>1.8517999999999999</v>
      </c>
      <c r="E15" s="17">
        <f>Data!$A$22</f>
        <v>1.8036000000000001</v>
      </c>
      <c r="F15" s="17">
        <f t="shared" si="1"/>
        <v>1.8277000000000001</v>
      </c>
      <c r="G15" s="22" t="str">
        <f t="shared" si="2"/>
        <v>NO</v>
      </c>
      <c r="H15" s="9">
        <f t="shared" si="3"/>
        <v>-82.572614107883908</v>
      </c>
      <c r="I15" s="23">
        <f t="shared" si="4"/>
        <v>82.572614107883908</v>
      </c>
      <c r="J15" s="2"/>
    </row>
    <row r="16" spans="1:19" x14ac:dyDescent="0.25">
      <c r="A16" s="28" t="s">
        <v>14</v>
      </c>
      <c r="B16" s="42">
        <f>Data!$P$14</f>
        <v>95.521000000000001</v>
      </c>
      <c r="C16" s="17">
        <f>Data!$C$14</f>
        <v>97.055000000000007</v>
      </c>
      <c r="D16" s="17">
        <f>Data!$B$14</f>
        <v>97.149000000000001</v>
      </c>
      <c r="E16" s="17">
        <f>Data!$A$14</f>
        <v>93.915999999999997</v>
      </c>
      <c r="F16" s="17">
        <f t="shared" si="1"/>
        <v>95.532499999999999</v>
      </c>
      <c r="G16" s="22" t="str">
        <f t="shared" si="2"/>
        <v>YES</v>
      </c>
      <c r="H16" s="9">
        <f t="shared" si="3"/>
        <v>94.184967522425367</v>
      </c>
      <c r="I16" s="23">
        <f t="shared" si="4"/>
        <v>-94.184967522425367</v>
      </c>
      <c r="J16" s="2"/>
    </row>
    <row r="17" spans="1:19" x14ac:dyDescent="0.25">
      <c r="A17" s="28" t="s">
        <v>28</v>
      </c>
      <c r="B17" s="42">
        <f>Data!$P$12</f>
        <v>1.0132000000000001</v>
      </c>
      <c r="C17" s="17">
        <f>Data!$C$12</f>
        <v>1.0178</v>
      </c>
      <c r="D17" s="17">
        <f>Data!$B$12</f>
        <v>1.0234000000000001</v>
      </c>
      <c r="E17" s="17">
        <f>Data!$A$12</f>
        <v>1.0104</v>
      </c>
      <c r="F17" s="17">
        <f t="shared" si="1"/>
        <v>1.0169000000000001</v>
      </c>
      <c r="G17" s="22" t="str">
        <f t="shared" si="2"/>
        <v>YES</v>
      </c>
      <c r="H17" s="9">
        <f t="shared" si="3"/>
        <v>13.846153846152427</v>
      </c>
      <c r="I17" s="23">
        <f t="shared" si="4"/>
        <v>-13.846153846152427</v>
      </c>
    </row>
    <row r="18" spans="1:19" ht="15.75" thickBot="1" x14ac:dyDescent="0.3">
      <c r="A18" s="29" t="s">
        <v>27</v>
      </c>
      <c r="B18" s="43">
        <f>Data!$P$16</f>
        <v>94.224000000000004</v>
      </c>
      <c r="C18" s="25">
        <f>Data!$C$16</f>
        <v>95.346000000000004</v>
      </c>
      <c r="D18" s="25">
        <f>Data!$B$16</f>
        <v>95.415999999999997</v>
      </c>
      <c r="E18" s="25">
        <f>Data!$A$16</f>
        <v>92.742000000000004</v>
      </c>
      <c r="F18" s="25">
        <f t="shared" si="1"/>
        <v>94.079000000000008</v>
      </c>
      <c r="G18" s="26" t="str">
        <f t="shared" si="2"/>
        <v>YES</v>
      </c>
      <c r="H18" s="10">
        <f t="shared" si="3"/>
        <v>94.764397905759637</v>
      </c>
      <c r="I18" s="27">
        <f t="shared" si="4"/>
        <v>-94.764397905759637</v>
      </c>
    </row>
    <row r="19" spans="1:19" ht="15.75" thickBot="1" x14ac:dyDescent="0.3"/>
    <row r="20" spans="1:19" ht="15.75" thickBot="1" x14ac:dyDescent="0.3">
      <c r="A20" s="4" t="s">
        <v>64</v>
      </c>
      <c r="B20" s="38" t="s">
        <v>61</v>
      </c>
      <c r="C20" s="39" t="s">
        <v>5</v>
      </c>
      <c r="D20" s="39" t="s">
        <v>6</v>
      </c>
      <c r="E20" s="39" t="s">
        <v>7</v>
      </c>
      <c r="F20" s="39" t="s">
        <v>8</v>
      </c>
      <c r="G20" s="39" t="s">
        <v>15</v>
      </c>
      <c r="H20" s="39" t="s">
        <v>16</v>
      </c>
      <c r="I20" s="40" t="s">
        <v>22</v>
      </c>
      <c r="K20" s="4" t="s">
        <v>64</v>
      </c>
      <c r="L20" s="3" t="s">
        <v>17</v>
      </c>
      <c r="M20" s="3" t="s">
        <v>18</v>
      </c>
      <c r="N20" s="3" t="s">
        <v>20</v>
      </c>
      <c r="O20" s="3" t="s">
        <v>19</v>
      </c>
      <c r="P20" s="3" t="s">
        <v>21</v>
      </c>
      <c r="Q20" s="3" t="s">
        <v>29</v>
      </c>
      <c r="R20" s="3" t="s">
        <v>23</v>
      </c>
      <c r="S20" s="15"/>
    </row>
    <row r="21" spans="1:19" x14ac:dyDescent="0.25">
      <c r="A21" s="28" t="s">
        <v>1</v>
      </c>
      <c r="B21" s="41">
        <f>Datap!$P$2</f>
        <v>1.3691</v>
      </c>
      <c r="C21" s="18">
        <f>Datap!$C$2</f>
        <v>1.3389</v>
      </c>
      <c r="D21" s="18">
        <f>Datap!$B$2</f>
        <v>1.37</v>
      </c>
      <c r="E21" s="18">
        <f>Datap!$A$2</f>
        <v>1.3366</v>
      </c>
      <c r="F21" s="18">
        <f>(D21+E21)/2</f>
        <v>1.3532999999999999</v>
      </c>
      <c r="G21" s="19" t="str">
        <f>IF(C21&gt;F21,"YES","NO")</f>
        <v>NO</v>
      </c>
      <c r="H21" s="7">
        <f>IF(G21="YES",100/(D21-F21)*(C21-F21),100/(F21-E21)*(F21-C21)*-1)</f>
        <v>-86.227544910179773</v>
      </c>
      <c r="I21" s="20">
        <f>H21*-1</f>
        <v>86.227544910179773</v>
      </c>
      <c r="K21" s="15" t="s">
        <v>17</v>
      </c>
      <c r="L21" s="14"/>
      <c r="M21" s="7">
        <f>I21</f>
        <v>86.227544910179773</v>
      </c>
      <c r="N21" s="7">
        <f>I22</f>
        <v>84.477611940298928</v>
      </c>
      <c r="O21" s="7">
        <f>I23</f>
        <v>87.610619469026048</v>
      </c>
      <c r="P21" s="7">
        <f>H24</f>
        <v>71.244422409519828</v>
      </c>
      <c r="Q21" s="7">
        <f>H25</f>
        <v>83.8709677419359</v>
      </c>
      <c r="R21" s="7">
        <f t="shared" ref="R21:R26" si="5">SUM(L21:Q21)/5</f>
        <v>82.686233294192093</v>
      </c>
      <c r="S21" s="15" t="s">
        <v>17</v>
      </c>
    </row>
    <row r="22" spans="1:19" x14ac:dyDescent="0.25">
      <c r="A22" s="28" t="s">
        <v>2</v>
      </c>
      <c r="B22" s="42">
        <f>Datap!$P$24</f>
        <v>1.8093999999999999</v>
      </c>
      <c r="C22" s="17">
        <f>Datap!$C$24</f>
        <v>1.6881999999999999</v>
      </c>
      <c r="D22" s="17">
        <f>Datap!$B$24</f>
        <v>1.7191000000000001</v>
      </c>
      <c r="E22" s="17">
        <f>Datap!$A$24</f>
        <v>1.6856</v>
      </c>
      <c r="F22" s="17">
        <f t="shared" ref="F22:F35" si="6">(D22+E22)/2</f>
        <v>1.70235</v>
      </c>
      <c r="G22" s="22" t="str">
        <f t="shared" ref="G22:G35" si="7">IF(C22&gt;F22,"YES","NO")</f>
        <v>NO</v>
      </c>
      <c r="H22" s="9">
        <f t="shared" ref="H22:H35" si="8">IF(G22="YES",100/(D22-F22)*(C22-F22),100/(F22-E22)*(F22-C22)*-1)</f>
        <v>-84.477611940298928</v>
      </c>
      <c r="I22" s="23">
        <f t="shared" ref="I22:I35" si="9">H22*-1</f>
        <v>84.477611940298928</v>
      </c>
      <c r="K22" s="5" t="s">
        <v>18</v>
      </c>
      <c r="L22" s="9">
        <f>H21</f>
        <v>-86.227544910179773</v>
      </c>
      <c r="M22" s="8"/>
      <c r="N22" s="9">
        <f>H26</f>
        <v>-22.388059701493255</v>
      </c>
      <c r="O22" s="9">
        <f>H27</f>
        <v>2.2332506203466096</v>
      </c>
      <c r="P22" s="9">
        <f>H28</f>
        <v>-14.010989010989375</v>
      </c>
      <c r="Q22" s="9">
        <f>H29</f>
        <v>58.974358974357962</v>
      </c>
      <c r="R22" s="9">
        <f t="shared" si="5"/>
        <v>-12.283796805591567</v>
      </c>
      <c r="S22" s="5" t="s">
        <v>18</v>
      </c>
    </row>
    <row r="23" spans="1:19" x14ac:dyDescent="0.25">
      <c r="A23" s="28" t="s">
        <v>3</v>
      </c>
      <c r="B23" s="42">
        <f>Datap!$P$26</f>
        <v>1.6591</v>
      </c>
      <c r="C23" s="17">
        <f>Datap!$C$26</f>
        <v>0.92920000000000003</v>
      </c>
      <c r="D23" s="17">
        <f>Datap!$B$26</f>
        <v>0.95040000000000002</v>
      </c>
      <c r="E23" s="17">
        <f>Datap!$A$26</f>
        <v>0.92779999999999996</v>
      </c>
      <c r="F23" s="17">
        <f t="shared" si="6"/>
        <v>0.93910000000000005</v>
      </c>
      <c r="G23" s="22" t="str">
        <f t="shared" si="7"/>
        <v>NO</v>
      </c>
      <c r="H23" s="9">
        <f t="shared" si="8"/>
        <v>-87.610619469026048</v>
      </c>
      <c r="I23" s="23">
        <f t="shared" si="9"/>
        <v>87.610619469026048</v>
      </c>
      <c r="K23" s="5" t="s">
        <v>20</v>
      </c>
      <c r="L23" s="9">
        <f>H22</f>
        <v>-84.477611940298928</v>
      </c>
      <c r="M23" s="9">
        <f>I26</f>
        <v>22.388059701493255</v>
      </c>
      <c r="N23" s="8"/>
      <c r="O23" s="9">
        <f>H30</f>
        <v>-5.7356608478801858</v>
      </c>
      <c r="P23" s="9">
        <f>H31</f>
        <v>-31.885631559899313</v>
      </c>
      <c r="Q23" s="9">
        <f>H32</f>
        <v>39.35483870967721</v>
      </c>
      <c r="R23" s="9">
        <f t="shared" si="5"/>
        <v>-12.071201187381593</v>
      </c>
      <c r="S23" s="5" t="s">
        <v>20</v>
      </c>
    </row>
    <row r="24" spans="1:19" x14ac:dyDescent="0.25">
      <c r="A24" s="28" t="s">
        <v>4</v>
      </c>
      <c r="B24" s="42">
        <f>Datap!$P$28</f>
        <v>0.93430000000000002</v>
      </c>
      <c r="C24" s="17">
        <f>Datap!$C$28</f>
        <v>102.78400000000001</v>
      </c>
      <c r="D24" s="17">
        <f>Datap!$B$28</f>
        <v>103.074</v>
      </c>
      <c r="E24" s="17">
        <f>Datap!$A$28</f>
        <v>101.057</v>
      </c>
      <c r="F24" s="17">
        <f t="shared" si="6"/>
        <v>102.0655</v>
      </c>
      <c r="G24" s="22" t="str">
        <f t="shared" si="7"/>
        <v>YES</v>
      </c>
      <c r="H24" s="9">
        <f t="shared" si="8"/>
        <v>71.244422409519828</v>
      </c>
      <c r="I24" s="23">
        <f t="shared" si="9"/>
        <v>-71.244422409519828</v>
      </c>
      <c r="K24" s="5" t="s">
        <v>19</v>
      </c>
      <c r="L24" s="9">
        <f>H23</f>
        <v>-87.610619469026048</v>
      </c>
      <c r="M24" s="9">
        <f>I27</f>
        <v>-2.2332506203466096</v>
      </c>
      <c r="N24" s="9">
        <f>I30</f>
        <v>5.7356608478801858</v>
      </c>
      <c r="O24" s="8"/>
      <c r="P24" s="9">
        <f>H33</f>
        <v>8.041627246925998</v>
      </c>
      <c r="Q24" s="9">
        <f>H34</f>
        <v>55.294117647060403</v>
      </c>
      <c r="R24" s="9">
        <f t="shared" si="5"/>
        <v>-4.1544928695012144</v>
      </c>
      <c r="S24" s="5" t="s">
        <v>19</v>
      </c>
    </row>
    <row r="25" spans="1:19" x14ac:dyDescent="0.25">
      <c r="A25" s="28" t="s">
        <v>24</v>
      </c>
      <c r="B25" s="42">
        <f>Datap!$P$30</f>
        <v>103.89</v>
      </c>
      <c r="C25" s="17">
        <f>Datap!$C$30</f>
        <v>1.0904</v>
      </c>
      <c r="D25" s="17">
        <f>Datap!$B$30</f>
        <v>1.0929</v>
      </c>
      <c r="E25" s="17">
        <f>Datap!$A$30</f>
        <v>1.0619000000000001</v>
      </c>
      <c r="F25" s="17">
        <f t="shared" si="6"/>
        <v>1.0773999999999999</v>
      </c>
      <c r="G25" s="22" t="str">
        <f t="shared" si="7"/>
        <v>YES</v>
      </c>
      <c r="H25" s="9">
        <f t="shared" si="8"/>
        <v>83.8709677419359</v>
      </c>
      <c r="I25" s="23">
        <f t="shared" si="9"/>
        <v>-83.8709677419359</v>
      </c>
      <c r="K25" s="5" t="s">
        <v>21</v>
      </c>
      <c r="L25" s="9">
        <f>I24</f>
        <v>-71.244422409519828</v>
      </c>
      <c r="M25" s="9">
        <f>I28</f>
        <v>14.010989010989375</v>
      </c>
      <c r="N25" s="9">
        <f>I31</f>
        <v>31.885631559899313</v>
      </c>
      <c r="O25" s="9">
        <f>I33</f>
        <v>-8.041627246925998</v>
      </c>
      <c r="P25" s="8"/>
      <c r="Q25" s="9">
        <f>I35</f>
        <v>71.268334771354901</v>
      </c>
      <c r="R25" s="9">
        <f t="shared" si="5"/>
        <v>7.5757811371595523</v>
      </c>
      <c r="S25" s="5" t="s">
        <v>21</v>
      </c>
    </row>
    <row r="26" spans="1:19" ht="15.75" thickBot="1" x14ac:dyDescent="0.3">
      <c r="A26" s="28" t="s">
        <v>9</v>
      </c>
      <c r="B26" s="42">
        <f>Datap!$P$4</f>
        <v>0.80020000000000002</v>
      </c>
      <c r="C26" s="17">
        <f>Datap!$C$4</f>
        <v>0.79249999999999998</v>
      </c>
      <c r="D26" s="17">
        <f>Datap!$B$4</f>
        <v>0.80069999999999997</v>
      </c>
      <c r="E26" s="17">
        <f>Datap!$A$4</f>
        <v>0.7873</v>
      </c>
      <c r="F26" s="17">
        <f t="shared" si="6"/>
        <v>0.79400000000000004</v>
      </c>
      <c r="G26" s="22" t="str">
        <f t="shared" si="7"/>
        <v>NO</v>
      </c>
      <c r="H26" s="9">
        <f t="shared" si="8"/>
        <v>-22.388059701493255</v>
      </c>
      <c r="I26" s="23">
        <f t="shared" si="9"/>
        <v>22.388059701493255</v>
      </c>
      <c r="K26" s="13" t="s">
        <v>29</v>
      </c>
      <c r="L26" s="9">
        <f>I25</f>
        <v>-83.8709677419359</v>
      </c>
      <c r="M26" s="9">
        <f>I29</f>
        <v>-58.974358974357962</v>
      </c>
      <c r="N26" s="9">
        <f>I32</f>
        <v>-39.35483870967721</v>
      </c>
      <c r="O26" s="9">
        <f>I34</f>
        <v>-55.294117647060403</v>
      </c>
      <c r="P26" s="9">
        <f>H35</f>
        <v>-71.268334771354901</v>
      </c>
      <c r="Q26" s="9"/>
      <c r="R26" s="16">
        <f t="shared" si="5"/>
        <v>-61.75252356887728</v>
      </c>
      <c r="S26" s="6" t="s">
        <v>29</v>
      </c>
    </row>
    <row r="27" spans="1:19" ht="15.75" thickBot="1" x14ac:dyDescent="0.3">
      <c r="A27" s="28" t="s">
        <v>10</v>
      </c>
      <c r="B27" s="42">
        <f>Datap!$P$6</f>
        <v>1.4513</v>
      </c>
      <c r="C27" s="17">
        <f>Datap!$C$6</f>
        <v>1.4403999999999999</v>
      </c>
      <c r="D27" s="17">
        <f>Datap!$B$6</f>
        <v>1.4601</v>
      </c>
      <c r="E27" s="17">
        <f>Datap!$A$6</f>
        <v>1.4198</v>
      </c>
      <c r="F27" s="17">
        <f t="shared" si="6"/>
        <v>1.4399500000000001</v>
      </c>
      <c r="G27" s="22" t="str">
        <f t="shared" si="7"/>
        <v>YES</v>
      </c>
      <c r="H27" s="9">
        <f t="shared" si="8"/>
        <v>2.2332506203466096</v>
      </c>
      <c r="I27" s="23">
        <f t="shared" si="9"/>
        <v>-2.2332506203466096</v>
      </c>
      <c r="K27" s="13" t="s">
        <v>23</v>
      </c>
      <c r="L27" s="11">
        <f>R21</f>
        <v>82.686233294192093</v>
      </c>
      <c r="M27" s="11">
        <f>R22</f>
        <v>-12.283796805591567</v>
      </c>
      <c r="N27" s="11">
        <f>R23</f>
        <v>-12.071201187381593</v>
      </c>
      <c r="O27" s="11">
        <f>R24</f>
        <v>-4.1544928695012144</v>
      </c>
      <c r="P27" s="11">
        <f>R25</f>
        <v>7.5757811371595523</v>
      </c>
      <c r="Q27" s="11">
        <f>R26</f>
        <v>-61.75252356887728</v>
      </c>
      <c r="R27" s="12"/>
      <c r="S27" s="4" t="s">
        <v>23</v>
      </c>
    </row>
    <row r="28" spans="1:19" x14ac:dyDescent="0.25">
      <c r="A28" s="28" t="s">
        <v>11</v>
      </c>
      <c r="B28" s="42">
        <f>Datap!$P$8</f>
        <v>138.71</v>
      </c>
      <c r="C28" s="17">
        <f>Datap!$C$8</f>
        <v>137.608</v>
      </c>
      <c r="D28" s="17">
        <f>Datap!$B$8</f>
        <v>139.268</v>
      </c>
      <c r="E28" s="17">
        <f>Datap!$A$8</f>
        <v>136.35599999999999</v>
      </c>
      <c r="F28" s="17">
        <f t="shared" si="6"/>
        <v>137.81200000000001</v>
      </c>
      <c r="G28" s="22" t="str">
        <f t="shared" si="7"/>
        <v>NO</v>
      </c>
      <c r="H28" s="9">
        <f t="shared" si="8"/>
        <v>-14.010989010989375</v>
      </c>
      <c r="I28" s="23">
        <f t="shared" si="9"/>
        <v>14.010989010989375</v>
      </c>
    </row>
    <row r="29" spans="1:19" x14ac:dyDescent="0.25">
      <c r="A29" s="28" t="s">
        <v>25</v>
      </c>
      <c r="B29" s="42">
        <f>Datap!$P$10</f>
        <v>1.4608000000000001</v>
      </c>
      <c r="C29" s="17">
        <f>Datap!$C$10</f>
        <v>1.4602999999999999</v>
      </c>
      <c r="D29" s="17">
        <f>Datap!$B$10</f>
        <v>1.4651000000000001</v>
      </c>
      <c r="E29" s="17">
        <f>Datap!$A$10</f>
        <v>1.4417</v>
      </c>
      <c r="F29" s="17">
        <f t="shared" si="6"/>
        <v>1.4534</v>
      </c>
      <c r="G29" s="22" t="str">
        <f t="shared" si="7"/>
        <v>YES</v>
      </c>
      <c r="H29" s="9">
        <f t="shared" si="8"/>
        <v>58.974358974357962</v>
      </c>
      <c r="I29" s="23">
        <f t="shared" si="9"/>
        <v>-58.974358974357962</v>
      </c>
    </row>
    <row r="30" spans="1:19" x14ac:dyDescent="0.25">
      <c r="A30" s="28" t="s">
        <v>12</v>
      </c>
      <c r="B30" s="42">
        <f>Datap!$P$18</f>
        <v>95.256</v>
      </c>
      <c r="C30" s="17">
        <f>Datap!$C$18</f>
        <v>1.8161</v>
      </c>
      <c r="D30" s="17">
        <f>Datap!$B$18</f>
        <v>1.8372999999999999</v>
      </c>
      <c r="E30" s="17">
        <f>Datap!$A$18</f>
        <v>1.7971999999999999</v>
      </c>
      <c r="F30" s="17">
        <f t="shared" si="6"/>
        <v>1.81725</v>
      </c>
      <c r="G30" s="22" t="str">
        <f t="shared" si="7"/>
        <v>NO</v>
      </c>
      <c r="H30" s="9">
        <f t="shared" si="8"/>
        <v>-5.7356608478801858</v>
      </c>
      <c r="I30" s="23">
        <f t="shared" si="9"/>
        <v>5.7356608478801858</v>
      </c>
    </row>
    <row r="31" spans="1:19" x14ac:dyDescent="0.25">
      <c r="A31" s="28" t="s">
        <v>13</v>
      </c>
      <c r="B31" s="42">
        <f>Datap!$P$20</f>
        <v>1.7756000000000001</v>
      </c>
      <c r="C31" s="17">
        <f>Datap!$C$20</f>
        <v>173.53</v>
      </c>
      <c r="D31" s="17">
        <f>Datap!$B$20</f>
        <v>175.352</v>
      </c>
      <c r="E31" s="17">
        <f>Datap!$A$20</f>
        <v>172.589</v>
      </c>
      <c r="F31" s="17">
        <f t="shared" si="6"/>
        <v>173.97050000000002</v>
      </c>
      <c r="G31" s="22" t="str">
        <f t="shared" si="7"/>
        <v>NO</v>
      </c>
      <c r="H31" s="9">
        <f t="shared" si="8"/>
        <v>-31.885631559899313</v>
      </c>
      <c r="I31" s="23">
        <f t="shared" si="9"/>
        <v>31.885631559899313</v>
      </c>
    </row>
    <row r="32" spans="1:19" x14ac:dyDescent="0.25">
      <c r="A32" s="28" t="s">
        <v>26</v>
      </c>
      <c r="B32" s="42">
        <f>Datap!$P$22</f>
        <v>172.376</v>
      </c>
      <c r="C32" s="17">
        <f>Datap!$C$22</f>
        <v>1.8409</v>
      </c>
      <c r="D32" s="17">
        <f>Datap!$B$22</f>
        <v>1.8503000000000001</v>
      </c>
      <c r="E32" s="17">
        <f>Datap!$A$22</f>
        <v>1.8192999999999999</v>
      </c>
      <c r="F32" s="17">
        <f t="shared" si="6"/>
        <v>1.8348</v>
      </c>
      <c r="G32" s="22" t="str">
        <f t="shared" si="7"/>
        <v>YES</v>
      </c>
      <c r="H32" s="9">
        <f t="shared" si="8"/>
        <v>39.35483870967721</v>
      </c>
      <c r="I32" s="23">
        <f t="shared" si="9"/>
        <v>-39.35483870967721</v>
      </c>
    </row>
    <row r="33" spans="1:9" x14ac:dyDescent="0.25">
      <c r="A33" s="28" t="s">
        <v>14</v>
      </c>
      <c r="B33" s="42">
        <f>Datap!$P$14</f>
        <v>1.0187999999999999</v>
      </c>
      <c r="C33" s="17">
        <f>Datap!$C$14</f>
        <v>95.519000000000005</v>
      </c>
      <c r="D33" s="17">
        <f>Datap!$B$14</f>
        <v>96.491</v>
      </c>
      <c r="E33" s="17">
        <f>Datap!$A$14</f>
        <v>94.376999999999995</v>
      </c>
      <c r="F33" s="17">
        <f t="shared" si="6"/>
        <v>95.433999999999997</v>
      </c>
      <c r="G33" s="22" t="str">
        <f t="shared" si="7"/>
        <v>YES</v>
      </c>
      <c r="H33" s="9">
        <f t="shared" si="8"/>
        <v>8.041627246925998</v>
      </c>
      <c r="I33" s="23">
        <f t="shared" si="9"/>
        <v>-8.041627246925998</v>
      </c>
    </row>
    <row r="34" spans="1:9" x14ac:dyDescent="0.25">
      <c r="A34" s="28" t="s">
        <v>28</v>
      </c>
      <c r="B34" s="42">
        <f>Datap!$P$12</f>
        <v>1.4377</v>
      </c>
      <c r="C34" s="17">
        <f>Datap!$C$12</f>
        <v>1.0134000000000001</v>
      </c>
      <c r="D34" s="17">
        <f>Datap!$B$12</f>
        <v>1.0190999999999999</v>
      </c>
      <c r="E34" s="17">
        <f>Datap!$A$12</f>
        <v>0.99360000000000004</v>
      </c>
      <c r="F34" s="17">
        <f t="shared" si="6"/>
        <v>1.0063499999999999</v>
      </c>
      <c r="G34" s="22" t="str">
        <f t="shared" si="7"/>
        <v>YES</v>
      </c>
      <c r="H34" s="9">
        <f t="shared" si="8"/>
        <v>55.294117647060403</v>
      </c>
      <c r="I34" s="23">
        <f t="shared" si="9"/>
        <v>-55.294117647060403</v>
      </c>
    </row>
    <row r="35" spans="1:9" ht="15.75" thickBot="1" x14ac:dyDescent="0.3">
      <c r="A35" s="29" t="s">
        <v>27</v>
      </c>
      <c r="B35" s="43">
        <f>Datap!$P$16</f>
        <v>97.066000000000003</v>
      </c>
      <c r="C35" s="25">
        <f>Datap!$C$16</f>
        <v>94.228999999999999</v>
      </c>
      <c r="D35" s="25">
        <f>Datap!$B$16</f>
        <v>96.213999999999999</v>
      </c>
      <c r="E35" s="25">
        <f>Datap!$A$16</f>
        <v>93.896000000000001</v>
      </c>
      <c r="F35" s="25">
        <f t="shared" si="6"/>
        <v>95.055000000000007</v>
      </c>
      <c r="G35" s="26" t="str">
        <f t="shared" si="7"/>
        <v>NO</v>
      </c>
      <c r="H35" s="10">
        <f t="shared" si="8"/>
        <v>-71.268334771354901</v>
      </c>
      <c r="I35" s="27">
        <f t="shared" si="9"/>
        <v>71.268334771354901</v>
      </c>
    </row>
  </sheetData>
  <conditionalFormatting sqref="L4:R8 R9">
    <cfRule type="cellIs" dxfId="17" priority="11" stopIfTrue="1" operator="lessThan">
      <formula>0</formula>
    </cfRule>
    <cfRule type="cellIs" dxfId="16" priority="12" stopIfTrue="1" operator="greaterThan">
      <formula>0</formula>
    </cfRule>
  </conditionalFormatting>
  <conditionalFormatting sqref="L9:Q9">
    <cfRule type="cellIs" dxfId="15" priority="9" stopIfTrue="1" operator="lessThan">
      <formula>0</formula>
    </cfRule>
    <cfRule type="cellIs" dxfId="14" priority="10" stopIfTrue="1" operator="greaterThan">
      <formula>0</formula>
    </cfRule>
  </conditionalFormatting>
  <conditionalFormatting sqref="L10:R10">
    <cfRule type="cellIs" dxfId="13" priority="7" operator="lessThan">
      <formula>0</formula>
    </cfRule>
    <cfRule type="cellIs" dxfId="12" priority="8" operator="greaterThan">
      <formula>0</formula>
    </cfRule>
  </conditionalFormatting>
  <conditionalFormatting sqref="L21:R25 R26">
    <cfRule type="cellIs" dxfId="11" priority="5" stopIfTrue="1" operator="lessThan">
      <formula>0</formula>
    </cfRule>
    <cfRule type="cellIs" dxfId="10" priority="6" stopIfTrue="1" operator="greaterThan">
      <formula>0</formula>
    </cfRule>
  </conditionalFormatting>
  <conditionalFormatting sqref="L26:Q26">
    <cfRule type="cellIs" dxfId="9" priority="3" stopIfTrue="1" operator="lessThan">
      <formula>0</formula>
    </cfRule>
    <cfRule type="cellIs" dxfId="8" priority="4" stopIfTrue="1" operator="greaterThan">
      <formula>0</formula>
    </cfRule>
  </conditionalFormatting>
  <conditionalFormatting sqref="L27:R27">
    <cfRule type="cellIs" dxfId="7" priority="1" operator="lessThan">
      <formula>0</formula>
    </cfRule>
    <cfRule type="cellIs" dxfId="6" priority="2" operator="greaterThan">
      <formula>0</formula>
    </cfRule>
  </conditionalFormatting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5"/>
  <sheetViews>
    <sheetView workbookViewId="0">
      <selection activeCell="R28" sqref="R28"/>
    </sheetView>
  </sheetViews>
  <sheetFormatPr baseColWidth="10" defaultRowHeight="15" x14ac:dyDescent="0.25"/>
  <cols>
    <col min="1" max="1" width="27.7109375" bestFit="1" customWidth="1"/>
    <col min="2" max="2" width="8.5703125" customWidth="1"/>
    <col min="3" max="3" width="8.5703125" style="31" customWidth="1"/>
    <col min="4" max="5" width="8.5703125" customWidth="1"/>
    <col min="6" max="6" width="8.5703125" style="31" customWidth="1"/>
    <col min="7" max="8" width="8.5703125" customWidth="1"/>
    <col min="9" max="9" width="8.5703125" style="31" customWidth="1"/>
    <col min="10" max="11" width="8.5703125" customWidth="1"/>
    <col min="12" max="12" width="8.5703125" style="31" customWidth="1"/>
    <col min="13" max="14" width="8.5703125" customWidth="1"/>
    <col min="15" max="15" width="8.5703125" style="31" customWidth="1"/>
    <col min="16" max="20" width="8.5703125" style="8" customWidth="1"/>
  </cols>
  <sheetData>
    <row r="1" spans="1:20" x14ac:dyDescent="0.25">
      <c r="A1" t="s">
        <v>30</v>
      </c>
      <c r="T1" s="31"/>
    </row>
    <row r="2" spans="1:20" x14ac:dyDescent="0.25">
      <c r="A2" s="30">
        <v>1.3151999999999999</v>
      </c>
      <c r="B2" s="30">
        <v>1.3444</v>
      </c>
      <c r="C2" s="32">
        <v>1.3180000000000001</v>
      </c>
      <c r="D2" s="30">
        <v>1.3151999999999999</v>
      </c>
      <c r="E2" s="30">
        <v>1.3213999999999999</v>
      </c>
      <c r="F2" s="32">
        <v>1.3180000000000001</v>
      </c>
      <c r="G2" s="30">
        <v>1.3151999999999999</v>
      </c>
      <c r="H2" s="30">
        <v>1.3188</v>
      </c>
      <c r="I2" s="32">
        <v>1.3180000000000001</v>
      </c>
      <c r="J2" s="30">
        <v>1.3176000000000001</v>
      </c>
      <c r="K2" s="30">
        <v>1.3186</v>
      </c>
      <c r="L2" s="32">
        <v>1.3180000000000001</v>
      </c>
      <c r="M2" s="30">
        <v>1.3176000000000001</v>
      </c>
      <c r="N2" s="30">
        <v>1.3186</v>
      </c>
      <c r="O2" s="32">
        <v>1.3180000000000001</v>
      </c>
      <c r="P2" s="17">
        <v>1.3389</v>
      </c>
      <c r="Q2" s="17">
        <v>1.3192999999999999</v>
      </c>
      <c r="R2" s="17">
        <v>1.3166</v>
      </c>
      <c r="S2" s="17">
        <v>1.3186</v>
      </c>
      <c r="T2" s="32">
        <v>1.3186</v>
      </c>
    </row>
    <row r="3" spans="1:20" x14ac:dyDescent="0.25">
      <c r="A3" s="30" t="s">
        <v>31</v>
      </c>
      <c r="B3" s="30"/>
      <c r="C3" s="32"/>
      <c r="D3" s="30"/>
      <c r="E3" s="30"/>
      <c r="F3" s="32"/>
      <c r="G3" s="30"/>
      <c r="H3" s="30"/>
      <c r="I3" s="32"/>
      <c r="J3" s="30"/>
      <c r="K3" s="30"/>
      <c r="L3" s="32"/>
      <c r="M3" s="30"/>
      <c r="N3" s="30"/>
      <c r="O3" s="32"/>
      <c r="P3" s="17"/>
      <c r="Q3" s="17"/>
      <c r="R3" s="17"/>
      <c r="S3" s="17"/>
      <c r="T3" s="32"/>
    </row>
    <row r="4" spans="1:20" x14ac:dyDescent="0.25">
      <c r="A4" s="30">
        <v>0.79149999999999998</v>
      </c>
      <c r="B4" s="30">
        <v>0.80349999999999999</v>
      </c>
      <c r="C4" s="32">
        <v>0.79410000000000003</v>
      </c>
      <c r="D4" s="30">
        <v>0.79369999999999996</v>
      </c>
      <c r="E4" s="30">
        <v>0.79779999999999995</v>
      </c>
      <c r="F4" s="32">
        <v>0.79410000000000003</v>
      </c>
      <c r="G4" s="30">
        <v>0.79369999999999996</v>
      </c>
      <c r="H4" s="30">
        <v>0.79620000000000002</v>
      </c>
      <c r="I4" s="32">
        <v>0.79410000000000003</v>
      </c>
      <c r="J4" s="30">
        <v>0.79369999999999996</v>
      </c>
      <c r="K4" s="30">
        <v>0.79430000000000001</v>
      </c>
      <c r="L4" s="32">
        <v>0.79410000000000003</v>
      </c>
      <c r="M4" s="30">
        <v>0.79369999999999996</v>
      </c>
      <c r="N4" s="30">
        <v>0.79430000000000001</v>
      </c>
      <c r="O4" s="32">
        <v>0.79410000000000003</v>
      </c>
      <c r="P4" s="17">
        <v>0.79279999999999995</v>
      </c>
      <c r="Q4" s="17">
        <v>0.79679999999999995</v>
      </c>
      <c r="R4" s="17">
        <v>0.79590000000000005</v>
      </c>
      <c r="S4" s="17">
        <v>0.79430000000000001</v>
      </c>
      <c r="T4" s="32">
        <v>0.79430000000000001</v>
      </c>
    </row>
    <row r="5" spans="1:20" x14ac:dyDescent="0.25">
      <c r="A5" s="30" t="s">
        <v>32</v>
      </c>
      <c r="B5" s="30"/>
      <c r="C5" s="32"/>
      <c r="D5" s="30"/>
      <c r="E5" s="30"/>
      <c r="F5" s="32"/>
      <c r="G5" s="30"/>
      <c r="H5" s="30"/>
      <c r="I5" s="32"/>
      <c r="J5" s="30"/>
      <c r="K5" s="30"/>
      <c r="L5" s="32"/>
      <c r="M5" s="30"/>
      <c r="N5" s="30"/>
      <c r="O5" s="32"/>
      <c r="P5" s="17"/>
      <c r="Q5" s="17"/>
      <c r="R5" s="17"/>
      <c r="S5" s="17"/>
      <c r="T5" s="32"/>
    </row>
    <row r="6" spans="1:20" x14ac:dyDescent="0.25">
      <c r="A6" s="30">
        <v>1.4095</v>
      </c>
      <c r="B6" s="30">
        <v>1.4477</v>
      </c>
      <c r="C6" s="32">
        <v>1.4105000000000001</v>
      </c>
      <c r="D6" s="30">
        <v>1.4095</v>
      </c>
      <c r="E6" s="30">
        <v>1.4219999999999999</v>
      </c>
      <c r="F6" s="32">
        <v>1.4105000000000001</v>
      </c>
      <c r="G6" s="30">
        <v>1.4095</v>
      </c>
      <c r="H6" s="30">
        <v>1.4156</v>
      </c>
      <c r="I6" s="32">
        <v>1.4105000000000001</v>
      </c>
      <c r="J6" s="30">
        <v>1.4103000000000001</v>
      </c>
      <c r="K6" s="30">
        <v>1.4112</v>
      </c>
      <c r="L6" s="32">
        <v>1.4105000000000001</v>
      </c>
      <c r="M6" s="30">
        <v>1.4103000000000001</v>
      </c>
      <c r="N6" s="30">
        <v>1.4112</v>
      </c>
      <c r="O6" s="32">
        <v>1.4105000000000001</v>
      </c>
      <c r="P6" s="17">
        <v>1.4403999999999999</v>
      </c>
      <c r="Q6" s="17">
        <v>1.4169</v>
      </c>
      <c r="R6" s="17">
        <v>1.4145000000000001</v>
      </c>
      <c r="S6" s="17">
        <v>1.4109</v>
      </c>
      <c r="T6" s="32">
        <v>1.4109</v>
      </c>
    </row>
    <row r="7" spans="1:20" x14ac:dyDescent="0.25">
      <c r="A7" s="30" t="s">
        <v>33</v>
      </c>
      <c r="B7" s="30"/>
      <c r="C7" s="32"/>
      <c r="D7" s="30"/>
      <c r="E7" s="30"/>
      <c r="F7" s="32"/>
      <c r="G7" s="30"/>
      <c r="H7" s="30"/>
      <c r="I7" s="32"/>
      <c r="J7" s="30"/>
      <c r="K7" s="30"/>
      <c r="L7" s="32"/>
      <c r="M7" s="30"/>
      <c r="N7" s="30"/>
      <c r="O7" s="32"/>
      <c r="P7" s="17"/>
      <c r="Q7" s="17"/>
      <c r="R7" s="17"/>
      <c r="S7" s="17"/>
      <c r="T7" s="32"/>
    </row>
    <row r="8" spans="1:20" x14ac:dyDescent="0.25">
      <c r="A8" s="30">
        <v>135.71600000000001</v>
      </c>
      <c r="B8" s="30">
        <v>138.017</v>
      </c>
      <c r="C8" s="32">
        <v>136.91200000000001</v>
      </c>
      <c r="D8" s="30">
        <v>136.79599999999999</v>
      </c>
      <c r="E8" s="30">
        <v>137.65899999999999</v>
      </c>
      <c r="F8" s="32">
        <v>136.91200000000001</v>
      </c>
      <c r="G8" s="30">
        <v>136.79599999999999</v>
      </c>
      <c r="H8" s="30">
        <v>137.13800000000001</v>
      </c>
      <c r="I8" s="32">
        <v>136.91200000000001</v>
      </c>
      <c r="J8" s="30">
        <v>136.84899999999999</v>
      </c>
      <c r="K8" s="30">
        <v>136.95099999999999</v>
      </c>
      <c r="L8" s="32">
        <v>136.91200000000001</v>
      </c>
      <c r="M8" s="30">
        <v>136.84899999999999</v>
      </c>
      <c r="N8" s="30">
        <v>136.95099999999999</v>
      </c>
      <c r="O8" s="32">
        <v>136.91200000000001</v>
      </c>
      <c r="P8" s="17">
        <v>137.61799999999999</v>
      </c>
      <c r="Q8" s="17">
        <v>137.55199999999999</v>
      </c>
      <c r="R8" s="17">
        <v>136.98500000000001</v>
      </c>
      <c r="S8" s="17">
        <v>136.86600000000001</v>
      </c>
      <c r="T8" s="32">
        <v>136.86600000000001</v>
      </c>
    </row>
    <row r="9" spans="1:20" x14ac:dyDescent="0.25">
      <c r="A9" s="30" t="s">
        <v>34</v>
      </c>
      <c r="B9" s="30"/>
      <c r="C9" s="32"/>
      <c r="D9" s="30"/>
      <c r="E9" s="30"/>
      <c r="F9" s="32"/>
      <c r="G9" s="30"/>
      <c r="H9" s="30"/>
      <c r="I9" s="32"/>
      <c r="J9" s="30"/>
      <c r="K9" s="30"/>
      <c r="L9" s="32"/>
      <c r="M9" s="30"/>
      <c r="N9" s="30"/>
      <c r="O9" s="32"/>
      <c r="P9" s="17"/>
      <c r="Q9" s="17"/>
      <c r="R9" s="17"/>
      <c r="S9" s="17"/>
      <c r="T9" s="32"/>
    </row>
    <row r="10" spans="1:20" x14ac:dyDescent="0.25">
      <c r="A10" s="30">
        <v>1.4354</v>
      </c>
      <c r="B10" s="30">
        <v>1.4733000000000001</v>
      </c>
      <c r="C10" s="32">
        <v>1.4357</v>
      </c>
      <c r="D10" s="30">
        <v>1.4354</v>
      </c>
      <c r="E10" s="30">
        <v>1.4500999999999999</v>
      </c>
      <c r="F10" s="32">
        <v>1.4357</v>
      </c>
      <c r="G10" s="30">
        <v>1.4354</v>
      </c>
      <c r="H10" s="30">
        <v>1.4427000000000001</v>
      </c>
      <c r="I10" s="32">
        <v>1.4357</v>
      </c>
      <c r="J10" s="30">
        <v>1.4356</v>
      </c>
      <c r="K10" s="30">
        <v>1.4373</v>
      </c>
      <c r="L10" s="32">
        <v>1.4357</v>
      </c>
      <c r="M10" s="30">
        <v>1.4356</v>
      </c>
      <c r="N10" s="30">
        <v>1.4373</v>
      </c>
      <c r="O10" s="32">
        <v>1.4357</v>
      </c>
      <c r="P10" s="17">
        <v>1.4602999999999999</v>
      </c>
      <c r="Q10" s="17">
        <v>1.4463999999999999</v>
      </c>
      <c r="R10" s="17">
        <v>1.4418</v>
      </c>
      <c r="S10" s="17">
        <v>1.4373</v>
      </c>
      <c r="T10" s="32">
        <v>1.4373</v>
      </c>
    </row>
    <row r="11" spans="1:20" x14ac:dyDescent="0.25">
      <c r="A11" s="30" t="s">
        <v>35</v>
      </c>
      <c r="B11" s="30"/>
      <c r="C11" s="32"/>
      <c r="D11" s="30"/>
      <c r="E11" s="30"/>
      <c r="F11" s="32"/>
      <c r="G11" s="30"/>
      <c r="H11" s="30"/>
      <c r="I11" s="32"/>
      <c r="J11" s="30"/>
      <c r="K11" s="30"/>
      <c r="L11" s="32"/>
      <c r="M11" s="30"/>
      <c r="N11" s="30"/>
      <c r="O11" s="32"/>
      <c r="P11" s="17"/>
      <c r="Q11" s="17"/>
      <c r="R11" s="17"/>
      <c r="S11" s="17"/>
      <c r="T11" s="32"/>
    </row>
    <row r="12" spans="1:20" x14ac:dyDescent="0.25">
      <c r="A12" s="30">
        <v>1.0104</v>
      </c>
      <c r="B12" s="30">
        <v>1.0234000000000001</v>
      </c>
      <c r="C12" s="32">
        <v>1.0178</v>
      </c>
      <c r="D12" s="30">
        <v>1.0159</v>
      </c>
      <c r="E12" s="30">
        <v>1.0225</v>
      </c>
      <c r="F12" s="32">
        <v>1.0178</v>
      </c>
      <c r="G12" s="30">
        <v>1.0159</v>
      </c>
      <c r="H12" s="30">
        <v>1.0204</v>
      </c>
      <c r="I12" s="32">
        <v>1.0178</v>
      </c>
      <c r="J12" s="30">
        <v>1.0176000000000001</v>
      </c>
      <c r="K12" s="30">
        <v>1.0186999999999999</v>
      </c>
      <c r="L12" s="32">
        <v>1.0178</v>
      </c>
      <c r="M12" s="30">
        <v>1.0176000000000001</v>
      </c>
      <c r="N12" s="30">
        <v>1.0186999999999999</v>
      </c>
      <c r="O12" s="32">
        <v>1.0178</v>
      </c>
      <c r="P12" s="17">
        <v>1.0132000000000001</v>
      </c>
      <c r="Q12" s="17">
        <v>1.0201</v>
      </c>
      <c r="R12" s="17">
        <v>1.0187999999999999</v>
      </c>
      <c r="S12" s="17">
        <v>1.0185999999999999</v>
      </c>
      <c r="T12" s="32">
        <v>1.0185999999999999</v>
      </c>
    </row>
    <row r="13" spans="1:20" x14ac:dyDescent="0.25">
      <c r="A13" s="30" t="s">
        <v>36</v>
      </c>
      <c r="B13" s="30"/>
      <c r="C13" s="32"/>
      <c r="D13" s="30"/>
      <c r="E13" s="30"/>
      <c r="F13" s="32"/>
      <c r="G13" s="30"/>
      <c r="H13" s="30"/>
      <c r="I13" s="32"/>
      <c r="J13" s="30"/>
      <c r="K13" s="30"/>
      <c r="L13" s="32"/>
      <c r="M13" s="30"/>
      <c r="N13" s="30"/>
      <c r="O13" s="32"/>
      <c r="P13" s="17"/>
      <c r="Q13" s="17"/>
      <c r="R13" s="17"/>
      <c r="S13" s="17"/>
      <c r="T13" s="32"/>
    </row>
    <row r="14" spans="1:20" x14ac:dyDescent="0.25">
      <c r="A14" s="30">
        <v>93.915999999999997</v>
      </c>
      <c r="B14" s="30">
        <v>97.149000000000001</v>
      </c>
      <c r="C14" s="32">
        <v>97.055000000000007</v>
      </c>
      <c r="D14" s="30">
        <v>96.462000000000003</v>
      </c>
      <c r="E14" s="30">
        <v>97.149000000000001</v>
      </c>
      <c r="F14" s="32">
        <v>97.055000000000007</v>
      </c>
      <c r="G14" s="30">
        <v>96.769000000000005</v>
      </c>
      <c r="H14" s="30">
        <v>97.149000000000001</v>
      </c>
      <c r="I14" s="32">
        <v>97.055000000000007</v>
      </c>
      <c r="J14" s="30">
        <v>96.99</v>
      </c>
      <c r="K14" s="30">
        <v>97.069000000000003</v>
      </c>
      <c r="L14" s="32">
        <v>97.055000000000007</v>
      </c>
      <c r="M14" s="30">
        <v>96.99</v>
      </c>
      <c r="N14" s="30">
        <v>97.069000000000003</v>
      </c>
      <c r="O14" s="32">
        <v>97.055000000000007</v>
      </c>
      <c r="P14" s="17">
        <v>95.521000000000001</v>
      </c>
      <c r="Q14" s="17">
        <v>96.983999999999995</v>
      </c>
      <c r="R14" s="17">
        <v>96.831000000000003</v>
      </c>
      <c r="S14" s="17">
        <v>96.99</v>
      </c>
      <c r="T14" s="32">
        <v>96.99</v>
      </c>
    </row>
    <row r="15" spans="1:20" x14ac:dyDescent="0.25">
      <c r="A15" s="30" t="s">
        <v>37</v>
      </c>
      <c r="B15" s="30"/>
      <c r="C15" s="32"/>
      <c r="D15" s="30"/>
      <c r="E15" s="30"/>
      <c r="F15" s="32"/>
      <c r="G15" s="30"/>
      <c r="H15" s="30"/>
      <c r="I15" s="32"/>
      <c r="J15" s="30"/>
      <c r="K15" s="30"/>
      <c r="L15" s="32"/>
      <c r="M15" s="30"/>
      <c r="N15" s="30"/>
      <c r="O15" s="32"/>
      <c r="P15" s="17"/>
      <c r="Q15" s="17"/>
      <c r="R15" s="17"/>
      <c r="S15" s="17"/>
      <c r="T15" s="32"/>
    </row>
    <row r="16" spans="1:20" x14ac:dyDescent="0.25">
      <c r="A16" s="30">
        <v>92.742000000000004</v>
      </c>
      <c r="B16" s="30">
        <v>95.415999999999997</v>
      </c>
      <c r="C16" s="32">
        <v>95.346000000000004</v>
      </c>
      <c r="D16" s="30">
        <v>94.533000000000001</v>
      </c>
      <c r="E16" s="30">
        <v>95.415999999999997</v>
      </c>
      <c r="F16" s="32">
        <v>95.346000000000004</v>
      </c>
      <c r="G16" s="30">
        <v>94.968999999999994</v>
      </c>
      <c r="H16" s="30">
        <v>95.415999999999997</v>
      </c>
      <c r="I16" s="32">
        <v>95.346000000000004</v>
      </c>
      <c r="J16" s="30">
        <v>95.203999999999994</v>
      </c>
      <c r="K16" s="30">
        <v>95.361000000000004</v>
      </c>
      <c r="L16" s="32">
        <v>95.346000000000004</v>
      </c>
      <c r="M16" s="30">
        <v>95.203999999999994</v>
      </c>
      <c r="N16" s="30">
        <v>95.361000000000004</v>
      </c>
      <c r="O16" s="32">
        <v>95.346000000000004</v>
      </c>
      <c r="P16" s="17">
        <v>94.224000000000004</v>
      </c>
      <c r="Q16" s="17">
        <v>95.039000000000001</v>
      </c>
      <c r="R16" s="17">
        <v>94.994</v>
      </c>
      <c r="S16" s="17">
        <v>95.21</v>
      </c>
      <c r="T16" s="32">
        <v>95.21</v>
      </c>
    </row>
    <row r="17" spans="1:20" x14ac:dyDescent="0.25">
      <c r="A17" s="30" t="s">
        <v>38</v>
      </c>
      <c r="B17" s="30"/>
      <c r="C17" s="32"/>
      <c r="D17" s="30"/>
      <c r="E17" s="30"/>
      <c r="F17" s="32"/>
      <c r="G17" s="30"/>
      <c r="H17" s="30"/>
      <c r="I17" s="32"/>
      <c r="J17" s="30"/>
      <c r="K17" s="30"/>
      <c r="L17" s="32"/>
      <c r="M17" s="30"/>
      <c r="N17" s="30"/>
      <c r="O17" s="32"/>
      <c r="P17" s="17"/>
      <c r="Q17" s="17"/>
      <c r="R17" s="17"/>
      <c r="S17" s="17"/>
      <c r="T17" s="32"/>
    </row>
    <row r="18" spans="1:20" x14ac:dyDescent="0.25">
      <c r="A18" s="30">
        <v>1.7732000000000001</v>
      </c>
      <c r="B18" s="30">
        <v>1.8190999999999999</v>
      </c>
      <c r="C18" s="32">
        <v>1.776</v>
      </c>
      <c r="D18" s="30">
        <v>1.7732000000000001</v>
      </c>
      <c r="E18" s="30">
        <v>1.7867</v>
      </c>
      <c r="F18" s="32">
        <v>1.776</v>
      </c>
      <c r="G18" s="30">
        <v>1.7732000000000001</v>
      </c>
      <c r="H18" s="30">
        <v>1.778</v>
      </c>
      <c r="I18" s="32">
        <v>1.776</v>
      </c>
      <c r="J18" s="30">
        <v>1.7759</v>
      </c>
      <c r="K18" s="30">
        <v>1.7768999999999999</v>
      </c>
      <c r="L18" s="32">
        <v>1.776</v>
      </c>
      <c r="M18" s="30">
        <v>1.7759</v>
      </c>
      <c r="N18" s="30">
        <v>1.7768999999999999</v>
      </c>
      <c r="O18" s="32">
        <v>1.776</v>
      </c>
      <c r="P18" s="17">
        <v>1.8161</v>
      </c>
      <c r="Q18" s="17">
        <v>1.7769999999999999</v>
      </c>
      <c r="R18" s="17">
        <v>1.7766999999999999</v>
      </c>
      <c r="S18" s="17">
        <v>1.7761</v>
      </c>
      <c r="T18" s="32">
        <v>1.7761</v>
      </c>
    </row>
    <row r="19" spans="1:20" x14ac:dyDescent="0.25">
      <c r="A19" s="30" t="s">
        <v>39</v>
      </c>
      <c r="B19" s="30"/>
      <c r="C19" s="32"/>
      <c r="D19" s="30"/>
      <c r="E19" s="30"/>
      <c r="F19" s="32"/>
      <c r="G19" s="30"/>
      <c r="H19" s="30"/>
      <c r="I19" s="32"/>
      <c r="J19" s="30"/>
      <c r="K19" s="30"/>
      <c r="L19" s="32"/>
      <c r="M19" s="30"/>
      <c r="N19" s="30"/>
      <c r="O19" s="32"/>
      <c r="P19" s="17"/>
      <c r="Q19" s="17"/>
      <c r="R19" s="17"/>
      <c r="S19" s="17"/>
      <c r="T19" s="32"/>
    </row>
    <row r="20" spans="1:20" x14ac:dyDescent="0.25">
      <c r="A20" s="30">
        <v>170.41300000000001</v>
      </c>
      <c r="B20" s="30">
        <v>173.833</v>
      </c>
      <c r="C20" s="32">
        <v>172.38900000000001</v>
      </c>
      <c r="D20" s="30">
        <v>172.04900000000001</v>
      </c>
      <c r="E20" s="30">
        <v>172.67500000000001</v>
      </c>
      <c r="F20" s="32">
        <v>172.38900000000001</v>
      </c>
      <c r="G20" s="30">
        <v>172.04900000000001</v>
      </c>
      <c r="H20" s="30">
        <v>172.511</v>
      </c>
      <c r="I20" s="32">
        <v>172.38900000000001</v>
      </c>
      <c r="J20" s="30">
        <v>172.28100000000001</v>
      </c>
      <c r="K20" s="30">
        <v>172.47</v>
      </c>
      <c r="L20" s="32">
        <v>172.38900000000001</v>
      </c>
      <c r="M20" s="30">
        <v>172.28100000000001</v>
      </c>
      <c r="N20" s="30">
        <v>172.47</v>
      </c>
      <c r="O20" s="32">
        <v>172.38900000000001</v>
      </c>
      <c r="P20" s="17">
        <v>173.52500000000001</v>
      </c>
      <c r="Q20" s="17">
        <v>172.565</v>
      </c>
      <c r="R20" s="17">
        <v>172.08500000000001</v>
      </c>
      <c r="S20" s="17">
        <v>172.28700000000001</v>
      </c>
      <c r="T20" s="32">
        <v>172.28700000000001</v>
      </c>
    </row>
    <row r="21" spans="1:20" x14ac:dyDescent="0.25">
      <c r="A21" s="30" t="s">
        <v>40</v>
      </c>
      <c r="B21" s="30"/>
      <c r="C21" s="32"/>
      <c r="D21" s="30"/>
      <c r="E21" s="30"/>
      <c r="F21" s="32"/>
      <c r="G21" s="30"/>
      <c r="H21" s="30"/>
      <c r="I21" s="32"/>
      <c r="J21" s="30"/>
      <c r="K21" s="30"/>
      <c r="L21" s="32"/>
      <c r="M21" s="30"/>
      <c r="N21" s="30"/>
      <c r="O21" s="32"/>
      <c r="P21" s="17"/>
      <c r="Q21" s="17"/>
      <c r="R21" s="17"/>
      <c r="S21" s="17"/>
      <c r="T21" s="32"/>
    </row>
    <row r="22" spans="1:20" x14ac:dyDescent="0.25">
      <c r="A22" s="30">
        <v>1.8036000000000001</v>
      </c>
      <c r="B22" s="30">
        <v>1.8517999999999999</v>
      </c>
      <c r="C22" s="32">
        <v>1.8078000000000001</v>
      </c>
      <c r="D22" s="30">
        <v>1.8036000000000001</v>
      </c>
      <c r="E22" s="30">
        <v>1.8221000000000001</v>
      </c>
      <c r="F22" s="32">
        <v>1.8078000000000001</v>
      </c>
      <c r="G22" s="30">
        <v>1.8036000000000001</v>
      </c>
      <c r="H22" s="30">
        <v>1.8124</v>
      </c>
      <c r="I22" s="32">
        <v>1.8078000000000001</v>
      </c>
      <c r="J22" s="30">
        <v>1.8077000000000001</v>
      </c>
      <c r="K22" s="30">
        <v>1.8099000000000001</v>
      </c>
      <c r="L22" s="32">
        <v>1.8078000000000001</v>
      </c>
      <c r="M22" s="30">
        <v>1.8077000000000001</v>
      </c>
      <c r="N22" s="30">
        <v>1.8099000000000001</v>
      </c>
      <c r="O22" s="32">
        <v>1.8078000000000001</v>
      </c>
      <c r="P22" s="17">
        <v>1.841</v>
      </c>
      <c r="Q22" s="17">
        <v>1.8148</v>
      </c>
      <c r="R22" s="17">
        <v>1.8109999999999999</v>
      </c>
      <c r="S22" s="17">
        <v>1.8093999999999999</v>
      </c>
      <c r="T22" s="32">
        <v>1.8093999999999999</v>
      </c>
    </row>
    <row r="23" spans="1:20" x14ac:dyDescent="0.25">
      <c r="A23" s="30" t="s">
        <v>41</v>
      </c>
      <c r="B23" s="30"/>
      <c r="C23" s="32"/>
      <c r="D23" s="30"/>
      <c r="E23" s="30"/>
      <c r="F23" s="32"/>
      <c r="G23" s="30"/>
      <c r="H23" s="30"/>
      <c r="I23" s="32"/>
      <c r="J23" s="30"/>
      <c r="K23" s="30"/>
      <c r="L23" s="32"/>
      <c r="M23" s="30"/>
      <c r="N23" s="30"/>
      <c r="O23" s="32"/>
      <c r="P23" s="17"/>
      <c r="Q23" s="17"/>
      <c r="R23" s="17"/>
      <c r="S23" s="17"/>
      <c r="T23" s="32"/>
    </row>
    <row r="24" spans="1:20" x14ac:dyDescent="0.25">
      <c r="A24" s="30">
        <v>1.6534</v>
      </c>
      <c r="B24" s="30">
        <v>1.6892</v>
      </c>
      <c r="C24" s="32">
        <v>1.6595</v>
      </c>
      <c r="D24" s="30">
        <v>1.6534</v>
      </c>
      <c r="E24" s="30">
        <v>1.6604000000000001</v>
      </c>
      <c r="F24" s="32">
        <v>1.6595</v>
      </c>
      <c r="G24" s="30">
        <v>1.6536</v>
      </c>
      <c r="H24" s="30">
        <v>1.6604000000000001</v>
      </c>
      <c r="I24" s="32">
        <v>1.6595</v>
      </c>
      <c r="J24" s="30">
        <v>1.6594</v>
      </c>
      <c r="K24" s="30">
        <v>1.6603000000000001</v>
      </c>
      <c r="L24" s="32">
        <v>1.6595</v>
      </c>
      <c r="M24" s="30">
        <v>1.6594</v>
      </c>
      <c r="N24" s="30">
        <v>1.6603000000000001</v>
      </c>
      <c r="O24" s="32">
        <v>1.6595</v>
      </c>
      <c r="P24" s="17">
        <v>1.6881999999999999</v>
      </c>
      <c r="Q24" s="17">
        <v>1.6554</v>
      </c>
      <c r="R24" s="17">
        <v>1.6537999999999999</v>
      </c>
      <c r="S24" s="17">
        <v>1.6598999999999999</v>
      </c>
      <c r="T24" s="32">
        <v>1.6598999999999999</v>
      </c>
    </row>
    <row r="25" spans="1:20" x14ac:dyDescent="0.25">
      <c r="A25" s="30" t="s">
        <v>42</v>
      </c>
      <c r="B25" s="30"/>
      <c r="C25" s="32"/>
      <c r="D25" s="30"/>
      <c r="E25" s="30"/>
      <c r="F25" s="32"/>
      <c r="G25" s="30"/>
      <c r="H25" s="30"/>
      <c r="I25" s="32"/>
      <c r="J25" s="30"/>
      <c r="K25" s="30"/>
      <c r="L25" s="32"/>
      <c r="M25" s="30"/>
      <c r="N25" s="30"/>
      <c r="O25" s="32"/>
      <c r="P25" s="17"/>
      <c r="Q25" s="17"/>
      <c r="R25" s="17"/>
      <c r="S25" s="17"/>
      <c r="T25" s="32"/>
    </row>
    <row r="26" spans="1:20" x14ac:dyDescent="0.25">
      <c r="A26" s="30">
        <v>0.92349999999999999</v>
      </c>
      <c r="B26" s="30">
        <v>0.93730000000000002</v>
      </c>
      <c r="C26" s="32">
        <v>0.93430000000000002</v>
      </c>
      <c r="D26" s="30">
        <v>0.92710000000000004</v>
      </c>
      <c r="E26" s="30">
        <v>0.93500000000000005</v>
      </c>
      <c r="F26" s="32">
        <v>0.93430000000000002</v>
      </c>
      <c r="G26" s="30">
        <v>0.92989999999999995</v>
      </c>
      <c r="H26" s="30">
        <v>0.93500000000000005</v>
      </c>
      <c r="I26" s="32">
        <v>0.93430000000000002</v>
      </c>
      <c r="J26" s="30">
        <v>0.93410000000000004</v>
      </c>
      <c r="K26" s="30">
        <v>0.9345</v>
      </c>
      <c r="L26" s="32">
        <v>0.93430000000000002</v>
      </c>
      <c r="M26" s="30">
        <v>0.93410000000000004</v>
      </c>
      <c r="N26" s="30">
        <v>0.9345</v>
      </c>
      <c r="O26" s="32">
        <v>0.93430000000000002</v>
      </c>
      <c r="P26" s="17">
        <v>0.9294</v>
      </c>
      <c r="Q26" s="17">
        <v>0.93030000000000002</v>
      </c>
      <c r="R26" s="17">
        <v>0.93049999999999999</v>
      </c>
      <c r="S26" s="17">
        <v>0.93440000000000001</v>
      </c>
      <c r="T26" s="32">
        <v>0.93440000000000001</v>
      </c>
    </row>
    <row r="27" spans="1:20" x14ac:dyDescent="0.25">
      <c r="A27" s="30" t="s">
        <v>43</v>
      </c>
      <c r="B27" s="30"/>
      <c r="C27" s="32"/>
      <c r="D27" s="30"/>
      <c r="E27" s="30"/>
      <c r="F27" s="32"/>
      <c r="G27" s="30"/>
      <c r="H27" s="30"/>
      <c r="I27" s="32"/>
      <c r="J27" s="30"/>
      <c r="K27" s="30"/>
      <c r="L27" s="32"/>
      <c r="M27" s="30"/>
      <c r="N27" s="30"/>
      <c r="O27" s="32"/>
      <c r="P27" s="17"/>
      <c r="Q27" s="17"/>
      <c r="R27" s="17"/>
      <c r="S27" s="17"/>
      <c r="T27" s="32"/>
    </row>
    <row r="28" spans="1:20" x14ac:dyDescent="0.25">
      <c r="A28" s="30">
        <v>101.501</v>
      </c>
      <c r="B28" s="30">
        <v>104.264</v>
      </c>
      <c r="C28" s="32">
        <v>103.874</v>
      </c>
      <c r="D28" s="30">
        <v>103.738</v>
      </c>
      <c r="E28" s="30">
        <v>104.264</v>
      </c>
      <c r="F28" s="32">
        <v>103.874</v>
      </c>
      <c r="G28" s="30">
        <v>103.77</v>
      </c>
      <c r="H28" s="30">
        <v>104.151</v>
      </c>
      <c r="I28" s="32">
        <v>103.874</v>
      </c>
      <c r="J28" s="30">
        <v>103.788</v>
      </c>
      <c r="K28" s="30">
        <v>103.883</v>
      </c>
      <c r="L28" s="32">
        <v>103.874</v>
      </c>
      <c r="M28" s="30">
        <v>103.788</v>
      </c>
      <c r="N28" s="30">
        <v>103.883</v>
      </c>
      <c r="O28" s="32">
        <v>103.874</v>
      </c>
      <c r="P28" s="17">
        <v>102.78400000000001</v>
      </c>
      <c r="Q28" s="17">
        <v>104.25</v>
      </c>
      <c r="R28" s="17">
        <v>104.05</v>
      </c>
      <c r="S28" s="17">
        <v>103.789</v>
      </c>
      <c r="T28" s="32">
        <v>103.789</v>
      </c>
    </row>
    <row r="29" spans="1:20" x14ac:dyDescent="0.25">
      <c r="A29" s="30" t="s">
        <v>44</v>
      </c>
      <c r="B29" s="30"/>
      <c r="C29" s="32"/>
      <c r="D29" s="30"/>
      <c r="E29" s="30"/>
      <c r="F29" s="32"/>
      <c r="G29" s="30"/>
      <c r="H29" s="30"/>
      <c r="I29" s="32"/>
      <c r="J29" s="30"/>
      <c r="K29" s="30"/>
      <c r="L29" s="32"/>
      <c r="M29" s="30"/>
      <c r="N29" s="30"/>
      <c r="O29" s="32"/>
      <c r="P29" s="17"/>
      <c r="Q29" s="17"/>
      <c r="R29" s="17"/>
      <c r="S29" s="17"/>
      <c r="T29" s="32"/>
    </row>
    <row r="30" spans="1:20" x14ac:dyDescent="0.25">
      <c r="A30" s="30">
        <v>1.0859000000000001</v>
      </c>
      <c r="B30" s="30">
        <v>1.0996999999999999</v>
      </c>
      <c r="C30" s="32">
        <v>1.0892999999999999</v>
      </c>
      <c r="D30" s="30">
        <v>1.0888</v>
      </c>
      <c r="E30" s="30">
        <v>1.0996999999999999</v>
      </c>
      <c r="F30" s="32">
        <v>1.0892999999999999</v>
      </c>
      <c r="G30" s="30">
        <v>1.0888</v>
      </c>
      <c r="H30" s="30">
        <v>1.0954999999999999</v>
      </c>
      <c r="I30" s="32">
        <v>1.0892999999999999</v>
      </c>
      <c r="J30" s="30">
        <v>1.0891</v>
      </c>
      <c r="K30" s="30">
        <v>1.0901000000000001</v>
      </c>
      <c r="L30" s="32">
        <v>1.0892999999999999</v>
      </c>
      <c r="M30" s="30">
        <v>1.0891</v>
      </c>
      <c r="N30" s="30">
        <v>1.0901000000000001</v>
      </c>
      <c r="O30" s="32">
        <v>1.0892999999999999</v>
      </c>
      <c r="P30" s="17">
        <v>1.0904</v>
      </c>
      <c r="Q30" s="17">
        <v>1.0961000000000001</v>
      </c>
      <c r="R30" s="17">
        <v>1.0949</v>
      </c>
      <c r="S30" s="17">
        <v>1.0899000000000001</v>
      </c>
      <c r="T30" s="32">
        <v>1.0899000000000001</v>
      </c>
    </row>
    <row r="31" spans="1:20" x14ac:dyDescent="0.25">
      <c r="M31" t="s">
        <v>48</v>
      </c>
      <c r="N31" t="s">
        <v>49</v>
      </c>
      <c r="O31" s="31" t="s">
        <v>50</v>
      </c>
    </row>
    <row r="32" spans="1:20" x14ac:dyDescent="0.25">
      <c r="B32" t="s">
        <v>47</v>
      </c>
      <c r="E32" t="s">
        <v>46</v>
      </c>
      <c r="H32" t="s">
        <v>45</v>
      </c>
      <c r="K32">
        <v>4</v>
      </c>
      <c r="N32">
        <v>1</v>
      </c>
      <c r="P32" t="s">
        <v>47</v>
      </c>
      <c r="Q32" t="s">
        <v>46</v>
      </c>
      <c r="R32" t="s">
        <v>45</v>
      </c>
      <c r="S32">
        <v>4</v>
      </c>
      <c r="T32">
        <v>1</v>
      </c>
    </row>
    <row r="33" spans="1:20" x14ac:dyDescent="0.25">
      <c r="A33" t="s">
        <v>58</v>
      </c>
      <c r="B33" t="s">
        <v>59</v>
      </c>
      <c r="C33" s="31" t="s">
        <v>57</v>
      </c>
      <c r="D33" t="s">
        <v>58</v>
      </c>
      <c r="E33" t="s">
        <v>59</v>
      </c>
      <c r="F33" s="31" t="s">
        <v>57</v>
      </c>
      <c r="G33" t="s">
        <v>58</v>
      </c>
      <c r="H33" t="s">
        <v>59</v>
      </c>
      <c r="I33" s="31" t="s">
        <v>57</v>
      </c>
      <c r="J33" t="s">
        <v>58</v>
      </c>
      <c r="K33" t="s">
        <v>59</v>
      </c>
      <c r="L33" s="31" t="s">
        <v>57</v>
      </c>
      <c r="M33" t="s">
        <v>58</v>
      </c>
      <c r="N33" t="s">
        <v>59</v>
      </c>
      <c r="O33" s="31" t="s">
        <v>57</v>
      </c>
      <c r="P33" s="37" t="s">
        <v>60</v>
      </c>
      <c r="Q33" s="37" t="s">
        <v>60</v>
      </c>
      <c r="R33" s="37" t="s">
        <v>60</v>
      </c>
      <c r="S33" s="37" t="s">
        <v>60</v>
      </c>
      <c r="T33" s="37" t="s">
        <v>60</v>
      </c>
    </row>
    <row r="35" spans="1:20" x14ac:dyDescent="0.25">
      <c r="A35" t="s">
        <v>65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5"/>
  <sheetViews>
    <sheetView workbookViewId="0">
      <selection activeCell="P18" sqref="P18"/>
    </sheetView>
  </sheetViews>
  <sheetFormatPr baseColWidth="10" defaultRowHeight="15" x14ac:dyDescent="0.25"/>
  <cols>
    <col min="1" max="1" width="27.7109375" bestFit="1" customWidth="1"/>
    <col min="2" max="2" width="8" customWidth="1"/>
    <col min="3" max="3" width="8" style="31" customWidth="1"/>
    <col min="4" max="5" width="8" customWidth="1"/>
    <col min="6" max="6" width="8" style="31" customWidth="1"/>
    <col min="7" max="8" width="8" customWidth="1"/>
    <col min="9" max="9" width="8" style="31" customWidth="1"/>
    <col min="10" max="11" width="8" customWidth="1"/>
    <col min="12" max="12" width="8" style="31" customWidth="1"/>
    <col min="13" max="14" width="8" customWidth="1"/>
    <col min="15" max="15" width="8" style="31" customWidth="1"/>
    <col min="16" max="20" width="8" customWidth="1"/>
  </cols>
  <sheetData>
    <row r="1" spans="1:20" x14ac:dyDescent="0.25">
      <c r="A1"/>
    </row>
    <row r="2" spans="1:20" x14ac:dyDescent="0.25">
      <c r="A2"/>
      <c r="B2"/>
      <c r="C2" s="31"/>
      <c r="D2"/>
      <c r="E2"/>
      <c r="F2" s="31"/>
      <c r="G2"/>
      <c r="H2"/>
      <c r="I2" s="31"/>
      <c r="J2"/>
      <c r="K2"/>
      <c r="L2" s="31"/>
      <c r="M2"/>
      <c r="N2"/>
      <c r="O2" s="31"/>
      <c r="P2"/>
      <c r="Q2"/>
      <c r="R2"/>
      <c r="S2"/>
      <c r="T2"/>
    </row>
    <row r="3" spans="1:20" x14ac:dyDescent="0.25">
      <c r="A3"/>
    </row>
    <row r="4" spans="1:20" x14ac:dyDescent="0.25">
      <c r="A4"/>
      <c r="B4"/>
      <c r="C4" s="31"/>
      <c r="D4"/>
      <c r="E4"/>
      <c r="F4" s="31"/>
      <c r="G4"/>
      <c r="H4"/>
      <c r="I4" s="31"/>
      <c r="J4"/>
      <c r="K4"/>
      <c r="L4" s="31"/>
      <c r="M4"/>
      <c r="N4"/>
      <c r="O4" s="31"/>
      <c r="P4"/>
      <c r="Q4"/>
      <c r="R4"/>
      <c r="S4"/>
      <c r="T4"/>
    </row>
    <row r="5" spans="1:20" x14ac:dyDescent="0.25">
      <c r="A5"/>
    </row>
    <row r="6" spans="1:20" x14ac:dyDescent="0.25">
      <c r="A6"/>
      <c r="B6"/>
      <c r="C6" s="31"/>
      <c r="D6"/>
      <c r="E6"/>
      <c r="F6" s="31"/>
      <c r="G6"/>
      <c r="H6"/>
      <c r="I6" s="31"/>
      <c r="J6"/>
      <c r="K6"/>
      <c r="L6" s="31"/>
      <c r="M6"/>
      <c r="N6"/>
      <c r="O6" s="31"/>
      <c r="P6"/>
      <c r="Q6"/>
      <c r="R6"/>
      <c r="S6"/>
      <c r="T6"/>
    </row>
    <row r="7" spans="1:20" x14ac:dyDescent="0.25">
      <c r="A7"/>
    </row>
    <row r="8" spans="1:20" x14ac:dyDescent="0.25">
      <c r="A8"/>
      <c r="B8"/>
      <c r="C8" s="31"/>
      <c r="D8"/>
      <c r="E8"/>
      <c r="F8" s="31"/>
      <c r="G8"/>
      <c r="H8"/>
      <c r="I8" s="31"/>
      <c r="J8"/>
      <c r="K8"/>
      <c r="L8" s="31"/>
      <c r="M8"/>
      <c r="N8"/>
      <c r="O8" s="31"/>
      <c r="P8"/>
      <c r="Q8"/>
      <c r="R8"/>
      <c r="S8"/>
      <c r="T8"/>
    </row>
    <row r="9" spans="1:20" x14ac:dyDescent="0.25">
      <c r="A9"/>
    </row>
    <row r="10" spans="1:20" x14ac:dyDescent="0.25">
      <c r="A10"/>
      <c r="B10"/>
      <c r="C10" s="31"/>
      <c r="D10"/>
      <c r="E10"/>
      <c r="F10" s="31"/>
      <c r="G10"/>
      <c r="H10"/>
      <c r="I10" s="31"/>
      <c r="J10"/>
      <c r="K10"/>
      <c r="L10" s="31"/>
      <c r="M10"/>
      <c r="N10"/>
      <c r="O10" s="31"/>
      <c r="P10"/>
      <c r="Q10"/>
      <c r="R10"/>
      <c r="S10"/>
      <c r="T10"/>
    </row>
    <row r="11" spans="1:20" x14ac:dyDescent="0.25">
      <c r="A11"/>
    </row>
    <row r="12" spans="1:20" x14ac:dyDescent="0.25">
      <c r="A12"/>
      <c r="B12"/>
      <c r="C12" s="31"/>
      <c r="D12"/>
      <c r="E12"/>
      <c r="F12" s="31"/>
      <c r="G12"/>
      <c r="H12"/>
      <c r="I12" s="31"/>
      <c r="J12"/>
      <c r="K12"/>
      <c r="L12" s="31"/>
      <c r="M12"/>
      <c r="N12"/>
      <c r="O12" s="31"/>
      <c r="P12"/>
      <c r="Q12"/>
      <c r="R12"/>
      <c r="S12"/>
      <c r="T12"/>
    </row>
    <row r="13" spans="1:20" x14ac:dyDescent="0.25">
      <c r="A13"/>
    </row>
    <row r="14" spans="1:20" x14ac:dyDescent="0.25">
      <c r="A14"/>
      <c r="B14"/>
      <c r="C14" s="31"/>
      <c r="D14"/>
      <c r="E14"/>
      <c r="F14" s="31"/>
      <c r="G14"/>
      <c r="H14"/>
      <c r="I14" s="31"/>
      <c r="J14"/>
      <c r="K14"/>
      <c r="L14" s="31"/>
      <c r="M14"/>
      <c r="N14"/>
      <c r="O14" s="31"/>
      <c r="P14"/>
      <c r="Q14"/>
      <c r="R14"/>
      <c r="S14"/>
      <c r="T14"/>
    </row>
    <row r="15" spans="1:20" x14ac:dyDescent="0.25">
      <c r="A15"/>
    </row>
    <row r="16" spans="1:20" x14ac:dyDescent="0.25">
      <c r="A16"/>
      <c r="B16"/>
      <c r="C16" s="31"/>
      <c r="D16"/>
      <c r="E16"/>
      <c r="F16" s="31"/>
      <c r="G16"/>
      <c r="H16"/>
      <c r="I16" s="31"/>
      <c r="J16"/>
      <c r="K16"/>
      <c r="L16" s="31"/>
      <c r="M16"/>
      <c r="N16"/>
      <c r="O16" s="31"/>
      <c r="P16"/>
      <c r="Q16"/>
      <c r="R16"/>
      <c r="S16"/>
      <c r="T16"/>
    </row>
    <row r="17" spans="1:20" x14ac:dyDescent="0.25">
      <c r="A17"/>
    </row>
    <row r="18" spans="1:20" x14ac:dyDescent="0.25">
      <c r="A18"/>
      <c r="B18"/>
      <c r="C18" s="31"/>
      <c r="D18"/>
      <c r="E18"/>
      <c r="F18" s="31"/>
      <c r="G18"/>
      <c r="H18"/>
      <c r="I18" s="31"/>
      <c r="J18"/>
      <c r="K18"/>
      <c r="L18" s="31"/>
      <c r="M18"/>
      <c r="N18"/>
      <c r="O18" s="31"/>
      <c r="P18"/>
      <c r="Q18"/>
      <c r="R18"/>
      <c r="S18"/>
      <c r="T18"/>
    </row>
    <row r="19" spans="1:20" x14ac:dyDescent="0.25">
      <c r="A19"/>
    </row>
    <row r="20" spans="1:20" x14ac:dyDescent="0.25">
      <c r="A20"/>
      <c r="B20"/>
      <c r="C20" s="31"/>
      <c r="D20"/>
      <c r="E20"/>
      <c r="F20" s="31"/>
      <c r="G20"/>
      <c r="H20"/>
      <c r="I20" s="31"/>
      <c r="J20"/>
      <c r="K20"/>
      <c r="L20" s="31"/>
      <c r="M20"/>
      <c r="N20"/>
      <c r="O20" s="31"/>
      <c r="P20"/>
      <c r="Q20"/>
      <c r="R20"/>
      <c r="S20"/>
      <c r="T20"/>
    </row>
    <row r="21" spans="1:20" x14ac:dyDescent="0.25">
      <c r="A21"/>
    </row>
    <row r="22" spans="1:20" x14ac:dyDescent="0.25">
      <c r="A22"/>
      <c r="B22"/>
      <c r="C22" s="31"/>
      <c r="D22"/>
      <c r="E22"/>
      <c r="F22" s="31"/>
      <c r="G22"/>
      <c r="H22"/>
      <c r="I22" s="31"/>
      <c r="J22"/>
      <c r="K22"/>
      <c r="L22" s="31"/>
      <c r="M22"/>
      <c r="N22"/>
      <c r="O22" s="31"/>
      <c r="P22"/>
      <c r="Q22"/>
      <c r="R22"/>
      <c r="S22"/>
      <c r="T22"/>
    </row>
    <row r="23" spans="1:20" x14ac:dyDescent="0.25">
      <c r="A23"/>
    </row>
    <row r="24" spans="1:20" x14ac:dyDescent="0.25">
      <c r="A24"/>
      <c r="B24"/>
      <c r="C24" s="31"/>
      <c r="D24"/>
      <c r="E24"/>
      <c r="F24" s="31"/>
      <c r="G24"/>
      <c r="H24"/>
      <c r="I24" s="31"/>
      <c r="J24"/>
      <c r="K24"/>
      <c r="L24" s="31"/>
      <c r="M24"/>
      <c r="N24"/>
      <c r="O24" s="31"/>
      <c r="P24"/>
      <c r="Q24"/>
      <c r="R24"/>
      <c r="S24"/>
      <c r="T24"/>
    </row>
    <row r="25" spans="1:20" x14ac:dyDescent="0.25">
      <c r="A25"/>
    </row>
    <row r="26" spans="1:20" x14ac:dyDescent="0.25">
      <c r="A26"/>
      <c r="B26"/>
      <c r="C26" s="31"/>
      <c r="D26"/>
      <c r="E26"/>
      <c r="F26" s="31"/>
      <c r="G26"/>
      <c r="H26"/>
      <c r="I26" s="31"/>
      <c r="J26"/>
      <c r="K26"/>
      <c r="L26" s="31"/>
      <c r="M26"/>
      <c r="N26"/>
      <c r="O26" s="31"/>
      <c r="P26"/>
      <c r="Q26"/>
      <c r="R26"/>
      <c r="S26"/>
      <c r="T26"/>
    </row>
    <row r="27" spans="1:20" x14ac:dyDescent="0.25">
      <c r="A27"/>
    </row>
    <row r="28" spans="1:20" x14ac:dyDescent="0.25">
      <c r="A28"/>
      <c r="B28"/>
      <c r="C28" s="31"/>
      <c r="D28"/>
      <c r="E28"/>
      <c r="F28" s="31"/>
      <c r="G28"/>
      <c r="H28"/>
      <c r="I28" s="31"/>
      <c r="J28"/>
      <c r="K28"/>
      <c r="L28" s="31"/>
      <c r="M28"/>
      <c r="N28"/>
      <c r="O28" s="31"/>
      <c r="P28"/>
      <c r="Q28"/>
      <c r="R28"/>
      <c r="S28"/>
      <c r="T28"/>
    </row>
    <row r="29" spans="1:20" x14ac:dyDescent="0.25">
      <c r="A29"/>
    </row>
    <row r="30" spans="1:20" x14ac:dyDescent="0.25">
      <c r="A30"/>
      <c r="B30"/>
      <c r="C30" s="31"/>
      <c r="D30"/>
      <c r="E30"/>
      <c r="F30" s="31"/>
      <c r="G30"/>
      <c r="H30"/>
      <c r="I30" s="31"/>
      <c r="J30"/>
      <c r="K30"/>
      <c r="L30" s="31"/>
      <c r="M30"/>
      <c r="N30"/>
      <c r="O30" s="31"/>
      <c r="P30"/>
      <c r="Q30"/>
      <c r="R30"/>
      <c r="S30"/>
      <c r="T30"/>
    </row>
    <row r="32" spans="1:20" x14ac:dyDescent="0.25">
      <c r="B32" t="s">
        <v>47</v>
      </c>
      <c r="E32" t="s">
        <v>46</v>
      </c>
      <c r="H32" t="s">
        <v>45</v>
      </c>
      <c r="K32">
        <v>4</v>
      </c>
      <c r="N32">
        <v>1</v>
      </c>
      <c r="P32" t="s">
        <v>47</v>
      </c>
      <c r="Q32" t="s">
        <v>46</v>
      </c>
      <c r="R32" t="s">
        <v>45</v>
      </c>
      <c r="S32">
        <v>4</v>
      </c>
      <c r="T32">
        <v>1</v>
      </c>
    </row>
    <row r="33" spans="1:20" x14ac:dyDescent="0.25">
      <c r="A33" t="s">
        <v>58</v>
      </c>
      <c r="B33" t="s">
        <v>59</v>
      </c>
      <c r="C33" s="31" t="s">
        <v>57</v>
      </c>
      <c r="D33" t="s">
        <v>58</v>
      </c>
      <c r="E33" t="s">
        <v>59</v>
      </c>
      <c r="F33" s="31" t="s">
        <v>57</v>
      </c>
      <c r="G33" t="s">
        <v>58</v>
      </c>
      <c r="H33" t="s">
        <v>59</v>
      </c>
      <c r="I33" s="31" t="s">
        <v>57</v>
      </c>
      <c r="J33" t="s">
        <v>58</v>
      </c>
      <c r="K33" t="s">
        <v>59</v>
      </c>
      <c r="L33" s="31" t="s">
        <v>57</v>
      </c>
      <c r="M33" t="s">
        <v>58</v>
      </c>
      <c r="N33" t="s">
        <v>59</v>
      </c>
      <c r="O33" s="31" t="s">
        <v>57</v>
      </c>
      <c r="P33" s="37" t="s">
        <v>60</v>
      </c>
      <c r="Q33" s="37" t="s">
        <v>60</v>
      </c>
      <c r="R33" s="37" t="s">
        <v>60</v>
      </c>
      <c r="S33" s="37" t="s">
        <v>60</v>
      </c>
      <c r="T33" s="37" t="s">
        <v>60</v>
      </c>
    </row>
    <row r="35" spans="1:20" x14ac:dyDescent="0.25">
      <c r="A35" t="s">
        <v>66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57"/>
  <sheetViews>
    <sheetView topLeftCell="A16" workbookViewId="0">
      <selection activeCell="R33" sqref="R33"/>
    </sheetView>
  </sheetViews>
  <sheetFormatPr baseColWidth="10" defaultRowHeight="15" x14ac:dyDescent="0.25"/>
  <cols>
    <col min="8" max="8" width="11.5703125" style="48"/>
    <col min="9" max="9" width="4.42578125" style="48" customWidth="1"/>
    <col min="10" max="23" width="11.5703125" style="48"/>
  </cols>
  <sheetData>
    <row r="1" spans="1:7" ht="15.75" thickBot="1" x14ac:dyDescent="0.3">
      <c r="A1" s="4" t="s">
        <v>63</v>
      </c>
      <c r="B1" s="3" t="s">
        <v>51</v>
      </c>
      <c r="C1" s="3" t="s">
        <v>52</v>
      </c>
      <c r="D1" s="3" t="s">
        <v>53</v>
      </c>
      <c r="E1" s="3" t="s">
        <v>54</v>
      </c>
      <c r="F1" s="35" t="s">
        <v>55</v>
      </c>
      <c r="G1" s="36" t="s">
        <v>56</v>
      </c>
    </row>
    <row r="2" spans="1:7" x14ac:dyDescent="0.25">
      <c r="A2" s="5" t="s">
        <v>17</v>
      </c>
      <c r="B2" s="9">
        <f>'running 1h'!R4</f>
        <v>23.766081871345939</v>
      </c>
      <c r="C2" s="9">
        <f>'running 4h'!R4</f>
        <v>23.766081871345939</v>
      </c>
      <c r="D2" s="9">
        <f>'running daily'!R4</f>
        <v>-66.423087588152285</v>
      </c>
      <c r="E2" s="9">
        <f>'running weekly'!R4</f>
        <v>-57.200287480193253</v>
      </c>
      <c r="F2" s="23">
        <f>'running monthly'!R4</f>
        <v>22.25342882482877</v>
      </c>
      <c r="G2" s="23">
        <f>'RT daily'!R4</f>
        <v>-65.77451020010794</v>
      </c>
    </row>
    <row r="3" spans="1:7" x14ac:dyDescent="0.25">
      <c r="A3" s="5" t="s">
        <v>18</v>
      </c>
      <c r="B3" s="9">
        <f>'running 1h'!R5</f>
        <v>-21.385620915025346</v>
      </c>
      <c r="C3" s="9">
        <f>'running 4h'!R5</f>
        <v>-21.385620915025346</v>
      </c>
      <c r="D3" s="9">
        <f>'running daily'!R5</f>
        <v>-40.720424761277343</v>
      </c>
      <c r="E3" s="9">
        <f>'running weekly'!R5</f>
        <v>-68.640125036703751</v>
      </c>
      <c r="F3" s="23">
        <f>'running monthly'!R5</f>
        <v>-65.343013332858277</v>
      </c>
      <c r="G3" s="23">
        <f>'RT daily'!R5</f>
        <v>-46.482797665770946</v>
      </c>
    </row>
    <row r="4" spans="1:7" x14ac:dyDescent="0.25">
      <c r="A4" s="5" t="s">
        <v>20</v>
      </c>
      <c r="B4" s="9">
        <f>'running 1h'!R6</f>
        <v>-53.546897546894719</v>
      </c>
      <c r="C4" s="9">
        <f>'running 4h'!R6</f>
        <v>-53.546897546894719</v>
      </c>
      <c r="D4" s="9">
        <f>'running daily'!R6</f>
        <v>40.167354214412555</v>
      </c>
      <c r="E4" s="9">
        <f>'running weekly'!R6</f>
        <v>10.057320826741313</v>
      </c>
      <c r="F4" s="23">
        <f>'running monthly'!R6</f>
        <v>-32.814348773062285</v>
      </c>
      <c r="G4" s="23">
        <f>'RT daily'!R6</f>
        <v>42.696008819960255</v>
      </c>
    </row>
    <row r="5" spans="1:7" x14ac:dyDescent="0.25">
      <c r="A5" s="5" t="s">
        <v>19</v>
      </c>
      <c r="B5" s="9">
        <f>'running 1h'!R7</f>
        <v>27.295230788908157</v>
      </c>
      <c r="C5" s="9">
        <f>'running 4h'!R7</f>
        <v>27.295230788908157</v>
      </c>
      <c r="D5" s="9">
        <f>'running daily'!R7</f>
        <v>31.61324558583965</v>
      </c>
      <c r="E5" s="9">
        <f>'running weekly'!R7</f>
        <v>51.001480096786928</v>
      </c>
      <c r="F5" s="23">
        <f>'running monthly'!R7</f>
        <v>69.423364534984799</v>
      </c>
      <c r="G5" s="23">
        <f>'RT daily'!R7</f>
        <v>30.364058484085284</v>
      </c>
    </row>
    <row r="6" spans="1:7" x14ac:dyDescent="0.25">
      <c r="A6" s="5" t="s">
        <v>21</v>
      </c>
      <c r="B6" s="9">
        <f>'running 1h'!R8</f>
        <v>-52.863287879998268</v>
      </c>
      <c r="C6" s="9">
        <f>'running 4h'!R8</f>
        <v>-52.863287879998268</v>
      </c>
      <c r="D6" s="9">
        <f>'running daily'!R8</f>
        <v>-17.764397124812167</v>
      </c>
      <c r="E6" s="9">
        <f>'running weekly'!R8</f>
        <v>-8.799958966946221</v>
      </c>
      <c r="F6" s="23">
        <f>'running monthly'!R8</f>
        <v>-56.045907732330576</v>
      </c>
      <c r="G6" s="23">
        <f>'RT daily'!R8</f>
        <v>-13.8159395243706</v>
      </c>
    </row>
    <row r="7" spans="1:7" ht="15.75" thickBot="1" x14ac:dyDescent="0.3">
      <c r="A7" s="13" t="s">
        <v>29</v>
      </c>
      <c r="B7" s="10">
        <f>'running 1h'!R9</f>
        <v>76.734493681664233</v>
      </c>
      <c r="C7" s="10">
        <f>'running 4h'!R9</f>
        <v>76.734493681664233</v>
      </c>
      <c r="D7" s="10">
        <f>'running daily'!R9</f>
        <v>53.127309673989565</v>
      </c>
      <c r="E7" s="10">
        <f>'running weekly'!R9</f>
        <v>73.581570560314987</v>
      </c>
      <c r="F7" s="27">
        <f>'running monthly'!R9</f>
        <v>62.526476478437573</v>
      </c>
      <c r="G7" s="27">
        <f>'RT daily'!R9</f>
        <v>53.013180086203946</v>
      </c>
    </row>
    <row r="8" spans="1:7" ht="15.75" thickBot="1" x14ac:dyDescent="0.3">
      <c r="A8" s="34"/>
      <c r="B8" s="12"/>
      <c r="C8" s="12"/>
      <c r="D8" s="12"/>
      <c r="E8" s="12"/>
      <c r="F8" s="33"/>
      <c r="G8" s="6"/>
    </row>
    <row r="9" spans="1:7" s="48" customFormat="1" x14ac:dyDescent="0.25"/>
    <row r="10" spans="1:7" s="48" customFormat="1" ht="15.75" thickBot="1" x14ac:dyDescent="0.3"/>
    <row r="11" spans="1:7" ht="15.75" thickBot="1" x14ac:dyDescent="0.3">
      <c r="A11" s="4" t="s">
        <v>64</v>
      </c>
      <c r="B11" s="3" t="s">
        <v>51</v>
      </c>
      <c r="C11" s="3" t="s">
        <v>52</v>
      </c>
      <c r="D11" s="3" t="s">
        <v>53</v>
      </c>
      <c r="E11" s="3" t="s">
        <v>54</v>
      </c>
      <c r="F11" s="35" t="s">
        <v>55</v>
      </c>
      <c r="G11" s="36"/>
    </row>
    <row r="12" spans="1:7" x14ac:dyDescent="0.25">
      <c r="A12" s="5" t="s">
        <v>17</v>
      </c>
      <c r="B12" s="9">
        <f>'running 1h'!R21</f>
        <v>-51.349361621956518</v>
      </c>
      <c r="C12" s="9">
        <f>'running 4h'!R21</f>
        <v>-49.734554770232052</v>
      </c>
      <c r="D12" s="9">
        <f>'running daily'!R21</f>
        <v>30.139658218327845</v>
      </c>
      <c r="E12" s="9">
        <f>'running weekly'!R21</f>
        <v>42.497272258467689</v>
      </c>
      <c r="F12" s="23">
        <f>'running monthly'!R21</f>
        <v>82.686233294192093</v>
      </c>
      <c r="G12" s="23"/>
    </row>
    <row r="13" spans="1:7" x14ac:dyDescent="0.25">
      <c r="A13" s="5" t="s">
        <v>18</v>
      </c>
      <c r="B13" s="9">
        <f>'running 1h'!R22</f>
        <v>47.54427845758503</v>
      </c>
      <c r="C13" s="9">
        <f>'running 4h'!R22</f>
        <v>3.3370992089561304</v>
      </c>
      <c r="D13" s="9">
        <f>'running daily'!R22</f>
        <v>-78.822832980971285</v>
      </c>
      <c r="E13" s="9">
        <f>'running weekly'!R22</f>
        <v>-45.746576638928346</v>
      </c>
      <c r="F13" s="23">
        <f>'running monthly'!R22</f>
        <v>-12.283796805591567</v>
      </c>
      <c r="G13" s="23"/>
    </row>
    <row r="14" spans="1:7" x14ac:dyDescent="0.25">
      <c r="A14" s="5" t="s">
        <v>20</v>
      </c>
      <c r="B14" s="9">
        <f>'running 1h'!R23</f>
        <v>1.190842634163646</v>
      </c>
      <c r="C14" s="9">
        <f>'running 4h'!R23</f>
        <v>40.665771352728946</v>
      </c>
      <c r="D14" s="9">
        <f>'running daily'!R23</f>
        <v>-74.894787874665056</v>
      </c>
      <c r="E14" s="9">
        <f>'running weekly'!R23</f>
        <v>-33.689404863594845</v>
      </c>
      <c r="F14" s="23">
        <f>'running monthly'!R23</f>
        <v>-12.071201187381593</v>
      </c>
      <c r="G14" s="23"/>
    </row>
    <row r="15" spans="1:7" x14ac:dyDescent="0.25">
      <c r="A15" s="5" t="s">
        <v>19</v>
      </c>
      <c r="B15" s="9">
        <f>'running 1h'!R24</f>
        <v>-58.197358197360664</v>
      </c>
      <c r="C15" s="9">
        <f>'running 4h'!R24</f>
        <v>-5.0207300261777181</v>
      </c>
      <c r="D15" s="9">
        <f>'running daily'!R24</f>
        <v>27.812188077789518</v>
      </c>
      <c r="E15" s="9">
        <f>'running weekly'!R24</f>
        <v>73.714001967338021</v>
      </c>
      <c r="F15" s="23">
        <f>'running monthly'!R24</f>
        <v>-4.1544928695012144</v>
      </c>
      <c r="G15" s="23"/>
    </row>
    <row r="16" spans="1:7" x14ac:dyDescent="0.25">
      <c r="A16" s="5" t="s">
        <v>21</v>
      </c>
      <c r="B16" s="9">
        <f>'running 1h'!R25</f>
        <v>41.400647106085941</v>
      </c>
      <c r="C16" s="9">
        <f>'running 4h'!R25</f>
        <v>54.550946817284853</v>
      </c>
      <c r="D16" s="9">
        <f>'running daily'!R25</f>
        <v>15.229875593962413</v>
      </c>
      <c r="E16" s="9">
        <f>'running weekly'!R25</f>
        <v>-60.256137508056739</v>
      </c>
      <c r="F16" s="23">
        <f>'running monthly'!R25</f>
        <v>7.5757811371595523</v>
      </c>
      <c r="G16" s="23"/>
    </row>
    <row r="17" spans="1:7" ht="15.75" thickBot="1" x14ac:dyDescent="0.3">
      <c r="A17" s="13" t="s">
        <v>29</v>
      </c>
      <c r="B17" s="10">
        <f>'running 1h'!R26</f>
        <v>19.410951621482553</v>
      </c>
      <c r="C17" s="10">
        <f>'running 4h'!R26</f>
        <v>-43.798532582560156</v>
      </c>
      <c r="D17" s="10">
        <f>'running daily'!R26</f>
        <v>80.535898965556569</v>
      </c>
      <c r="E17" s="10">
        <f>'running weekly'!R26</f>
        <v>23.480844784774241</v>
      </c>
      <c r="F17" s="27">
        <f>'running monthly'!R26</f>
        <v>-61.75252356887728</v>
      </c>
      <c r="G17" s="27"/>
    </row>
    <row r="18" spans="1:7" ht="15.75" thickBot="1" x14ac:dyDescent="0.3">
      <c r="A18" s="34"/>
      <c r="B18" s="12"/>
      <c r="C18" s="12"/>
      <c r="D18" s="12"/>
      <c r="E18" s="12"/>
      <c r="F18" s="33"/>
      <c r="G18" s="6"/>
    </row>
    <row r="19" spans="1:7" s="48" customFormat="1" x14ac:dyDescent="0.25"/>
    <row r="20" spans="1:7" s="48" customFormat="1" x14ac:dyDescent="0.25"/>
    <row r="21" spans="1:7" s="48" customFormat="1" x14ac:dyDescent="0.25"/>
    <row r="22" spans="1:7" s="48" customFormat="1" x14ac:dyDescent="0.25"/>
    <row r="23" spans="1:7" s="48" customFormat="1" x14ac:dyDescent="0.25"/>
    <row r="24" spans="1:7" s="48" customFormat="1" x14ac:dyDescent="0.25"/>
    <row r="25" spans="1:7" s="48" customFormat="1" x14ac:dyDescent="0.25"/>
    <row r="26" spans="1:7" s="48" customFormat="1" x14ac:dyDescent="0.25"/>
    <row r="27" spans="1:7" s="48" customFormat="1" x14ac:dyDescent="0.25"/>
    <row r="28" spans="1:7" s="48" customFormat="1" x14ac:dyDescent="0.25"/>
    <row r="29" spans="1:7" s="48" customFormat="1" x14ac:dyDescent="0.25"/>
    <row r="30" spans="1:7" s="48" customFormat="1" x14ac:dyDescent="0.25"/>
    <row r="31" spans="1:7" s="48" customFormat="1" x14ac:dyDescent="0.25"/>
    <row r="32" spans="1:7" s="48" customFormat="1" x14ac:dyDescent="0.25"/>
    <row r="33" s="48" customFormat="1" x14ac:dyDescent="0.25"/>
    <row r="34" s="48" customFormat="1" x14ac:dyDescent="0.25"/>
    <row r="35" s="48" customFormat="1" x14ac:dyDescent="0.25"/>
    <row r="36" s="48" customFormat="1" x14ac:dyDescent="0.25"/>
    <row r="37" s="48" customFormat="1" x14ac:dyDescent="0.25"/>
    <row r="38" s="48" customFormat="1" x14ac:dyDescent="0.25"/>
    <row r="39" s="48" customFormat="1" x14ac:dyDescent="0.25"/>
    <row r="40" s="48" customFormat="1" x14ac:dyDescent="0.25"/>
    <row r="41" s="48" customFormat="1" x14ac:dyDescent="0.25"/>
    <row r="42" s="48" customFormat="1" x14ac:dyDescent="0.25"/>
    <row r="43" s="48" customFormat="1" x14ac:dyDescent="0.25"/>
    <row r="44" s="48" customFormat="1" x14ac:dyDescent="0.25"/>
    <row r="45" s="48" customFormat="1" x14ac:dyDescent="0.25"/>
    <row r="46" s="48" customFormat="1" x14ac:dyDescent="0.25"/>
    <row r="47" s="48" customFormat="1" x14ac:dyDescent="0.25"/>
    <row r="48" s="48" customFormat="1" x14ac:dyDescent="0.25"/>
    <row r="49" s="48" customFormat="1" x14ac:dyDescent="0.25"/>
    <row r="50" s="48" customFormat="1" x14ac:dyDescent="0.25"/>
    <row r="51" s="48" customFormat="1" x14ac:dyDescent="0.25"/>
    <row r="52" s="48" customFormat="1" x14ac:dyDescent="0.25"/>
    <row r="53" s="48" customFormat="1" x14ac:dyDescent="0.25"/>
    <row r="54" s="48" customFormat="1" x14ac:dyDescent="0.25"/>
    <row r="55" s="48" customFormat="1" x14ac:dyDescent="0.25"/>
    <row r="56" s="48" customFormat="1" x14ac:dyDescent="0.25"/>
    <row r="57" s="48" customFormat="1" x14ac:dyDescent="0.25"/>
  </sheetData>
  <conditionalFormatting sqref="B2:G7">
    <cfRule type="cellIs" dxfId="5" priority="7" operator="lessThan">
      <formula>0</formula>
    </cfRule>
    <cfRule type="cellIs" dxfId="4" priority="8" operator="greaterThan">
      <formula>0</formula>
    </cfRule>
  </conditionalFormatting>
  <conditionalFormatting sqref="B12:F17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12:G17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25" sqref="E25"/>
    </sheetView>
  </sheetViews>
  <sheetFormatPr baseColWidth="10" defaultRowHeight="15" x14ac:dyDescent="0.25"/>
  <sheetData>
    <row r="1" spans="1:5" ht="15.75" thickBot="1" x14ac:dyDescent="0.3">
      <c r="A1" s="4"/>
      <c r="B1" s="40" t="s">
        <v>5</v>
      </c>
    </row>
    <row r="2" spans="1:5" x14ac:dyDescent="0.25">
      <c r="A2" s="49" t="s">
        <v>1</v>
      </c>
      <c r="B2" s="50">
        <f>[1]!EURUSD/100000</f>
        <v>1.31786</v>
      </c>
    </row>
    <row r="3" spans="1:5" x14ac:dyDescent="0.25">
      <c r="A3" s="28" t="s">
        <v>2</v>
      </c>
      <c r="B3" s="51">
        <f>[1]!GBPUSD/100000</f>
        <v>1.6595599999999999</v>
      </c>
    </row>
    <row r="4" spans="1:5" x14ac:dyDescent="0.25">
      <c r="A4" s="28" t="s">
        <v>3</v>
      </c>
      <c r="B4" s="51">
        <f>REPLACE([1]!AUDUSD,2,1,",")*1</f>
        <v>0.93427000000000004</v>
      </c>
    </row>
    <row r="5" spans="1:5" x14ac:dyDescent="0.25">
      <c r="A5" s="28" t="s">
        <v>4</v>
      </c>
      <c r="B5" s="51">
        <f>[1]!USDJPY/1000</f>
        <v>103.869</v>
      </c>
    </row>
    <row r="6" spans="1:5" x14ac:dyDescent="0.25">
      <c r="A6" s="28" t="s">
        <v>24</v>
      </c>
      <c r="B6" s="51">
        <f>[1]!USDCAD/100000</f>
        <v>1.08928</v>
      </c>
    </row>
    <row r="7" spans="1:5" x14ac:dyDescent="0.25">
      <c r="A7" s="28" t="s">
        <v>9</v>
      </c>
      <c r="B7" s="51">
        <f>REPLACE([1]!EURGBP,2,1,",")*1</f>
        <v>0.79400000000000004</v>
      </c>
      <c r="C7" s="30">
        <f>B2/B3</f>
        <v>0.79410205114608701</v>
      </c>
      <c r="D7" t="s">
        <v>68</v>
      </c>
      <c r="E7" s="30">
        <f>B7-C7</f>
        <v>-1.0205114608696775E-4</v>
      </c>
    </row>
    <row r="8" spans="1:5" x14ac:dyDescent="0.25">
      <c r="A8" s="28" t="s">
        <v>10</v>
      </c>
      <c r="B8" s="51">
        <f>[1]!EURAUD/100000</f>
        <v>1.4104300000000001</v>
      </c>
      <c r="C8" s="30">
        <f>B2/B4</f>
        <v>1.4105772421248675</v>
      </c>
      <c r="D8" t="s">
        <v>69</v>
      </c>
      <c r="E8" s="30">
        <f t="shared" ref="E8:E10" si="0">B8-C8</f>
        <v>-1.4724212486738608E-4</v>
      </c>
    </row>
    <row r="9" spans="1:5" x14ac:dyDescent="0.25">
      <c r="A9" s="28" t="s">
        <v>11</v>
      </c>
      <c r="B9" s="51">
        <f>[1]!EURJPY/1000</f>
        <v>136.89599999999999</v>
      </c>
      <c r="C9" s="30">
        <f>B2*B5</f>
        <v>136.88480034</v>
      </c>
      <c r="D9" t="s">
        <v>70</v>
      </c>
      <c r="E9" s="30">
        <f t="shared" si="0"/>
        <v>1.1199659999988398E-2</v>
      </c>
    </row>
    <row r="10" spans="1:5" x14ac:dyDescent="0.25">
      <c r="A10" s="28" t="s">
        <v>25</v>
      </c>
      <c r="B10" s="51">
        <f>[1]!EURCAD/100000</f>
        <v>1.4356899999999999</v>
      </c>
      <c r="C10" s="30">
        <f>B2*B6</f>
        <v>1.4355185408</v>
      </c>
      <c r="D10" t="s">
        <v>71</v>
      </c>
      <c r="E10" s="30">
        <f t="shared" si="0"/>
        <v>1.7145919999994597E-4</v>
      </c>
    </row>
    <row r="11" spans="1:5" x14ac:dyDescent="0.25">
      <c r="A11" s="28" t="s">
        <v>12</v>
      </c>
      <c r="B11" s="51">
        <f>[1]!GBPAUD/1000</f>
        <v>177.60300000000001</v>
      </c>
    </row>
    <row r="12" spans="1:5" x14ac:dyDescent="0.25">
      <c r="A12" s="28" t="s">
        <v>13</v>
      </c>
      <c r="B12" s="51">
        <f>[1]!GBPJPY/1000</f>
        <v>172.387</v>
      </c>
    </row>
    <row r="13" spans="1:5" x14ac:dyDescent="0.25">
      <c r="A13" s="28" t="s">
        <v>26</v>
      </c>
      <c r="B13" s="51">
        <f>[1]!GBPCAD/100000</f>
        <v>1.8078799999999999</v>
      </c>
    </row>
    <row r="14" spans="1:5" x14ac:dyDescent="0.25">
      <c r="A14" s="28" t="s">
        <v>14</v>
      </c>
      <c r="B14" s="51">
        <f>[1]!AUDJPY/1000</f>
        <v>97.046999999999997</v>
      </c>
    </row>
    <row r="15" spans="1:5" x14ac:dyDescent="0.25">
      <c r="A15" s="28" t="s">
        <v>28</v>
      </c>
      <c r="B15" s="51">
        <f>REPLACE([1]!AUDCAD,2,1,",")*1</f>
        <v>1.1777</v>
      </c>
    </row>
    <row r="16" spans="1:5" ht="15.75" thickBot="1" x14ac:dyDescent="0.3">
      <c r="A16" s="29" t="s">
        <v>27</v>
      </c>
      <c r="B16" s="52">
        <f>[1]!CADJPY/1000</f>
        <v>95.34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2</vt:i4>
      </vt:variant>
    </vt:vector>
  </HeadingPairs>
  <TitlesOfParts>
    <vt:vector size="12" baseType="lpstr">
      <vt:lpstr>RT daily</vt:lpstr>
      <vt:lpstr>running 1h</vt:lpstr>
      <vt:lpstr>running 4h</vt:lpstr>
      <vt:lpstr>running daily</vt:lpstr>
      <vt:lpstr>running weekly</vt:lpstr>
      <vt:lpstr>running monthly</vt:lpstr>
      <vt:lpstr>Data</vt:lpstr>
      <vt:lpstr>Datap</vt:lpstr>
      <vt:lpstr>aggregated</vt:lpstr>
      <vt:lpstr>Correlation calculator</vt:lpstr>
      <vt:lpstr>Data!Infinitus_Currency_Strength</vt:lpstr>
      <vt:lpstr>Datap!Infinitus_Currency_Strength_past_period</vt:lpstr>
    </vt:vector>
  </TitlesOfParts>
  <Manager>infinitus</Manager>
  <Company>Infinitus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Currency Strength Meter</dc:title>
  <dc:creator>infinitus</dc:creator>
  <cp:lastModifiedBy>infinitus</cp:lastModifiedBy>
  <dcterms:created xsi:type="dcterms:W3CDTF">2013-06-07T00:18:52Z</dcterms:created>
  <dcterms:modified xsi:type="dcterms:W3CDTF">2014-08-27T13:28:35Z</dcterms:modified>
</cp:coreProperties>
</file>